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ACOMBE Eric/Hérault_Cambon-et-Salvergues_5,25ha (Eric LACOMBE et Francis DORIER)/2.Dossier_LBC_déposé/"/>
    </mc:Choice>
  </mc:AlternateContent>
  <xr:revisionPtr revIDLastSave="432" documentId="11_785EBEBB6478A93751353AF968EBF6B69F868F6A" xr6:coauthVersionLast="47" xr6:coauthVersionMax="47" xr10:uidLastSave="{37FA17F1-DDF9-4B16-9181-9F59546AEEA5}"/>
  <bookViews>
    <workbookView xWindow="-110" yWindow="-110" windowWidth="19420" windowHeight="11500" tabRatio="866" firstSheet="1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HI156" i="2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HH160" i="2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H162" i="2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EB163" i="2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FS175" i="2"/>
  <c r="EA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B179" i="2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D184" i="2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Y192" i="2"/>
  <c r="ED192" i="2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A195" i="2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9" i="2" a="1"/>
  <c r="FD19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HJ202" i="2"/>
  <c r="AX200" i="2"/>
  <c r="FD144" i="2" l="1" a="1"/>
  <c r="FD144" i="2" s="1"/>
  <c r="FD194" i="2" a="1"/>
  <c r="FD194" i="2" s="1"/>
  <c r="FD48" i="2" a="1"/>
  <c r="FD48" i="2" s="1"/>
  <c r="FD188" i="2" a="1"/>
  <c r="FD188" i="2" s="1"/>
  <c r="FD60" i="2" a="1"/>
  <c r="FD60" i="2" s="1"/>
  <c r="FD137" i="2" a="1"/>
  <c r="FD137" i="2" s="1"/>
  <c r="FD159" i="2" a="1"/>
  <c r="FD159" i="2" s="1"/>
  <c r="FD160" i="2" a="1"/>
  <c r="FD160" i="2" s="1"/>
  <c r="FD107" i="2" a="1"/>
  <c r="FD107" i="2" s="1"/>
  <c r="FD167" i="2" a="1"/>
  <c r="FD167" i="2" s="1"/>
  <c r="FD82" i="2" a="1"/>
  <c r="FD82" i="2" s="1"/>
  <c r="FD131" i="2" a="1"/>
  <c r="FD131" i="2" s="1"/>
  <c r="BC151" i="2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J55" i="2" l="1"/>
  <c r="FJ196" i="2"/>
  <c r="FJ82" i="2"/>
  <c r="FJ167" i="2"/>
  <c r="FJ203" i="2"/>
  <c r="FJ156" i="2"/>
  <c r="FJ68" i="2"/>
  <c r="FJ171" i="2"/>
  <c r="FJ112" i="2"/>
  <c r="FJ32" i="2"/>
  <c r="FJ134" i="2"/>
  <c r="FJ110" i="2"/>
  <c r="FJ113" i="2"/>
  <c r="FJ70" i="2"/>
  <c r="FJ60" i="2"/>
  <c r="FJ169" i="2"/>
  <c r="FJ146" i="2"/>
  <c r="FJ91" i="2"/>
  <c r="FJ129" i="2"/>
  <c r="FJ155" i="2"/>
  <c r="FJ192" i="2"/>
  <c r="FJ37" i="2"/>
  <c r="FJ165" i="2"/>
  <c r="FJ106" i="2"/>
  <c r="FJ96" i="2"/>
  <c r="FJ105" i="2"/>
  <c r="FJ166" i="2"/>
  <c r="FJ176" i="2"/>
  <c r="FJ19" i="2"/>
  <c r="FJ151" i="2"/>
  <c r="FJ127" i="2"/>
  <c r="FJ54" i="2"/>
  <c r="FJ88" i="2"/>
  <c r="FJ41" i="2"/>
  <c r="FJ185" i="2"/>
  <c r="FJ182" i="2"/>
  <c r="FJ77" i="2"/>
  <c r="FJ16" i="2"/>
  <c r="FJ104" i="2"/>
  <c r="FJ148" i="2"/>
  <c r="FJ7" i="2"/>
  <c r="FJ75" i="2"/>
  <c r="FJ38" i="2"/>
  <c r="FJ71" i="2"/>
  <c r="FJ64" i="2"/>
  <c r="FJ119" i="2"/>
  <c r="FJ78" i="2"/>
  <c r="FJ123" i="2"/>
  <c r="FJ140" i="2"/>
  <c r="FJ35" i="2"/>
  <c r="FJ49" i="2"/>
  <c r="FJ23" i="2"/>
  <c r="FJ147" i="2"/>
  <c r="FJ128" i="2"/>
  <c r="FJ195" i="2"/>
  <c r="FJ118" i="2"/>
  <c r="FJ50" i="2"/>
  <c r="FJ85" i="2"/>
  <c r="FJ135" i="2"/>
  <c r="FJ115" i="2"/>
  <c r="FJ47" i="2"/>
  <c r="FJ137" i="2"/>
  <c r="FJ53" i="2"/>
  <c r="FJ133" i="2"/>
  <c r="FJ120" i="2"/>
  <c r="FJ177" i="2"/>
  <c r="FJ184" i="2"/>
  <c r="FJ21" i="2"/>
  <c r="FJ197" i="2"/>
  <c r="FJ200" i="2"/>
  <c r="FJ124" i="2"/>
  <c r="FJ201" i="2"/>
  <c r="FJ175" i="2"/>
  <c r="FJ44" i="2"/>
  <c r="FJ52" i="2"/>
  <c r="FJ102" i="2"/>
  <c r="FJ30" i="2"/>
  <c r="FJ84" i="2"/>
  <c r="FJ65" i="2"/>
  <c r="FJ154" i="2"/>
  <c r="FJ111" i="2"/>
  <c r="FJ199" i="2"/>
  <c r="FJ17" i="2"/>
  <c r="FJ26" i="2"/>
  <c r="FJ95" i="2"/>
  <c r="FJ28" i="2"/>
  <c r="FJ172" i="2"/>
  <c r="FJ161" i="2"/>
  <c r="FJ27" i="2"/>
  <c r="FJ86" i="2"/>
  <c r="FJ3" i="2"/>
  <c r="C13" i="4" s="1"/>
  <c r="E13" i="4" s="1"/>
  <c r="F13" i="4" s="1"/>
  <c r="G13" i="4" s="1"/>
  <c r="L13" i="4" s="1"/>
  <c r="FJ163" i="2"/>
  <c r="FJ186" i="2"/>
  <c r="FJ121" i="2"/>
  <c r="FJ43" i="2"/>
  <c r="FJ100" i="2"/>
  <c r="FJ56" i="2"/>
  <c r="FJ174" i="2"/>
  <c r="FJ194" i="2"/>
  <c r="FJ92" i="2"/>
  <c r="FJ159" i="2"/>
  <c r="FJ79" i="2"/>
  <c r="FJ178" i="2"/>
  <c r="FJ90" i="2"/>
  <c r="FJ5" i="2"/>
  <c r="FJ89" i="2"/>
  <c r="FJ76" i="2"/>
  <c r="FJ190" i="2"/>
  <c r="FJ59" i="2"/>
  <c r="FJ153" i="2"/>
  <c r="FJ117" i="2"/>
  <c r="FJ9" i="2"/>
  <c r="FJ34" i="2"/>
  <c r="FJ162" i="2"/>
  <c r="FJ130" i="2"/>
  <c r="FJ39" i="2"/>
  <c r="FJ61" i="2"/>
  <c r="FJ58" i="2"/>
  <c r="FJ136" i="2"/>
  <c r="FJ20" i="2"/>
  <c r="FJ12" i="2"/>
  <c r="FJ125" i="2"/>
  <c r="FJ187" i="2"/>
  <c r="FJ8" i="2"/>
  <c r="FJ149" i="2"/>
  <c r="FJ4" i="2"/>
  <c r="FJ158" i="2"/>
  <c r="FJ6" i="2"/>
  <c r="FJ132" i="2"/>
  <c r="FJ83" i="2"/>
  <c r="FJ191" i="2"/>
  <c r="FJ138" i="2"/>
  <c r="FJ14" i="2"/>
  <c r="FJ29" i="2"/>
  <c r="FJ22" i="2"/>
  <c r="FJ143" i="2"/>
  <c r="FJ144" i="2"/>
  <c r="FJ168" i="2"/>
  <c r="FJ193" i="2"/>
  <c r="FJ67" i="2"/>
  <c r="FJ31" i="2"/>
  <c r="FJ51" i="2"/>
  <c r="FJ63" i="2"/>
  <c r="FJ202" i="2"/>
  <c r="FJ72" i="2"/>
  <c r="FJ122" i="2"/>
  <c r="FJ157" i="2"/>
  <c r="FJ87" i="2"/>
  <c r="FJ10" i="2"/>
  <c r="FJ183" i="2"/>
  <c r="FJ103" i="2"/>
  <c r="FJ81" i="2"/>
  <c r="FJ179" i="2"/>
  <c r="FJ181" i="2"/>
  <c r="FJ116" i="2"/>
  <c r="FJ189" i="2"/>
  <c r="FJ25" i="2"/>
  <c r="FJ74" i="2"/>
  <c r="FJ131" i="2"/>
  <c r="FJ152" i="2"/>
  <c r="FJ150" i="2"/>
  <c r="FJ198" i="2"/>
  <c r="FJ42" i="2"/>
  <c r="FJ13" i="2"/>
  <c r="FJ107" i="2"/>
  <c r="FJ57" i="2"/>
  <c r="FJ108" i="2"/>
  <c r="FJ170" i="2"/>
  <c r="FJ109" i="2"/>
  <c r="FJ164" i="2"/>
  <c r="FJ101" i="2"/>
  <c r="FJ66" i="2"/>
  <c r="FJ48" i="2"/>
  <c r="FJ139" i="2"/>
  <c r="FJ36" i="2"/>
  <c r="FJ24" i="2"/>
  <c r="FJ93" i="2"/>
  <c r="FJ142" i="2"/>
  <c r="FJ126" i="2"/>
  <c r="FJ98" i="2"/>
  <c r="FJ141" i="2"/>
  <c r="FJ97" i="2"/>
  <c r="FJ99" i="2"/>
  <c r="FJ180" i="2"/>
  <c r="FJ80" i="2"/>
  <c r="FJ15" i="2"/>
  <c r="FJ73" i="2"/>
  <c r="FJ40" i="2"/>
  <c r="FJ114" i="2"/>
  <c r="FJ33" i="2"/>
  <c r="FJ188" i="2"/>
  <c r="FJ145" i="2"/>
  <c r="FJ173" i="2"/>
  <c r="FJ18" i="2"/>
  <c r="FJ69" i="2"/>
  <c r="FJ11" i="2"/>
  <c r="FJ46" i="2"/>
  <c r="FJ160" i="2"/>
  <c r="FJ62" i="2"/>
  <c r="FJ94" i="2"/>
  <c r="FJ45" i="2"/>
  <c r="FE148" i="2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EO117" i="2" l="1"/>
  <c r="EO73" i="2"/>
  <c r="EO23" i="2"/>
  <c r="EO53" i="2"/>
  <c r="EO138" i="2"/>
  <c r="EO198" i="2"/>
  <c r="EO203" i="2"/>
  <c r="EO99" i="2"/>
  <c r="EO148" i="2"/>
  <c r="EO174" i="2"/>
  <c r="EO29" i="2"/>
  <c r="EO3" i="2"/>
  <c r="C12" i="4" s="1"/>
  <c r="E12" i="4" s="1"/>
  <c r="F12" i="4" s="1"/>
  <c r="G12" i="4" s="1"/>
  <c r="L12" i="4" s="1"/>
  <c r="EO173" i="2"/>
  <c r="EO119" i="2"/>
  <c r="EO82" i="2"/>
  <c r="EO140" i="2"/>
  <c r="EO139" i="2"/>
  <c r="EO33" i="2"/>
  <c r="EO132" i="2"/>
  <c r="EO161" i="2"/>
  <c r="EO68" i="2"/>
  <c r="EO5" i="2"/>
  <c r="EO191" i="2"/>
  <c r="EO111" i="2"/>
  <c r="EO187" i="2"/>
  <c r="EO178" i="2"/>
  <c r="EO169" i="2"/>
  <c r="EO122" i="2"/>
  <c r="EO77" i="2"/>
  <c r="EO39" i="2"/>
  <c r="EO128" i="2"/>
  <c r="EO65" i="2"/>
  <c r="EO12" i="2"/>
  <c r="EO123" i="2"/>
  <c r="EO105" i="2"/>
  <c r="EO11" i="2"/>
  <c r="EO89" i="2"/>
  <c r="EO59" i="2"/>
  <c r="EO112" i="2"/>
  <c r="EO164" i="2"/>
  <c r="EO145" i="2"/>
  <c r="EO86" i="2"/>
  <c r="EO202" i="2"/>
  <c r="EO97" i="2"/>
  <c r="EO14" i="2"/>
  <c r="EO163" i="2"/>
  <c r="EO60" i="2"/>
  <c r="EO69" i="2"/>
  <c r="EO118" i="2"/>
  <c r="EO109" i="2"/>
  <c r="EO183" i="2"/>
  <c r="EO95" i="2"/>
  <c r="EO157" i="2"/>
  <c r="EO91" i="2"/>
  <c r="EO108" i="2"/>
  <c r="EO135" i="2"/>
  <c r="EO154" i="2"/>
  <c r="EO27" i="2"/>
  <c r="EO35" i="2"/>
  <c r="EO30" i="2"/>
  <c r="EO102" i="2"/>
  <c r="EO162" i="2"/>
  <c r="EO175" i="2"/>
  <c r="EO64" i="2"/>
  <c r="EO186" i="2"/>
  <c r="EO62" i="2"/>
  <c r="EO107" i="2"/>
  <c r="EO32" i="2"/>
  <c r="EO182" i="2"/>
  <c r="EO160" i="2"/>
  <c r="EO125" i="2"/>
  <c r="EO199" i="2"/>
  <c r="EO126" i="2"/>
  <c r="EO189" i="2"/>
  <c r="EO151" i="2"/>
  <c r="EO171" i="2"/>
  <c r="EO44" i="2"/>
  <c r="EO98" i="2"/>
  <c r="EO168" i="2"/>
  <c r="EO58" i="2"/>
  <c r="EO46" i="2"/>
  <c r="EO67" i="2"/>
  <c r="EO159" i="2"/>
  <c r="EO9" i="2"/>
  <c r="EO92" i="2"/>
  <c r="EO130" i="2"/>
  <c r="EO201" i="2"/>
  <c r="EO121" i="2"/>
  <c r="EO75" i="2"/>
  <c r="EO196" i="2"/>
  <c r="EO124" i="2"/>
  <c r="EO120" i="2"/>
  <c r="EO85" i="2"/>
  <c r="EO7" i="2"/>
  <c r="EO10" i="2"/>
  <c r="EO28" i="2"/>
  <c r="EO144" i="2"/>
  <c r="EO17" i="2"/>
  <c r="EO127" i="2"/>
  <c r="EO181" i="2"/>
  <c r="EO72" i="2"/>
  <c r="EO172" i="2"/>
  <c r="EO57" i="2"/>
  <c r="EO146" i="2"/>
  <c r="EO71" i="2"/>
  <c r="EO6" i="2"/>
  <c r="EO16" i="2"/>
  <c r="EO152" i="2"/>
  <c r="EO137" i="2"/>
  <c r="EO21" i="2"/>
  <c r="EO197" i="2"/>
  <c r="EO51" i="2"/>
  <c r="EO96" i="2"/>
  <c r="EO158" i="2"/>
  <c r="EO184" i="2"/>
  <c r="EO113" i="2"/>
  <c r="EO43" i="2"/>
  <c r="EO176" i="2"/>
  <c r="EO101" i="2"/>
  <c r="EO41" i="2"/>
  <c r="EO134" i="2"/>
  <c r="EO194" i="2"/>
  <c r="EO192" i="2"/>
  <c r="EO141" i="2"/>
  <c r="EO90" i="2"/>
  <c r="EO76" i="2"/>
  <c r="EO37" i="2"/>
  <c r="EO56" i="2"/>
  <c r="EO180" i="2"/>
  <c r="EO165" i="2"/>
  <c r="EO84" i="2"/>
  <c r="EO142" i="2"/>
  <c r="EO15" i="2"/>
  <c r="EO88" i="2"/>
  <c r="EO70" i="2"/>
  <c r="EO177" i="2"/>
  <c r="EO110" i="2"/>
  <c r="EO104" i="2"/>
  <c r="EO18" i="2"/>
  <c r="EO129" i="2"/>
  <c r="EO153" i="2"/>
  <c r="EO83" i="2"/>
  <c r="EO185" i="2"/>
  <c r="EO49" i="2"/>
  <c r="EO61" i="2"/>
  <c r="EO13" i="2"/>
  <c r="EO55" i="2"/>
  <c r="EO136" i="2"/>
  <c r="EO22" i="2"/>
  <c r="EO78" i="2"/>
  <c r="EO195" i="2"/>
  <c r="EO149" i="2"/>
  <c r="EO54" i="2"/>
  <c r="EO25" i="2"/>
  <c r="EO63" i="2"/>
  <c r="EO106" i="2"/>
  <c r="EO115" i="2"/>
  <c r="EO81" i="2"/>
  <c r="EO150" i="2"/>
  <c r="EO74" i="2"/>
  <c r="EO93" i="2"/>
  <c r="EO188" i="2"/>
  <c r="EO94" i="2"/>
  <c r="EO66" i="2"/>
  <c r="EO179" i="2"/>
  <c r="EO31" i="2"/>
  <c r="EO133" i="2"/>
  <c r="EO26" i="2"/>
  <c r="EO131" i="2"/>
  <c r="EO200" i="2"/>
  <c r="EO170" i="2"/>
  <c r="EO45" i="2"/>
  <c r="EO20" i="2"/>
  <c r="EO116" i="2"/>
  <c r="EO34" i="2"/>
  <c r="EO19" i="2"/>
  <c r="EO40" i="2"/>
  <c r="EO100" i="2"/>
  <c r="EO38" i="2"/>
  <c r="EO147" i="2"/>
  <c r="EO156" i="2"/>
  <c r="EO167" i="2"/>
  <c r="EO52" i="2"/>
  <c r="EO8" i="2"/>
  <c r="EO80" i="2"/>
  <c r="EO42" i="2"/>
  <c r="EO114" i="2"/>
  <c r="EO24" i="2"/>
  <c r="EO4" i="2"/>
  <c r="EO87" i="2"/>
  <c r="EO166" i="2"/>
  <c r="EO190" i="2"/>
  <c r="EO50" i="2"/>
  <c r="EO79" i="2"/>
  <c r="EO155" i="2"/>
  <c r="EO193" i="2"/>
  <c r="EO143" i="2"/>
  <c r="EO48" i="2"/>
  <c r="EO47" i="2"/>
  <c r="EO103" i="2"/>
  <c r="EO36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tc={D1A108EA-AE48-4770-9067-ACE199B13350}</author>
    <author>tc={A083521B-0B48-4A62-AC47-BACA57569C3D}</author>
    <author>tc={10F1B5A3-84A6-4B33-8A10-889E3D68C067}</author>
    <author>tc={B823B768-CACF-4BE5-B4AC-D35AA7CCB0E1}</author>
    <author>tc={CCC3AAD3-1670-4AAE-9E82-CBA95FD180A6}</author>
  </authors>
  <commentList>
    <comment ref="E17" authorId="0" shapeId="0" xr:uid="{D1A108EA-AE48-4770-9067-ACE199B1335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</t>
      </text>
    </comment>
    <comment ref="E48" authorId="1" shapeId="0" xr:uid="{A083521B-0B48-4A62-AC47-BACA57569C3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</t>
      </text>
    </comment>
    <comment ref="E79" authorId="2" shapeId="0" xr:uid="{10F1B5A3-84A6-4B33-8A10-889E3D68C06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</t>
      </text>
    </comment>
    <comment ref="E110" authorId="3" shapeId="0" xr:uid="{B823B768-CACF-4BE5-B4AC-D35AA7CCB0E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</t>
      </text>
    </comment>
    <comment ref="E141" authorId="4" shapeId="0" xr:uid="{CCC3AAD3-1670-4AAE-9E82-CBA95FD180A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
</t>
      </text>
    </comment>
  </commentList>
</comments>
</file>

<file path=xl/sharedStrings.xml><?xml version="1.0" encoding="utf-8"?>
<sst xmlns="http://schemas.openxmlformats.org/spreadsheetml/2006/main" count="1189" uniqueCount="339">
  <si>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</si>
  <si>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</si>
  <si>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</si>
  <si>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</si>
  <si>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</si>
  <si>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</si>
  <si>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</si>
  <si>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</si>
  <si>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</si>
  <si>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</si>
  <si>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</si>
  <si>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</si>
  <si>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</si>
  <si>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</si>
  <si>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</si>
  <si>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</si>
  <si>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</si>
  <si>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</si>
  <si>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</si>
  <si>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</si>
  <si>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</si>
  <si>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</si>
  <si>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</si>
  <si>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</si>
  <si>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</si>
  <si>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</si>
  <si>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</si>
  <si>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</si>
  <si>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</si>
  <si>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</si>
  <si>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</si>
  <si>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</si>
  <si>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</si>
  <si>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</si>
  <si>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</si>
  <si>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</si>
  <si>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</si>
  <si>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</si>
  <si>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</si>
  <si>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</si>
  <si>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</si>
  <si>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</si>
  <si>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</si>
  <si>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</si>
  <si>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</si>
  <si>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</si>
  <si>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</si>
  <si>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</si>
  <si>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</si>
  <si>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</si>
  <si>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</si>
  <si>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</si>
  <si>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</si>
  <si>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</si>
  <si>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</si>
  <si>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</si>
  <si>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</si>
  <si>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t>CR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</si>
  <si>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</si>
  <si>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</si>
  <si>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</si>
  <si>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</si>
  <si>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</si>
  <si>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</si>
  <si>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</si>
  <si>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</si>
  <si>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</si>
  <si>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</si>
  <si>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</si>
  <si>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</si>
  <si>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</si>
  <si>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</si>
  <si>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</si>
  <si>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</si>
  <si>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</si>
  <si>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</si>
  <si>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</si>
  <si>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</si>
  <si>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</si>
  <si>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</si>
  <si>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</si>
  <si>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</si>
  <si>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</si>
  <si>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</si>
  <si>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</si>
  <si>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</si>
  <si>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</si>
  <si>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</si>
  <si>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</si>
  <si>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</si>
  <si>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</si>
  <si>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</si>
  <si>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</si>
  <si>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</si>
  <si>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</si>
  <si>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</si>
  <si>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</si>
  <si>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</si>
  <si>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</si>
  <si>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</si>
  <si>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</si>
  <si>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</si>
  <si>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</si>
  <si>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</si>
  <si>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</si>
  <si>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</si>
  <si>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</si>
  <si>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</si>
  <si>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</si>
  <si>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</si>
  <si>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</si>
  <si>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</si>
  <si>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</si>
  <si>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</si>
  <si>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</si>
  <si>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</si>
  <si>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</si>
  <si>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</si>
  <si>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</si>
  <si>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</si>
  <si>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</si>
  <si>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</si>
  <si>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</si>
  <si>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</si>
  <si>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</si>
  <si>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</si>
  <si>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</si>
  <si>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</si>
  <si>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</si>
  <si>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</si>
  <si>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</si>
  <si>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</si>
  <si>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</si>
  <si>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</si>
  <si>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</si>
  <si>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</si>
  <si>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</si>
  <si>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</si>
  <si>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</si>
  <si>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</si>
  <si>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</si>
  <si>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</si>
  <si>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</si>
  <si>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</si>
  <si>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</si>
  <si>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</si>
  <si>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</si>
  <si>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</si>
  <si>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</si>
  <si>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</si>
  <si>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</si>
  <si>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</si>
  <si>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</si>
  <si>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</si>
  <si>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</si>
  <si>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</si>
  <si>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</si>
  <si>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</si>
  <si>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</si>
  <si>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</si>
  <si>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</si>
  <si>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</si>
  <si>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</si>
  <si>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</si>
  <si>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</si>
  <si>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</si>
  <si>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</si>
  <si>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</si>
  <si>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</si>
  <si>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</si>
  <si>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</si>
  <si>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</si>
  <si>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</si>
  <si>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</si>
  <si>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</si>
  <si>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</si>
  <si>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</si>
  <si>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</si>
  <si>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</si>
  <si>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</si>
  <si>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</si>
  <si>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</si>
  <si>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</si>
  <si>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</si>
  <si>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</si>
  <si>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</si>
  <si>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</si>
  <si>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</si>
  <si>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</si>
  <si>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</si>
  <si>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</si>
  <si>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</si>
  <si>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</si>
  <si>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</si>
  <si>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</si>
  <si>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</si>
  <si>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</si>
  <si>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</si>
  <si>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</si>
  <si>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</si>
  <si>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</si>
  <si>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</si>
  <si>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</si>
  <si>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</si>
  <si>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</si>
  <si>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</si>
  <si>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</si>
  <si>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</si>
  <si>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</si>
  <si>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</si>
  <si>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</si>
  <si>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</si>
  <si>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</si>
  <si>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</si>
  <si>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</si>
  <si>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</si>
  <si>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</si>
  <si>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</si>
  <si>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</si>
  <si>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</si>
  <si>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</si>
  <si>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</si>
  <si>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</si>
  <si>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</si>
  <si>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</si>
  <si>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</si>
  <si>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</si>
  <si>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</si>
  <si>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</si>
  <si>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</si>
  <si>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</si>
  <si>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</si>
  <si>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</si>
  <si>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</si>
  <si>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</si>
  <si>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</si>
  <si>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</si>
  <si>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</si>
  <si>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</si>
  <si>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</si>
  <si>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</si>
  <si>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</si>
  <si>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</si>
  <si>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</si>
  <si>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</si>
  <si>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</si>
  <si>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</si>
  <si>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</si>
  <si>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</si>
  <si>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</si>
  <si>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</si>
  <si>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</si>
  <si>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</si>
  <si>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</si>
  <si>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</si>
  <si>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</si>
  <si>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</si>
  <si>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</si>
  <si>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</si>
  <si>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</si>
  <si>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</si>
  <si>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</si>
  <si>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</si>
  <si>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</si>
  <si>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</si>
  <si>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</si>
  <si>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</si>
  <si>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</si>
  <si>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</si>
  <si>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</si>
  <si>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</si>
  <si>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</si>
  <si>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</si>
  <si>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</si>
  <si>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</si>
  <si>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</si>
  <si>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</si>
  <si>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</si>
  <si>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</si>
  <si>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</si>
  <si>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</si>
  <si>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</si>
  <si>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</si>
  <si>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</si>
  <si>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</si>
  <si>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</si>
  <si>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</si>
  <si>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</si>
  <si>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</si>
  <si>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</si>
  <si>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</si>
  <si>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</si>
  <si>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</si>
  <si>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</si>
  <si>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</si>
  <si>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</si>
  <si>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</si>
  <si>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</si>
  <si>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</si>
  <si>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</si>
  <si>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</si>
  <si>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</si>
  <si>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</si>
  <si>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</si>
  <si>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</si>
  <si>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</si>
  <si>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</si>
  <si>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</si>
  <si>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</si>
  <si>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</si>
  <si>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</si>
  <si>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</si>
  <si>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</si>
  <si>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</si>
  <si>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</si>
  <si>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</si>
  <si>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</si>
  <si>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</si>
  <si>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</si>
  <si>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</si>
  <si>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</si>
  <si>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</si>
  <si>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</si>
  <si>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</si>
  <si>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</si>
  <si>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</si>
  <si>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41</t>
  </si>
  <si>
    <t>23</t>
  </si>
  <si>
    <t>24</t>
  </si>
  <si>
    <t>22</t>
  </si>
  <si>
    <t>21</t>
  </si>
  <si>
    <t>20</t>
  </si>
  <si>
    <t>18</t>
  </si>
  <si>
    <t>17</t>
  </si>
  <si>
    <t>16</t>
  </si>
  <si>
    <t>14</t>
  </si>
  <si>
    <t>13</t>
  </si>
  <si>
    <t>12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</si>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</sst>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2.3506827876702365</c:v>
                </c:pt>
                <c:pt idx="2">
                  <c:v>2.7069020618273747</c:v>
                </c:pt>
                <c:pt idx="3">
                  <c:v>3.1172974732130618</c:v>
                </c:pt>
                <c:pt idx="4">
                  <c:v>3.590136552411817</c:v>
                </c:pt>
                <c:pt idx="5">
                  <c:v>4.1349525172371857</c:v>
                </c:pt>
                <c:pt idx="6">
                  <c:v>4.7627386132127274</c:v>
                </c:pt>
                <c:pt idx="7">
                  <c:v>5.4861723759815355</c:v>
                </c:pt>
                <c:pt idx="8">
                  <c:v>6.3198744342378603</c:v>
                </c:pt>
                <c:pt idx="9">
                  <c:v>7.2807071863215178</c:v>
                </c:pt>
                <c:pt idx="10">
                  <c:v>8.3881195089433387</c:v>
                </c:pt>
                <c:pt idx="11">
                  <c:v>9.6645446098257679</c:v>
                </c:pt>
                <c:pt idx="12">
                  <c:v>11.135859237232149</c:v>
                </c:pt>
                <c:pt idx="13">
                  <c:v>12.831913731401018</c:v>
                </c:pt>
                <c:pt idx="14">
                  <c:v>14.787143872355102</c:v>
                </c:pt>
                <c:pt idx="15">
                  <c:v>17.041277176110768</c:v>
                </c:pt>
                <c:pt idx="16">
                  <c:v>34.453320496639996</c:v>
                </c:pt>
                <c:pt idx="17">
                  <c:v>51.613399015111831</c:v>
                </c:pt>
                <c:pt idx="18">
                  <c:v>68.620447763566887</c:v>
                </c:pt>
                <c:pt idx="19">
                  <c:v>85.518340702972125</c:v>
                </c:pt>
                <c:pt idx="20">
                  <c:v>102.33185371141569</c:v>
                </c:pt>
                <c:pt idx="21">
                  <c:v>83.059783755906594</c:v>
                </c:pt>
                <c:pt idx="22">
                  <c:v>100.5838664607631</c:v>
                </c:pt>
                <c:pt idx="23">
                  <c:v>118.03208120289027</c:v>
                </c:pt>
                <c:pt idx="24">
                  <c:v>135.41725555203229</c:v>
                </c:pt>
                <c:pt idx="25">
                  <c:v>152.74863657956141</c:v>
                </c:pt>
                <c:pt idx="26">
                  <c:v>133.33403236134612</c:v>
                </c:pt>
                <c:pt idx="27">
                  <c:v>150.32520254476188</c:v>
                </c:pt>
                <c:pt idx="28">
                  <c:v>167.27057244935506</c:v>
                </c:pt>
                <c:pt idx="29">
                  <c:v>184.1754383487191</c:v>
                </c:pt>
                <c:pt idx="30">
                  <c:v>201.04404298625983</c:v>
                </c:pt>
                <c:pt idx="31">
                  <c:v>179.69416671649591</c:v>
                </c:pt>
                <c:pt idx="32">
                  <c:v>194.5072237017408</c:v>
                </c:pt>
                <c:pt idx="33">
                  <c:v>209.29406224425134</c:v>
                </c:pt>
                <c:pt idx="34">
                  <c:v>224.05679616015789</c:v>
                </c:pt>
                <c:pt idx="35">
                  <c:v>238.79723773455581</c:v>
                </c:pt>
                <c:pt idx="36">
                  <c:v>215.81998944310419</c:v>
                </c:pt>
                <c:pt idx="37">
                  <c:v>228.85837653967619</c:v>
                </c:pt>
                <c:pt idx="38">
                  <c:v>241.87977545595186</c:v>
                </c:pt>
                <c:pt idx="39">
                  <c:v>254.88522992676107</c:v>
                </c:pt>
                <c:pt idx="40">
                  <c:v>267.87566841306398</c:v>
                </c:pt>
                <c:pt idx="41">
                  <c:v>242.90708874646216</c:v>
                </c:pt>
                <c:pt idx="42">
                  <c:v>253.85904094930413</c:v>
                </c:pt>
                <c:pt idx="43">
                  <c:v>264.80029706883334</c:v>
                </c:pt>
                <c:pt idx="44">
                  <c:v>275.73136161299811</c:v>
                </c:pt>
                <c:pt idx="45">
                  <c:v>286.65269579557503</c:v>
                </c:pt>
                <c:pt idx="46">
                  <c:v>265.48378219284547</c:v>
                </c:pt>
                <c:pt idx="47">
                  <c:v>275.04845973255499</c:v>
                </c:pt>
                <c:pt idx="48">
                  <c:v>284.60566685788712</c:v>
                </c:pt>
                <c:pt idx="49">
                  <c:v>294.15568998866848</c:v>
                </c:pt>
                <c:pt idx="50">
                  <c:v>303.69879541443908</c:v>
                </c:pt>
                <c:pt idx="51">
                  <c:v>289.72262669927983</c:v>
                </c:pt>
                <c:pt idx="52">
                  <c:v>297.9055780022702</c:v>
                </c:pt>
                <c:pt idx="53">
                  <c:v>306.08352033451564</c:v>
                </c:pt>
                <c:pt idx="54">
                  <c:v>314.25660652237013</c:v>
                </c:pt>
                <c:pt idx="55">
                  <c:v>322.4249807869187</c:v>
                </c:pt>
                <c:pt idx="56">
                  <c:v>310.5112020975094</c:v>
                </c:pt>
                <c:pt idx="57">
                  <c:v>317.32029156286296</c:v>
                </c:pt>
                <c:pt idx="58">
                  <c:v>324.12614511182926</c:v>
                </c:pt>
                <c:pt idx="59">
                  <c:v>330.92884034916193</c:v>
                </c:pt>
                <c:pt idx="60">
                  <c:v>337.72845142534106</c:v>
                </c:pt>
                <c:pt idx="61">
                  <c:v>328.20813643129185</c:v>
                </c:pt>
                <c:pt idx="62">
                  <c:v>333.98904268407705</c:v>
                </c:pt>
                <c:pt idx="63">
                  <c:v>339.76774401998046</c:v>
                </c:pt>
                <c:pt idx="64">
                  <c:v>345.54428327562624</c:v>
                </c:pt>
                <c:pt idx="65">
                  <c:v>351.31870173688304</c:v>
                </c:pt>
                <c:pt idx="66">
                  <c:v>342.14657846410142</c:v>
                </c:pt>
                <c:pt idx="67">
                  <c:v>346.56345125111949</c:v>
                </c:pt>
                <c:pt idx="68">
                  <c:v>350.97908804987384</c:v>
                </c:pt>
                <c:pt idx="69">
                  <c:v>355.39350662617045</c:v>
                </c:pt>
                <c:pt idx="70">
                  <c:v>359.80672426785873</c:v>
                </c:pt>
                <c:pt idx="71">
                  <c:v>354.03535269094056</c:v>
                </c:pt>
                <c:pt idx="72">
                  <c:v>358.44893803761056</c:v>
                </c:pt>
                <c:pt idx="73">
                  <c:v>362.86133414806545</c:v>
                </c:pt>
                <c:pt idx="74">
                  <c:v>367.2725575433945</c:v>
                </c:pt>
                <c:pt idx="75">
                  <c:v>371.68262431492644</c:v>
                </c:pt>
                <c:pt idx="76">
                  <c:v>363.87941227215771</c:v>
                </c:pt>
                <c:pt idx="77">
                  <c:v>367.95110424042514</c:v>
                </c:pt>
                <c:pt idx="78">
                  <c:v>372.02181276517581</c:v>
                </c:pt>
                <c:pt idx="79">
                  <c:v>376.09155014049156</c:v>
                </c:pt>
                <c:pt idx="80">
                  <c:v>380.16032837232211</c:v>
                </c:pt>
                <c:pt idx="81">
                  <c:v>369.9865806579885</c:v>
                </c:pt>
                <c:pt idx="82">
                  <c:v>369.9865806579885</c:v>
                </c:pt>
                <c:pt idx="83">
                  <c:v>369.9865806579885</c:v>
                </c:pt>
                <c:pt idx="84">
                  <c:v>369.9865806579885</c:v>
                </c:pt>
                <c:pt idx="85">
                  <c:v>369.9865806579885</c:v>
                </c:pt>
                <c:pt idx="86">
                  <c:v>369.9865806579885</c:v>
                </c:pt>
                <c:pt idx="87">
                  <c:v>369.9865806579885</c:v>
                </c:pt>
                <c:pt idx="88">
                  <c:v>369.9865806579885</c:v>
                </c:pt>
                <c:pt idx="89">
                  <c:v>369.9865806579885</c:v>
                </c:pt>
                <c:pt idx="90">
                  <c:v>369.9865806579885</c:v>
                </c:pt>
                <c:pt idx="91">
                  <c:v>369.9865806579885</c:v>
                </c:pt>
                <c:pt idx="92">
                  <c:v>369.9865806579885</c:v>
                </c:pt>
                <c:pt idx="93">
                  <c:v>369.9865806579885</c:v>
                </c:pt>
                <c:pt idx="94">
                  <c:v>369.9865806579885</c:v>
                </c:pt>
                <c:pt idx="95">
                  <c:v>369.9865806579885</c:v>
                </c:pt>
                <c:pt idx="96">
                  <c:v>369.9865806579885</c:v>
                </c:pt>
                <c:pt idx="97">
                  <c:v>369.9865806579885</c:v>
                </c:pt>
                <c:pt idx="98">
                  <c:v>369.9865806579885</c:v>
                </c:pt>
                <c:pt idx="99">
                  <c:v>369.9865806579885</c:v>
                </c:pt>
                <c:pt idx="100">
                  <c:v>369.9865806579885</c:v>
                </c:pt>
                <c:pt idx="101">
                  <c:v>369.9865806579885</c:v>
                </c:pt>
                <c:pt idx="102">
                  <c:v>369.9865806579885</c:v>
                </c:pt>
                <c:pt idx="103">
                  <c:v>369.9865806579885</c:v>
                </c:pt>
                <c:pt idx="104">
                  <c:v>369.9865806579885</c:v>
                </c:pt>
                <c:pt idx="105">
                  <c:v>369.9865806579885</c:v>
                </c:pt>
                <c:pt idx="106">
                  <c:v>369.9865806579885</c:v>
                </c:pt>
                <c:pt idx="107">
                  <c:v>369.9865806579885</c:v>
                </c:pt>
                <c:pt idx="108">
                  <c:v>369.9865806579885</c:v>
                </c:pt>
                <c:pt idx="109">
                  <c:v>369.9865806579885</c:v>
                </c:pt>
                <c:pt idx="110">
                  <c:v>369.9865806579885</c:v>
                </c:pt>
                <c:pt idx="111">
                  <c:v>369.9865806579885</c:v>
                </c:pt>
                <c:pt idx="112">
                  <c:v>369.9865806579885</c:v>
                </c:pt>
                <c:pt idx="113">
                  <c:v>369.9865806579885</c:v>
                </c:pt>
                <c:pt idx="114">
                  <c:v>369.9865806579885</c:v>
                </c:pt>
                <c:pt idx="115">
                  <c:v>369.9865806579885</c:v>
                </c:pt>
                <c:pt idx="116">
                  <c:v>369.9865806579885</c:v>
                </c:pt>
                <c:pt idx="117">
                  <c:v>369.9865806579885</c:v>
                </c:pt>
                <c:pt idx="118">
                  <c:v>369.9865806579885</c:v>
                </c:pt>
                <c:pt idx="119">
                  <c:v>369.9865806579885</c:v>
                </c:pt>
                <c:pt idx="120">
                  <c:v>369.9865806579885</c:v>
                </c:pt>
                <c:pt idx="121">
                  <c:v>369.9865806579885</c:v>
                </c:pt>
                <c:pt idx="122">
                  <c:v>369.9865806579885</c:v>
                </c:pt>
                <c:pt idx="123">
                  <c:v>369.9865806579885</c:v>
                </c:pt>
                <c:pt idx="124">
                  <c:v>369.9865806579885</c:v>
                </c:pt>
                <c:pt idx="125">
                  <c:v>369.9865806579885</c:v>
                </c:pt>
                <c:pt idx="126">
                  <c:v>369.9865806579885</c:v>
                </c:pt>
                <c:pt idx="127">
                  <c:v>369.9865806579885</c:v>
                </c:pt>
                <c:pt idx="128">
                  <c:v>369.9865806579885</c:v>
                </c:pt>
                <c:pt idx="129">
                  <c:v>369.9865806579885</c:v>
                </c:pt>
                <c:pt idx="130">
                  <c:v>369.9865806579885</c:v>
                </c:pt>
                <c:pt idx="131">
                  <c:v>369.9865806579885</c:v>
                </c:pt>
                <c:pt idx="132">
                  <c:v>369.9865806579885</c:v>
                </c:pt>
                <c:pt idx="133">
                  <c:v>369.9865806579885</c:v>
                </c:pt>
                <c:pt idx="134">
                  <c:v>369.9865806579885</c:v>
                </c:pt>
                <c:pt idx="135">
                  <c:v>369.9865806579885</c:v>
                </c:pt>
                <c:pt idx="136">
                  <c:v>369.9865806579885</c:v>
                </c:pt>
                <c:pt idx="137">
                  <c:v>369.9865806579885</c:v>
                </c:pt>
                <c:pt idx="138">
                  <c:v>369.9865806579885</c:v>
                </c:pt>
                <c:pt idx="139">
                  <c:v>369.9865806579885</c:v>
                </c:pt>
                <c:pt idx="140">
                  <c:v>369.9865806579885</c:v>
                </c:pt>
                <c:pt idx="141">
                  <c:v>369.9865806579885</c:v>
                </c:pt>
                <c:pt idx="142">
                  <c:v>369.9865806579885</c:v>
                </c:pt>
                <c:pt idx="143">
                  <c:v>369.9865806579885</c:v>
                </c:pt>
                <c:pt idx="144">
                  <c:v>369.9865806579885</c:v>
                </c:pt>
                <c:pt idx="145">
                  <c:v>369.9865806579885</c:v>
                </c:pt>
                <c:pt idx="146">
                  <c:v>369.9865806579885</c:v>
                </c:pt>
                <c:pt idx="147">
                  <c:v>369.9865806579885</c:v>
                </c:pt>
                <c:pt idx="148">
                  <c:v>369.9865806579885</c:v>
                </c:pt>
                <c:pt idx="149">
                  <c:v>369.9865806579885</c:v>
                </c:pt>
                <c:pt idx="150">
                  <c:v>369.9865806579885</c:v>
                </c:pt>
                <c:pt idx="151">
                  <c:v>369.9865806579885</c:v>
                </c:pt>
                <c:pt idx="152">
                  <c:v>369.9865806579885</c:v>
                </c:pt>
                <c:pt idx="153">
                  <c:v>369.9865806579885</c:v>
                </c:pt>
                <c:pt idx="154">
                  <c:v>369.9865806579885</c:v>
                </c:pt>
                <c:pt idx="155">
                  <c:v>369.9865806579885</c:v>
                </c:pt>
                <c:pt idx="156">
                  <c:v>369.9865806579885</c:v>
                </c:pt>
                <c:pt idx="157">
                  <c:v>369.9865806579885</c:v>
                </c:pt>
                <c:pt idx="158">
                  <c:v>369.9865806579885</c:v>
                </c:pt>
                <c:pt idx="159">
                  <c:v>369.9865806579885</c:v>
                </c:pt>
                <c:pt idx="160">
                  <c:v>369.9865806579885</c:v>
                </c:pt>
                <c:pt idx="161">
                  <c:v>369.9865806579885</c:v>
                </c:pt>
                <c:pt idx="162">
                  <c:v>369.9865806579885</c:v>
                </c:pt>
                <c:pt idx="163">
                  <c:v>369.9865806579885</c:v>
                </c:pt>
                <c:pt idx="164">
                  <c:v>369.9865806579885</c:v>
                </c:pt>
                <c:pt idx="165">
                  <c:v>369.9865806579885</c:v>
                </c:pt>
                <c:pt idx="166">
                  <c:v>369.9865806579885</c:v>
                </c:pt>
                <c:pt idx="167">
                  <c:v>369.9865806579885</c:v>
                </c:pt>
                <c:pt idx="168">
                  <c:v>369.9865806579885</c:v>
                </c:pt>
                <c:pt idx="169">
                  <c:v>369.9865806579885</c:v>
                </c:pt>
                <c:pt idx="170">
                  <c:v>369.9865806579885</c:v>
                </c:pt>
                <c:pt idx="171">
                  <c:v>369.9865806579885</c:v>
                </c:pt>
                <c:pt idx="172">
                  <c:v>369.9865806579885</c:v>
                </c:pt>
                <c:pt idx="173">
                  <c:v>369.9865806579885</c:v>
                </c:pt>
                <c:pt idx="174">
                  <c:v>369.9865806579885</c:v>
                </c:pt>
                <c:pt idx="175">
                  <c:v>369.9865806579885</c:v>
                </c:pt>
                <c:pt idx="176">
                  <c:v>369.9865806579885</c:v>
                </c:pt>
                <c:pt idx="177">
                  <c:v>369.9865806579885</c:v>
                </c:pt>
                <c:pt idx="178">
                  <c:v>369.9865806579885</c:v>
                </c:pt>
                <c:pt idx="179">
                  <c:v>369.9865806579885</c:v>
                </c:pt>
                <c:pt idx="180">
                  <c:v>369.9865806579885</c:v>
                </c:pt>
                <c:pt idx="181">
                  <c:v>369.9865806579885</c:v>
                </c:pt>
                <c:pt idx="182">
                  <c:v>369.9865806579885</c:v>
                </c:pt>
                <c:pt idx="183">
                  <c:v>369.9865806579885</c:v>
                </c:pt>
                <c:pt idx="184">
                  <c:v>369.9865806579885</c:v>
                </c:pt>
                <c:pt idx="185">
                  <c:v>369.9865806579885</c:v>
                </c:pt>
                <c:pt idx="186">
                  <c:v>369.9865806579885</c:v>
                </c:pt>
                <c:pt idx="187">
                  <c:v>369.9865806579885</c:v>
                </c:pt>
                <c:pt idx="188">
                  <c:v>369.9865806579885</c:v>
                </c:pt>
                <c:pt idx="189">
                  <c:v>369.9865806579885</c:v>
                </c:pt>
                <c:pt idx="190">
                  <c:v>369.9865806579885</c:v>
                </c:pt>
                <c:pt idx="191">
                  <c:v>369.9865806579885</c:v>
                </c:pt>
                <c:pt idx="192">
                  <c:v>369.9865806579885</c:v>
                </c:pt>
                <c:pt idx="193">
                  <c:v>369.9865806579885</c:v>
                </c:pt>
                <c:pt idx="194">
                  <c:v>369.9865806579885</c:v>
                </c:pt>
                <c:pt idx="195">
                  <c:v>369.9865806579885</c:v>
                </c:pt>
                <c:pt idx="196">
                  <c:v>369.9865806579885</c:v>
                </c:pt>
                <c:pt idx="197">
                  <c:v>369.9865806579885</c:v>
                </c:pt>
                <c:pt idx="198">
                  <c:v>369.9865806579885</c:v>
                </c:pt>
                <c:pt idx="199">
                  <c:v>369.9865806579885</c:v>
                </c:pt>
                <c:pt idx="200">
                  <c:v>369.9865806579885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148.71585437138609</c:v>
                </c:pt>
                <c:pt idx="22">
                  <c:v>166.18689856434787</c:v>
                </c:pt>
                <c:pt idx="23">
                  <c:v>183.6145755041251</c:v>
                </c:pt>
                <c:pt idx="24">
                  <c:v>201.00358266422018</c:v>
                </c:pt>
                <c:pt idx="25">
                  <c:v>218.35773715529604</c:v>
                </c:pt>
                <c:pt idx="26">
                  <c:v>191.93562952471487</c:v>
                </c:pt>
                <c:pt idx="27">
                  <c:v>208.9302515139897</c:v>
                </c:pt>
                <c:pt idx="28">
                  <c:v>225.89297020726829</c:v>
                </c:pt>
                <c:pt idx="29">
                  <c:v>242.8265187332286</c:v>
                </c:pt>
                <c:pt idx="30">
                  <c:v>259.73321764902875</c:v>
                </c:pt>
                <c:pt idx="31">
                  <c:v>230.41133295181578</c:v>
                </c:pt>
                <c:pt idx="32">
                  <c:v>246.20993843849078</c:v>
                </c:pt>
                <c:pt idx="33">
                  <c:v>261.98552595095464</c:v>
                </c:pt>
                <c:pt idx="34">
                  <c:v>277.73967673325717</c:v>
                </c:pt>
                <c:pt idx="35">
                  <c:v>293.47377793906509</c:v>
                </c:pt>
                <c:pt idx="36">
                  <c:v>263.1115158976508</c:v>
                </c:pt>
                <c:pt idx="37">
                  <c:v>277.73967673325717</c:v>
                </c:pt>
                <c:pt idx="38">
                  <c:v>292.35055150938058</c:v>
                </c:pt>
                <c:pt idx="39">
                  <c:v>306.94512587259845</c:v>
                </c:pt>
                <c:pt idx="40">
                  <c:v>321.52428406625802</c:v>
                </c:pt>
                <c:pt idx="41">
                  <c:v>291.60168035874693</c:v>
                </c:pt>
                <c:pt idx="42">
                  <c:v>304.7008312271609</c:v>
                </c:pt>
                <c:pt idx="43">
                  <c:v>317.78746245668049</c:v>
                </c:pt>
                <c:pt idx="44">
                  <c:v>330.8621623472693</c:v>
                </c:pt>
                <c:pt idx="45">
                  <c:v>343.92546889640738</c:v>
                </c:pt>
                <c:pt idx="46">
                  <c:v>315.17110877697843</c:v>
                </c:pt>
                <c:pt idx="47">
                  <c:v>327.50120555867051</c:v>
                </c:pt>
                <c:pt idx="48">
                  <c:v>339.8210552385695</c:v>
                </c:pt>
                <c:pt idx="49">
                  <c:v>352.13108175057886</c:v>
                </c:pt>
                <c:pt idx="50">
                  <c:v>364.43167696167438</c:v>
                </c:pt>
                <c:pt idx="51">
                  <c:v>336.83534260693528</c:v>
                </c:pt>
                <c:pt idx="52">
                  <c:v>348.40178403373966</c:v>
                </c:pt>
                <c:pt idx="53">
                  <c:v>359.95980096859563</c:v>
                </c:pt>
                <c:pt idx="54">
                  <c:v>371.50970211515966</c:v>
                </c:pt>
                <c:pt idx="55">
                  <c:v>383.05177541071225</c:v>
                </c:pt>
                <c:pt idx="56">
                  <c:v>355.4867090941064</c:v>
                </c:pt>
                <c:pt idx="57">
                  <c:v>365.17687261995815</c:v>
                </c:pt>
                <c:pt idx="58">
                  <c:v>374.86142076164555</c:v>
                </c:pt>
                <c:pt idx="59">
                  <c:v>384.5405191164823</c:v>
                </c:pt>
                <c:pt idx="60">
                  <c:v>394.21432426135431</c:v>
                </c:pt>
                <c:pt idx="61">
                  <c:v>370.01983804377852</c:v>
                </c:pt>
                <c:pt idx="62">
                  <c:v>379.32936443758246</c:v>
                </c:pt>
                <c:pt idx="63">
                  <c:v>388.63392005694874</c:v>
                </c:pt>
                <c:pt idx="64">
                  <c:v>397.93364074958487</c:v>
                </c:pt>
                <c:pt idx="65">
                  <c:v>407.22865549260905</c:v>
                </c:pt>
                <c:pt idx="66">
                  <c:v>384.16834495549637</c:v>
                </c:pt>
                <c:pt idx="67">
                  <c:v>392.72638504489856</c:v>
                </c:pt>
                <c:pt idx="68">
                  <c:v>401.28038164783965</c:v>
                </c:pt>
                <c:pt idx="69">
                  <c:v>409.83043316117727</c:v>
                </c:pt>
                <c:pt idx="70">
                  <c:v>418.37663353903218</c:v>
                </c:pt>
                <c:pt idx="71">
                  <c:v>395.70214171866616</c:v>
                </c:pt>
                <c:pt idx="72">
                  <c:v>402.76762782233124</c:v>
                </c:pt>
                <c:pt idx="73">
                  <c:v>409.83043316117727</c:v>
                </c:pt>
                <c:pt idx="74">
                  <c:v>416.89061048442267</c:v>
                </c:pt>
                <c:pt idx="75">
                  <c:v>423.94821060760881</c:v>
                </c:pt>
                <c:pt idx="76">
                  <c:v>404.62651852552534</c:v>
                </c:pt>
                <c:pt idx="77">
                  <c:v>411.31700294422785</c:v>
                </c:pt>
                <c:pt idx="78">
                  <c:v>418.00513845794814</c:v>
                </c:pt>
                <c:pt idx="79">
                  <c:v>424.69096797933253</c:v>
                </c:pt>
                <c:pt idx="80">
                  <c:v>431.37453295867726</c:v>
                </c:pt>
                <c:pt idx="81">
                  <c:v>413.17505211911867</c:v>
                </c:pt>
                <c:pt idx="82">
                  <c:v>419.11960237942054</c:v>
                </c:pt>
                <c:pt idx="83">
                  <c:v>425.06233617824188</c:v>
                </c:pt>
                <c:pt idx="84">
                  <c:v>431.00328251520631</c:v>
                </c:pt>
                <c:pt idx="85">
                  <c:v>436.94246952460412</c:v>
                </c:pt>
                <c:pt idx="86">
                  <c:v>420.23400244347653</c:v>
                </c:pt>
                <c:pt idx="87">
                  <c:v>425.80505163704896</c:v>
                </c:pt>
                <c:pt idx="88">
                  <c:v>431.37453295867726</c:v>
                </c:pt>
                <c:pt idx="89">
                  <c:v>436.94246952460412</c:v>
                </c:pt>
                <c:pt idx="90">
                  <c:v>442.5088838133741</c:v>
                </c:pt>
                <c:pt idx="91">
                  <c:v>427.29039899318769</c:v>
                </c:pt>
                <c:pt idx="92">
                  <c:v>432.48824312398847</c:v>
                </c:pt>
                <c:pt idx="93">
                  <c:v>437.68474556682258</c:v>
                </c:pt>
                <c:pt idx="94">
                  <c:v>442.87992451288648</c:v>
                </c:pt>
                <c:pt idx="95">
                  <c:v>448.07379769140431</c:v>
                </c:pt>
                <c:pt idx="96">
                  <c:v>433.23068233058711</c:v>
                </c:pt>
                <c:pt idx="97">
                  <c:v>438.7981090039205</c:v>
                </c:pt>
                <c:pt idx="98">
                  <c:v>444.36402075569328</c:v>
                </c:pt>
                <c:pt idx="99">
                  <c:v>449.92843925372921</c:v>
                </c:pt>
                <c:pt idx="100">
                  <c:v>455.49138558575515</c:v>
                </c:pt>
                <c:pt idx="101">
                  <c:v>433.23068233058711</c:v>
                </c:pt>
                <c:pt idx="102">
                  <c:v>433.23068233058711</c:v>
                </c:pt>
                <c:pt idx="103">
                  <c:v>433.23068233058711</c:v>
                </c:pt>
                <c:pt idx="104">
                  <c:v>433.23068233058711</c:v>
                </c:pt>
                <c:pt idx="105">
                  <c:v>433.23068233058711</c:v>
                </c:pt>
                <c:pt idx="106">
                  <c:v>433.23068233058711</c:v>
                </c:pt>
                <c:pt idx="107">
                  <c:v>433.23068233058711</c:v>
                </c:pt>
                <c:pt idx="108">
                  <c:v>433.23068233058711</c:v>
                </c:pt>
                <c:pt idx="109">
                  <c:v>433.23068233058711</c:v>
                </c:pt>
                <c:pt idx="110">
                  <c:v>433.23068233058711</c:v>
                </c:pt>
                <c:pt idx="111">
                  <c:v>433.23068233058711</c:v>
                </c:pt>
                <c:pt idx="112">
                  <c:v>433.23068233058711</c:v>
                </c:pt>
                <c:pt idx="113">
                  <c:v>433.23068233058711</c:v>
                </c:pt>
                <c:pt idx="114">
                  <c:v>433.23068233058711</c:v>
                </c:pt>
                <c:pt idx="115">
                  <c:v>433.23068233058711</c:v>
                </c:pt>
                <c:pt idx="116">
                  <c:v>433.23068233058711</c:v>
                </c:pt>
                <c:pt idx="117">
                  <c:v>433.23068233058711</c:v>
                </c:pt>
                <c:pt idx="118">
                  <c:v>433.23068233058711</c:v>
                </c:pt>
                <c:pt idx="119">
                  <c:v>433.23068233058711</c:v>
                </c:pt>
                <c:pt idx="120">
                  <c:v>433.23068233058711</c:v>
                </c:pt>
                <c:pt idx="121">
                  <c:v>433.23068233058711</c:v>
                </c:pt>
                <c:pt idx="122">
                  <c:v>433.23068233058711</c:v>
                </c:pt>
                <c:pt idx="123">
                  <c:v>433.23068233058711</c:v>
                </c:pt>
                <c:pt idx="124">
                  <c:v>433.23068233058711</c:v>
                </c:pt>
                <c:pt idx="125">
                  <c:v>433.23068233058711</c:v>
                </c:pt>
                <c:pt idx="126">
                  <c:v>433.23068233058711</c:v>
                </c:pt>
                <c:pt idx="127">
                  <c:v>433.23068233058711</c:v>
                </c:pt>
                <c:pt idx="128">
                  <c:v>433.23068233058711</c:v>
                </c:pt>
                <c:pt idx="129">
                  <c:v>433.23068233058711</c:v>
                </c:pt>
                <c:pt idx="130">
                  <c:v>433.23068233058711</c:v>
                </c:pt>
                <c:pt idx="131">
                  <c:v>433.23068233058711</c:v>
                </c:pt>
                <c:pt idx="132">
                  <c:v>433.23068233058711</c:v>
                </c:pt>
                <c:pt idx="133">
                  <c:v>433.23068233058711</c:v>
                </c:pt>
                <c:pt idx="134">
                  <c:v>433.23068233058711</c:v>
                </c:pt>
                <c:pt idx="135">
                  <c:v>433.23068233058711</c:v>
                </c:pt>
                <c:pt idx="136">
                  <c:v>433.23068233058711</c:v>
                </c:pt>
                <c:pt idx="137">
                  <c:v>433.23068233058711</c:v>
                </c:pt>
                <c:pt idx="138">
                  <c:v>433.23068233058711</c:v>
                </c:pt>
                <c:pt idx="139">
                  <c:v>433.23068233058711</c:v>
                </c:pt>
                <c:pt idx="140">
                  <c:v>433.23068233058711</c:v>
                </c:pt>
                <c:pt idx="141">
                  <c:v>433.23068233058711</c:v>
                </c:pt>
                <c:pt idx="142">
                  <c:v>433.23068233058711</c:v>
                </c:pt>
                <c:pt idx="143">
                  <c:v>433.23068233058711</c:v>
                </c:pt>
                <c:pt idx="144">
                  <c:v>433.23068233058711</c:v>
                </c:pt>
                <c:pt idx="145">
                  <c:v>433.23068233058711</c:v>
                </c:pt>
                <c:pt idx="146">
                  <c:v>433.23068233058711</c:v>
                </c:pt>
                <c:pt idx="147">
                  <c:v>433.23068233058711</c:v>
                </c:pt>
                <c:pt idx="148">
                  <c:v>433.23068233058711</c:v>
                </c:pt>
                <c:pt idx="149">
                  <c:v>433.23068233058711</c:v>
                </c:pt>
                <c:pt idx="150">
                  <c:v>433.23068233058711</c:v>
                </c:pt>
                <c:pt idx="151">
                  <c:v>433.23068233058711</c:v>
                </c:pt>
                <c:pt idx="152">
                  <c:v>433.23068233058711</c:v>
                </c:pt>
                <c:pt idx="153">
                  <c:v>433.23068233058711</c:v>
                </c:pt>
                <c:pt idx="154">
                  <c:v>433.23068233058711</c:v>
                </c:pt>
                <c:pt idx="155">
                  <c:v>433.23068233058711</c:v>
                </c:pt>
                <c:pt idx="156">
                  <c:v>433.23068233058711</c:v>
                </c:pt>
                <c:pt idx="157">
                  <c:v>433.23068233058711</c:v>
                </c:pt>
                <c:pt idx="158">
                  <c:v>433.23068233058711</c:v>
                </c:pt>
                <c:pt idx="159">
                  <c:v>433.23068233058711</c:v>
                </c:pt>
                <c:pt idx="160">
                  <c:v>433.23068233058711</c:v>
                </c:pt>
                <c:pt idx="161">
                  <c:v>433.23068233058711</c:v>
                </c:pt>
                <c:pt idx="162">
                  <c:v>433.23068233058711</c:v>
                </c:pt>
                <c:pt idx="163">
                  <c:v>433.23068233058711</c:v>
                </c:pt>
                <c:pt idx="164">
                  <c:v>433.23068233058711</c:v>
                </c:pt>
                <c:pt idx="165">
                  <c:v>433.23068233058711</c:v>
                </c:pt>
                <c:pt idx="166">
                  <c:v>433.23068233058711</c:v>
                </c:pt>
                <c:pt idx="167">
                  <c:v>433.23068233058711</c:v>
                </c:pt>
                <c:pt idx="168">
                  <c:v>433.23068233058711</c:v>
                </c:pt>
                <c:pt idx="169">
                  <c:v>433.23068233058711</c:v>
                </c:pt>
                <c:pt idx="170">
                  <c:v>433.23068233058711</c:v>
                </c:pt>
                <c:pt idx="171">
                  <c:v>433.23068233058711</c:v>
                </c:pt>
                <c:pt idx="172">
                  <c:v>433.23068233058711</c:v>
                </c:pt>
                <c:pt idx="173">
                  <c:v>433.23068233058711</c:v>
                </c:pt>
                <c:pt idx="174">
                  <c:v>433.23068233058711</c:v>
                </c:pt>
                <c:pt idx="175">
                  <c:v>433.23068233058711</c:v>
                </c:pt>
                <c:pt idx="176">
                  <c:v>433.23068233058711</c:v>
                </c:pt>
                <c:pt idx="177">
                  <c:v>433.23068233058711</c:v>
                </c:pt>
                <c:pt idx="178">
                  <c:v>433.23068233058711</c:v>
                </c:pt>
                <c:pt idx="179">
                  <c:v>433.23068233058711</c:v>
                </c:pt>
                <c:pt idx="180">
                  <c:v>433.23068233058711</c:v>
                </c:pt>
                <c:pt idx="181">
                  <c:v>433.23068233058711</c:v>
                </c:pt>
                <c:pt idx="182">
                  <c:v>433.23068233058711</c:v>
                </c:pt>
                <c:pt idx="183">
                  <c:v>433.23068233058711</c:v>
                </c:pt>
                <c:pt idx="184">
                  <c:v>433.23068233058711</c:v>
                </c:pt>
                <c:pt idx="185">
                  <c:v>433.23068233058711</c:v>
                </c:pt>
                <c:pt idx="186">
                  <c:v>433.23068233058711</c:v>
                </c:pt>
                <c:pt idx="187">
                  <c:v>433.23068233058711</c:v>
                </c:pt>
                <c:pt idx="188">
                  <c:v>433.23068233058711</c:v>
                </c:pt>
                <c:pt idx="189">
                  <c:v>433.23068233058711</c:v>
                </c:pt>
                <c:pt idx="190">
                  <c:v>433.23068233058711</c:v>
                </c:pt>
                <c:pt idx="191">
                  <c:v>433.23068233058711</c:v>
                </c:pt>
                <c:pt idx="192">
                  <c:v>433.23068233058711</c:v>
                </c:pt>
                <c:pt idx="193">
                  <c:v>433.23068233058711</c:v>
                </c:pt>
                <c:pt idx="194">
                  <c:v>433.23068233058711</c:v>
                </c:pt>
                <c:pt idx="195">
                  <c:v>433.23068233058711</c:v>
                </c:pt>
                <c:pt idx="196">
                  <c:v>433.23068233058711</c:v>
                </c:pt>
                <c:pt idx="197">
                  <c:v>433.23068233058711</c:v>
                </c:pt>
                <c:pt idx="198">
                  <c:v>433.23068233058711</c:v>
                </c:pt>
                <c:pt idx="199">
                  <c:v>433.23068233058711</c:v>
                </c:pt>
                <c:pt idx="200">
                  <c:v>433.23068233058711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2.539933404967663</c:v>
                </c:pt>
                <c:pt idx="2">
                  <c:v>2.9387383549715431</c:v>
                </c:pt>
                <c:pt idx="3">
                  <c:v>3.4003877117187531</c:v>
                </c:pt>
                <c:pt idx="4">
                  <c:v>3.9348183431759032</c:v>
                </c:pt>
                <c:pt idx="5">
                  <c:v>4.5535433269989189</c:v>
                </c:pt>
                <c:pt idx="6">
                  <c:v>5.2699027131439875</c:v>
                </c:pt>
                <c:pt idx="7">
                  <c:v>6.0993542900189297</c:v>
                </c:pt>
                <c:pt idx="8">
                  <c:v>7.0598107518899305</c:v>
                </c:pt>
                <c:pt idx="9">
                  <c:v>8.1720306907897484</c:v>
                </c:pt>
                <c:pt idx="10">
                  <c:v>9.4600720264377216</c:v>
                </c:pt>
                <c:pt idx="11">
                  <c:v>10.951817869190812</c:v>
                </c:pt>
                <c:pt idx="12">
                  <c:v>12.679586414584152</c:v>
                </c:pt>
                <c:pt idx="13">
                  <c:v>14.680838329338625</c:v>
                </c:pt>
                <c:pt idx="14">
                  <c:v>16.998997249327591</c:v>
                </c:pt>
                <c:pt idx="15">
                  <c:v>19.684401518117188</c:v>
                </c:pt>
                <c:pt idx="16">
                  <c:v>22.795408206316029</c:v>
                </c:pt>
                <c:pt idx="17">
                  <c:v>26.399673832118463</c:v>
                </c:pt>
                <c:pt idx="18">
                  <c:v>30.575640127623384</c:v>
                </c:pt>
                <c:pt idx="19">
                  <c:v>35.414257751475219</c:v>
                </c:pt>
                <c:pt idx="20">
                  <c:v>41.020986137985233</c:v>
                </c:pt>
                <c:pt idx="21">
                  <c:v>47.518113814483179</c:v>
                </c:pt>
                <c:pt idx="22">
                  <c:v>55.047450649674779</c:v>
                </c:pt>
                <c:pt idx="23">
                  <c:v>63.773451775892255</c:v>
                </c:pt>
                <c:pt idx="24">
                  <c:v>73.886842542785018</c:v>
                </c:pt>
                <c:pt idx="25">
                  <c:v>85.608825024635124</c:v>
                </c:pt>
                <c:pt idx="26">
                  <c:v>99.195959568354581</c:v>
                </c:pt>
                <c:pt idx="27">
                  <c:v>114.94582992504996</c:v>
                </c:pt>
                <c:pt idx="28">
                  <c:v>133.2036179925536</c:v>
                </c:pt>
                <c:pt idx="29">
                  <c:v>154.36973450187929</c:v>
                </c:pt>
                <c:pt idx="30">
                  <c:v>178.90867556298215</c:v>
                </c:pt>
                <c:pt idx="31">
                  <c:v>189.80319566002845</c:v>
                </c:pt>
                <c:pt idx="32">
                  <c:v>200.68314823741835</c:v>
                </c:pt>
                <c:pt idx="33">
                  <c:v>211.5494350108263</c:v>
                </c:pt>
                <c:pt idx="34">
                  <c:v>222.40285739983531</c:v>
                </c:pt>
                <c:pt idx="35">
                  <c:v>233.24413214066396</c:v>
                </c:pt>
                <c:pt idx="36">
                  <c:v>244.07390384029077</c:v>
                </c:pt>
                <c:pt idx="37">
                  <c:v>254.89275518312866</c:v>
                </c:pt>
                <c:pt idx="38">
                  <c:v>265.7012153122717</c:v>
                </c:pt>
                <c:pt idx="39">
                  <c:v>276.49976677430419</c:v>
                </c:pt>
                <c:pt idx="40">
                  <c:v>287.2888513215085</c:v>
                </c:pt>
                <c:pt idx="41">
                  <c:v>298.06887479619991</c:v>
                </c:pt>
                <c:pt idx="42">
                  <c:v>308.84021127102045</c:v>
                </c:pt>
                <c:pt idx="43">
                  <c:v>319.60320658106974</c:v>
                </c:pt>
                <c:pt idx="44">
                  <c:v>330.35818135509879</c:v>
                </c:pt>
                <c:pt idx="45">
                  <c:v>341.10543363114522</c:v>
                </c:pt>
                <c:pt idx="46">
                  <c:v>351.84524112514856</c:v>
                </c:pt>
                <c:pt idx="47">
                  <c:v>362.57786320799164</c:v>
                </c:pt>
                <c:pt idx="48">
                  <c:v>373.30354263614316</c:v>
                </c:pt>
                <c:pt idx="49">
                  <c:v>384.02250707295207</c:v>
                </c:pt>
                <c:pt idx="50">
                  <c:v>394.73497043117681</c:v>
                </c:pt>
                <c:pt idx="51">
                  <c:v>405.44113406213569</c:v>
                </c:pt>
                <c:pt idx="52">
                  <c:v>416.14118781267484</c:v>
                </c:pt>
                <c:pt idx="53">
                  <c:v>426.8353109677343</c:v>
                </c:pt>
                <c:pt idx="54">
                  <c:v>437.52367309351303</c:v>
                </c:pt>
                <c:pt idx="55">
                  <c:v>448.20643479393749</c:v>
                </c:pt>
                <c:pt idx="56">
                  <c:v>458.88374839124276</c:v>
                </c:pt>
                <c:pt idx="57">
                  <c:v>469.55575853990604</c:v>
                </c:pt>
                <c:pt idx="58">
                  <c:v>254.78941383377799</c:v>
                </c:pt>
                <c:pt idx="59">
                  <c:v>269.38942461905521</c:v>
                </c:pt>
                <c:pt idx="60">
                  <c:v>283.9716283397529</c:v>
                </c:pt>
                <c:pt idx="61">
                  <c:v>298.53706827792757</c:v>
                </c:pt>
                <c:pt idx="62">
                  <c:v>313.08667757566855</c:v>
                </c:pt>
                <c:pt idx="63">
                  <c:v>327.62129554896075</c:v>
                </c:pt>
                <c:pt idx="64">
                  <c:v>342.14168095360378</c:v>
                </c:pt>
                <c:pt idx="65">
                  <c:v>356.64852288044455</c:v>
                </c:pt>
                <c:pt idx="66">
                  <c:v>371.14244978472578</c:v>
                </c:pt>
                <c:pt idx="67">
                  <c:v>275.62119995486228</c:v>
                </c:pt>
                <c:pt idx="68">
                  <c:v>289.76649076712255</c:v>
                </c:pt>
                <c:pt idx="69">
                  <c:v>303.89635358819442</c:v>
                </c:pt>
                <c:pt idx="70">
                  <c:v>318.01160686605527</c:v>
                </c:pt>
                <c:pt idx="71">
                  <c:v>332.11299044745334</c:v>
                </c:pt>
                <c:pt idx="72">
                  <c:v>346.20117621390642</c:v>
                </c:pt>
                <c:pt idx="73">
                  <c:v>360.27677689527462</c:v>
                </c:pt>
                <c:pt idx="74">
                  <c:v>374.34035343360989</c:v>
                </c:pt>
                <c:pt idx="75">
                  <c:v>388.39242118235501</c:v>
                </c:pt>
                <c:pt idx="76">
                  <c:v>299.60255110110774</c:v>
                </c:pt>
                <c:pt idx="77">
                  <c:v>313.06183287828691</c:v>
                </c:pt>
                <c:pt idx="78">
                  <c:v>326.50828468312966</c:v>
                </c:pt>
                <c:pt idx="79">
                  <c:v>339.94250939222701</c:v>
                </c:pt>
                <c:pt idx="80">
                  <c:v>353.3650583338067</c:v>
                </c:pt>
                <c:pt idx="81">
                  <c:v>366.77643752736367</c:v>
                </c:pt>
                <c:pt idx="82">
                  <c:v>380.17711296275655</c:v>
                </c:pt>
                <c:pt idx="83">
                  <c:v>393.56751509596444</c:v>
                </c:pt>
                <c:pt idx="84">
                  <c:v>406.94804270098098</c:v>
                </c:pt>
                <c:pt idx="85">
                  <c:v>331.89620796106232</c:v>
                </c:pt>
                <c:pt idx="86">
                  <c:v>344.63935411673066</c:v>
                </c:pt>
                <c:pt idx="87">
                  <c:v>357.37215197343636</c:v>
                </c:pt>
                <c:pt idx="88">
                  <c:v>370.09502223538175</c:v>
                </c:pt>
                <c:pt idx="89">
                  <c:v>382.80835431624308</c:v>
                </c:pt>
                <c:pt idx="90">
                  <c:v>395.51250965034842</c:v>
                </c:pt>
                <c:pt idx="91">
                  <c:v>408.20782455615603</c:v>
                </c:pt>
                <c:pt idx="92">
                  <c:v>420.89461272488626</c:v>
                </c:pt>
                <c:pt idx="93">
                  <c:v>433.57316739343128</c:v>
                </c:pt>
                <c:pt idx="94">
                  <c:v>355.91801603468252</c:v>
                </c:pt>
                <c:pt idx="95">
                  <c:v>367.73220996259624</c:v>
                </c:pt>
                <c:pt idx="96">
                  <c:v>379.53812121541665</c:v>
                </c:pt>
                <c:pt idx="97">
                  <c:v>391.33604379666866</c:v>
                </c:pt>
                <c:pt idx="98">
                  <c:v>403.12625253274797</c:v>
                </c:pt>
                <c:pt idx="99">
                  <c:v>414.90900486001851</c:v>
                </c:pt>
                <c:pt idx="100">
                  <c:v>426.68454239829072</c:v>
                </c:pt>
                <c:pt idx="101">
                  <c:v>438.45309234152916</c:v>
                </c:pt>
                <c:pt idx="102">
                  <c:v>450.21486869145269</c:v>
                </c:pt>
                <c:pt idx="103">
                  <c:v>461.97007335550325</c:v>
                </c:pt>
                <c:pt idx="104">
                  <c:v>473.71889712723674</c:v>
                </c:pt>
                <c:pt idx="105">
                  <c:v>485.46152056439013</c:v>
                </c:pt>
                <c:pt idx="106">
                  <c:v>386.50360205463124</c:v>
                </c:pt>
                <c:pt idx="107">
                  <c:v>397.21599841201055</c:v>
                </c:pt>
                <c:pt idx="108">
                  <c:v>407.92213836818223</c:v>
                </c:pt>
                <c:pt idx="109">
                  <c:v>418.62220931619049</c:v>
                </c:pt>
                <c:pt idx="110">
                  <c:v>429.31638828552923</c:v>
                </c:pt>
                <c:pt idx="111">
                  <c:v>440.0048427646887</c:v>
                </c:pt>
                <c:pt idx="112">
                  <c:v>450.68773143960101</c:v>
                </c:pt>
                <c:pt idx="113">
                  <c:v>461.3652048584172</c:v>
                </c:pt>
                <c:pt idx="114">
                  <c:v>472.03740603153148</c:v>
                </c:pt>
                <c:pt idx="115">
                  <c:v>482.70447097451409</c:v>
                </c:pt>
                <c:pt idx="116">
                  <c:v>493.36652920055161</c:v>
                </c:pt>
                <c:pt idx="117">
                  <c:v>504.02370416810271</c:v>
                </c:pt>
                <c:pt idx="118">
                  <c:v>417.89034535076036</c:v>
                </c:pt>
                <c:pt idx="119">
                  <c:v>427.58751321389354</c:v>
                </c:pt>
                <c:pt idx="120">
                  <c:v>437.27995314823897</c:v>
                </c:pt>
                <c:pt idx="121">
                  <c:v>446.96778475746038</c:v>
                </c:pt>
                <c:pt idx="122">
                  <c:v>456.65112203605577</c:v>
                </c:pt>
                <c:pt idx="123">
                  <c:v>466.33007374834114</c:v>
                </c:pt>
                <c:pt idx="124">
                  <c:v>476.0047437743271</c:v>
                </c:pt>
                <c:pt idx="125">
                  <c:v>485.67523142600879</c:v>
                </c:pt>
                <c:pt idx="126">
                  <c:v>495.34163173715098</c:v>
                </c:pt>
                <c:pt idx="127">
                  <c:v>505.00403572927416</c:v>
                </c:pt>
                <c:pt idx="128">
                  <c:v>514.66253065622095</c:v>
                </c:pt>
                <c:pt idx="129">
                  <c:v>524.31720022941147</c:v>
                </c:pt>
                <c:pt idx="130">
                  <c:v>348.91892613845948</c:v>
                </c:pt>
                <c:pt idx="131">
                  <c:v>357.39092678747141</c:v>
                </c:pt>
                <c:pt idx="132">
                  <c:v>365.85853206400765</c:v>
                </c:pt>
                <c:pt idx="133">
                  <c:v>374.32185811143216</c:v>
                </c:pt>
                <c:pt idx="134">
                  <c:v>382.78101538918963</c:v>
                </c:pt>
                <c:pt idx="135">
                  <c:v>256.48391730291434</c:v>
                </c:pt>
                <c:pt idx="136">
                  <c:v>263.36180701913031</c:v>
                </c:pt>
                <c:pt idx="137">
                  <c:v>270.23564465585014</c:v>
                </c:pt>
                <c:pt idx="138">
                  <c:v>277.10554795580606</c:v>
                </c:pt>
                <c:pt idx="139">
                  <c:v>283.9716283397529</c:v>
                </c:pt>
                <c:pt idx="140">
                  <c:v>174.59250381334218</c:v>
                </c:pt>
                <c:pt idx="141">
                  <c:v>179.80260263440741</c:v>
                </c:pt>
                <c:pt idx="142">
                  <c:v>185.00916508512452</c:v>
                </c:pt>
                <c:pt idx="143">
                  <c:v>190.21230493871579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oklima1.sharepoint.com/sites/TeamOklima/Shared%20Documents/03%20-%20D&#233;veloppement/1%20-%20FORET/1%20-%20PROJETS/LACOMBE%20Eric/H&#233;rault_Cambon-et-Salvergues_5,25ha%20(Eric%20LACOMBE%20et%20Francis%20DORIER)/1.Dossier_en_cours/Doc_8_Calculateur.xlsx" TargetMode="External"/><Relationship Id="rId2" Type="http://schemas.microsoft.com/office/2019/04/relationships/externalLinkLongPath" Target="Doc_8_Calculateur.xlsx?9FF16864" TargetMode="External"/><Relationship Id="rId1" Type="http://schemas.openxmlformats.org/officeDocument/2006/relationships/externalLinkPath" Target="file:///\\9FF16864\Doc_8_Calculate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ez-moi"/>
      <sheetName val="CO2"/>
      <sheetName val="Communes Francaises"/>
      <sheetName val="Financement"/>
      <sheetName val="ECO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/>
      <sheetData sheetId="1">
        <row r="34">
          <cell r="D34" t="str">
            <v>Cèdre de l'Atlas</v>
          </cell>
          <cell r="E34">
            <v>0.5</v>
          </cell>
        </row>
        <row r="35">
          <cell r="D35" t="str">
            <v>Pin laricio</v>
          </cell>
          <cell r="E35">
            <v>0.16</v>
          </cell>
        </row>
        <row r="36">
          <cell r="D36" t="str">
            <v>Douglas</v>
          </cell>
          <cell r="E36">
            <v>0.16</v>
          </cell>
        </row>
        <row r="37">
          <cell r="D37" t="str">
            <v>Mélèze hybride</v>
          </cell>
          <cell r="E37">
            <v>0.1</v>
          </cell>
        </row>
        <row r="38">
          <cell r="D38" t="str">
            <v>Erable sycomore</v>
          </cell>
          <cell r="E38">
            <v>0.02</v>
          </cell>
        </row>
        <row r="39">
          <cell r="D39" t="str">
            <v>Chêne rouge d'Amérique</v>
          </cell>
          <cell r="E39">
            <v>0.02</v>
          </cell>
        </row>
        <row r="40">
          <cell r="D40" t="str">
            <v>Chêne sessile</v>
          </cell>
          <cell r="E40">
            <v>0.02</v>
          </cell>
        </row>
        <row r="41">
          <cell r="D41" t="str">
            <v>Hêtre</v>
          </cell>
          <cell r="E41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ucie CAUCHOIS" id="{7ABCF2FF-E144-4AD5-A893-5C0DA3693F07}" userId="S::lucie.cauchois@oklima.fr::673eb329-28ae-4828-a327-67589683f74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11-19T15:51:44.38" personId="{7ABCF2FF-E144-4AD5-A893-5C0DA3693F07}" id="{D1A108EA-AE48-4770-9067-ACE199B13350}">
    <text>fourniture</text>
  </threadedComment>
  <threadedComment ref="E48" dT="2024-11-19T15:52:12.54" personId="{7ABCF2FF-E144-4AD5-A893-5C0DA3693F07}" id="{A083521B-0B48-4A62-AC47-BACA57569C3D}">
    <text>Fourniture</text>
  </threadedComment>
  <threadedComment ref="E79" dT="2024-11-19T15:52:37.36" personId="{7ABCF2FF-E144-4AD5-A893-5C0DA3693F07}" id="{10F1B5A3-84A6-4B33-8A10-889E3D68C067}">
    <text>fourniture</text>
  </threadedComment>
  <threadedComment ref="E110" dT="2024-11-19T15:53:36.90" personId="{7ABCF2FF-E144-4AD5-A893-5C0DA3693F07}" id="{B823B768-CACF-4BE5-B4AC-D35AA7CCB0E1}">
    <text>Fourniture</text>
  </threadedComment>
  <threadedComment ref="E141" dT="2024-11-19T15:53:59.66" personId="{7ABCF2FF-E144-4AD5-A893-5C0DA3693F07}" id="{CCC3AAD3-1670-4AAE-9E82-CBA95FD180A6}">
    <text xml:space="preserve">Fourniture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0" zoomScale="61" zoomScaleNormal="90" workbookViewId="0">
      <selection activeCell="H23" sqref="H23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5.25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tr">
        <f>[1]CO2!D34</f>
        <v>Cèdre de l'Atlas</v>
      </c>
      <c r="C9" s="32">
        <f>[1]CO2!E34</f>
        <v>0.5</v>
      </c>
      <c r="D9" s="33">
        <f t="shared" ref="D9:D18" si="0">C9*$C$5</f>
        <v>2.625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tr">
        <f>[1]CO2!D35</f>
        <v>Pin laricio</v>
      </c>
      <c r="C10" s="32">
        <f>[1]CO2!E35</f>
        <v>0.16</v>
      </c>
      <c r="D10" s="33">
        <f t="shared" si="0"/>
        <v>0.84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tr">
        <f>[1]CO2!D36</f>
        <v>Douglas</v>
      </c>
      <c r="C11" s="32">
        <f>[1]CO2!E36</f>
        <v>0.16</v>
      </c>
      <c r="D11" s="33">
        <f t="shared" si="0"/>
        <v>0.84</v>
      </c>
      <c r="E11" s="34">
        <v>54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tr">
        <f>[1]CO2!D37</f>
        <v>Mélèze hybride</v>
      </c>
      <c r="C12" s="32">
        <f>[1]CO2!E37</f>
        <v>0.1</v>
      </c>
      <c r="D12" s="33">
        <f t="shared" si="0"/>
        <v>0.52500000000000002</v>
      </c>
      <c r="E12" s="34">
        <v>42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 t="str">
        <f>[1]CO2!D38</f>
        <v>Erable sycomore</v>
      </c>
      <c r="C13" s="32">
        <f>[1]CO2!E38</f>
        <v>0.02</v>
      </c>
      <c r="D13" s="33">
        <f t="shared" si="0"/>
        <v>0.105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 t="str">
        <f>[1]CO2!D39</f>
        <v>Chêne rouge d'Amérique</v>
      </c>
      <c r="C14" s="32">
        <f>[1]CO2!E39</f>
        <v>0.02</v>
      </c>
      <c r="D14" s="33">
        <f t="shared" si="0"/>
        <v>0.105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 t="str">
        <f>[1]CO2!D40</f>
        <v>Chêne sessile</v>
      </c>
      <c r="C15" s="32">
        <f>[1]CO2!E40</f>
        <v>0.02</v>
      </c>
      <c r="D15" s="33">
        <f t="shared" si="0"/>
        <v>0.105</v>
      </c>
      <c r="E15" s="34">
        <v>161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 t="str">
        <f>[1]CO2!D41</f>
        <v>Hêtre</v>
      </c>
      <c r="C16" s="32">
        <f>[1]CO2!E41</f>
        <v>0.02</v>
      </c>
      <c r="D16" s="33">
        <f t="shared" si="0"/>
        <v>0.105</v>
      </c>
      <c r="E16" s="34">
        <v>143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5.2500000000000018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Cèdre de l'Atlas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6" t="s">
        <v>45</v>
      </c>
      <c r="D34" s="266"/>
      <c r="E34" s="267" t="s">
        <v>46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147.25384615384615</v>
      </c>
      <c r="C36" s="60" t="s">
        <v>56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4.9084615384615384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51</v>
      </c>
      <c r="B37" s="60">
        <v>387.56923076923078</v>
      </c>
      <c r="C37" s="60">
        <v>1</v>
      </c>
      <c r="D37" s="60">
        <v>170.16153846153847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11.443589743589744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61</v>
      </c>
      <c r="B38" s="60">
        <v>329.11538461538464</v>
      </c>
      <c r="C38" s="60">
        <v>2</v>
      </c>
      <c r="D38" s="60">
        <v>94.76153846153845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11.170769230769233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73</v>
      </c>
      <c r="B39" s="60">
        <v>358.13076923076926</v>
      </c>
      <c r="C39" s="60">
        <v>3</v>
      </c>
      <c r="D39" s="60">
        <v>93.584615384615375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10.314743589743591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85</v>
      </c>
      <c r="B40" s="60">
        <v>378.83076923076919</v>
      </c>
      <c r="C40" s="60">
        <v>4</v>
      </c>
      <c r="D40" s="60">
        <v>85.207692307692298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9.5237179487179446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97</v>
      </c>
      <c r="B41" s="60">
        <v>398.27692307692308</v>
      </c>
      <c r="C41" s="60">
        <v>5</v>
      </c>
      <c r="D41" s="60">
        <v>79.669230769230765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8.7211538461538485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109</v>
      </c>
      <c r="B42" s="60">
        <v>413.2</v>
      </c>
      <c r="C42" s="60">
        <v>6</v>
      </c>
      <c r="D42" s="60">
        <v>80.653846153846146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7.882692307692305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121</v>
      </c>
      <c r="B43" s="60">
        <v>417.60769230769228</v>
      </c>
      <c r="C43" s="60">
        <v>7</v>
      </c>
      <c r="D43" s="60">
        <v>207.07692307692307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7.0884615384615346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131</v>
      </c>
      <c r="B44" s="60">
        <v>259.61538461538458</v>
      </c>
      <c r="C44" s="60">
        <v>8</v>
      </c>
      <c r="D44" s="60">
        <v>259.61538461538458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4.9084615384615375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laricio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6" t="s">
        <v>45</v>
      </c>
      <c r="D60" s="266"/>
      <c r="E60" s="267" t="s">
        <v>46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19</v>
      </c>
      <c r="B62" s="258">
        <v>127.98461538461538</v>
      </c>
      <c r="C62" s="258">
        <v>1</v>
      </c>
      <c r="D62" s="258">
        <v>46.53846153846154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24</v>
      </c>
      <c r="B63" s="258">
        <v>159.94615384615383</v>
      </c>
      <c r="C63" s="258">
        <v>2</v>
      </c>
      <c r="D63" s="258">
        <v>40.41538461538461</v>
      </c>
      <c r="E63" s="259">
        <v>0.7</v>
      </c>
      <c r="F63" s="259">
        <v>0.16800000000000001</v>
      </c>
      <c r="G63" s="259">
        <v>0.13200000000000001</v>
      </c>
      <c r="H63" s="259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30</v>
      </c>
      <c r="B64" s="258">
        <v>215.65384615384616</v>
      </c>
      <c r="C64" s="258">
        <v>3</v>
      </c>
      <c r="D64" s="258">
        <v>55.869230769230761</v>
      </c>
      <c r="E64" s="259">
        <v>0.7</v>
      </c>
      <c r="F64" s="259">
        <v>0.16800000000000001</v>
      </c>
      <c r="G64" s="259">
        <v>0.13200000000000001</v>
      </c>
      <c r="H64" s="259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37</v>
      </c>
      <c r="B65" s="258">
        <v>268.16923076923075</v>
      </c>
      <c r="C65" s="258">
        <v>4</v>
      </c>
      <c r="D65" s="258">
        <v>43.623076923076923</v>
      </c>
      <c r="E65" s="259">
        <v>0.7</v>
      </c>
      <c r="F65" s="259">
        <v>0.16800000000000001</v>
      </c>
      <c r="G65" s="259">
        <v>0.13200000000000001</v>
      </c>
      <c r="H65" s="259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46</v>
      </c>
      <c r="B66" s="258">
        <v>362.82307692307688</v>
      </c>
      <c r="C66" s="258">
        <v>5</v>
      </c>
      <c r="D66" s="258">
        <v>72.561538461538461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56</v>
      </c>
      <c r="B67" s="258">
        <v>428.20000000000005</v>
      </c>
      <c r="C67" s="258">
        <v>6</v>
      </c>
      <c r="D67" s="258">
        <v>60.092307692307692</v>
      </c>
      <c r="E67" s="260">
        <v>0.7</v>
      </c>
      <c r="F67" s="260">
        <v>0.16800000000000001</v>
      </c>
      <c r="G67" s="260">
        <v>0.13200000000000001</v>
      </c>
      <c r="H67" s="260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66</v>
      </c>
      <c r="B68" s="258">
        <v>488.65384615384613</v>
      </c>
      <c r="C68" s="258">
        <v>7</v>
      </c>
      <c r="D68" s="258">
        <v>68.146153846153851</v>
      </c>
      <c r="E68" s="260">
        <v>0.7</v>
      </c>
      <c r="F68" s="260">
        <v>0.16800000000000001</v>
      </c>
      <c r="G68" s="260">
        <v>0.13200000000000001</v>
      </c>
      <c r="H68" s="260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76</v>
      </c>
      <c r="B69" s="261">
        <v>520.22307692307686</v>
      </c>
      <c r="C69" s="261">
        <v>8</v>
      </c>
      <c r="D69" s="261">
        <v>520.22307692307686</v>
      </c>
      <c r="E69" s="260">
        <v>0.7</v>
      </c>
      <c r="F69" s="260">
        <v>0.16800000000000001</v>
      </c>
      <c r="G69" s="260">
        <v>0.13200000000000001</v>
      </c>
      <c r="H69" s="260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Douglas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6" t="s">
        <v>45</v>
      </c>
      <c r="D86" s="266"/>
      <c r="E86" s="267" t="s">
        <v>46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18</v>
      </c>
      <c r="B88" s="258">
        <v>182.89230769230767</v>
      </c>
      <c r="C88" s="258">
        <v>1</v>
      </c>
      <c r="D88" s="258">
        <v>69.284615384615378</v>
      </c>
      <c r="E88" s="259">
        <v>0</v>
      </c>
      <c r="F88" s="259">
        <v>0.56000000000000005</v>
      </c>
      <c r="G88" s="259">
        <v>0.44</v>
      </c>
      <c r="H88" s="262">
        <v>0</v>
      </c>
      <c r="I88" s="53">
        <f>IFERROR(B88/A88,"")</f>
        <v>10.16068376068376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24</v>
      </c>
      <c r="B89" s="258">
        <v>237.56153846153845</v>
      </c>
      <c r="C89" s="258">
        <v>2</v>
      </c>
      <c r="D89" s="258">
        <v>42.661538461538463</v>
      </c>
      <c r="E89" s="259">
        <v>0.7</v>
      </c>
      <c r="F89" s="259">
        <v>0.16800000000000001</v>
      </c>
      <c r="G89" s="259">
        <v>0.13200000000000001</v>
      </c>
      <c r="H89" s="262">
        <v>0</v>
      </c>
      <c r="I89" s="53">
        <f t="shared" ref="I89:I107" si="3">IF(A89&lt;&gt;0,(B89-(B88-D88))/(A89-A88),"")</f>
        <v>20.658974358974358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30</v>
      </c>
      <c r="B90" s="258">
        <v>331.86923076923074</v>
      </c>
      <c r="C90" s="258">
        <v>3</v>
      </c>
      <c r="D90" s="258">
        <v>65.669230769230765</v>
      </c>
      <c r="E90" s="262">
        <v>0.7</v>
      </c>
      <c r="F90" s="262">
        <v>0.16800000000000001</v>
      </c>
      <c r="G90" s="262">
        <v>0.13200000000000001</v>
      </c>
      <c r="H90" s="262">
        <v>0</v>
      </c>
      <c r="I90" s="53">
        <f t="shared" si="3"/>
        <v>22.828205128205127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36</v>
      </c>
      <c r="B91" s="258">
        <v>403.50769230769237</v>
      </c>
      <c r="C91" s="258">
        <v>4</v>
      </c>
      <c r="D91" s="258">
        <v>69.3</v>
      </c>
      <c r="E91" s="262">
        <v>0.7</v>
      </c>
      <c r="F91" s="262">
        <v>0.16800000000000001</v>
      </c>
      <c r="G91" s="262">
        <v>0.13200000000000001</v>
      </c>
      <c r="H91" s="262">
        <v>0</v>
      </c>
      <c r="I91" s="53">
        <f t="shared" si="3"/>
        <v>22.884615384615397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42</v>
      </c>
      <c r="B92" s="258">
        <v>468.72307692307686</v>
      </c>
      <c r="C92" s="258">
        <v>5</v>
      </c>
      <c r="D92" s="258">
        <v>73.392307692307682</v>
      </c>
      <c r="E92" s="262">
        <v>0.7</v>
      </c>
      <c r="F92" s="262">
        <v>0.16800000000000001</v>
      </c>
      <c r="G92" s="262">
        <v>0.13200000000000001</v>
      </c>
      <c r="H92" s="262">
        <v>0</v>
      </c>
      <c r="I92" s="53">
        <f t="shared" si="3"/>
        <v>22.419230769230751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48</v>
      </c>
      <c r="B93" s="258">
        <v>525.0846153846154</v>
      </c>
      <c r="C93" s="258">
        <v>6</v>
      </c>
      <c r="D93" s="258">
        <v>81.330769230769235</v>
      </c>
      <c r="E93" s="263">
        <v>0.7</v>
      </c>
      <c r="F93" s="263">
        <v>0.16800000000000001</v>
      </c>
      <c r="G93" s="263">
        <v>0.13200000000000001</v>
      </c>
      <c r="H93" s="263">
        <v>0</v>
      </c>
      <c r="I93" s="53">
        <f t="shared" si="3"/>
        <v>21.625641025641034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54</v>
      </c>
      <c r="B94" s="258">
        <v>566.79999999999995</v>
      </c>
      <c r="C94" s="258">
        <v>7</v>
      </c>
      <c r="D94" s="258">
        <v>566.79999999999995</v>
      </c>
      <c r="E94" s="263">
        <v>0.7</v>
      </c>
      <c r="F94" s="263">
        <v>0.16800000000000001</v>
      </c>
      <c r="G94" s="263">
        <v>0.13200000000000001</v>
      </c>
      <c r="H94" s="263">
        <v>0</v>
      </c>
      <c r="I94" s="53">
        <f t="shared" si="3"/>
        <v>20.507692307692299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Mélèze hybride</v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6" t="s">
        <v>45</v>
      </c>
      <c r="D112" s="266"/>
      <c r="E112" s="267" t="s">
        <v>46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12</v>
      </c>
      <c r="B114" s="258">
        <v>116</v>
      </c>
      <c r="C114" s="257">
        <v>1</v>
      </c>
      <c r="D114" s="258">
        <v>21</v>
      </c>
      <c r="E114" s="259">
        <v>0</v>
      </c>
      <c r="F114" s="259">
        <v>0.7</v>
      </c>
      <c r="G114" s="259">
        <v>0</v>
      </c>
      <c r="H114" s="259">
        <v>0.3</v>
      </c>
      <c r="I114" s="53">
        <f>IFERROR(B114/A114,"")</f>
        <v>9.6666666666666661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15</v>
      </c>
      <c r="B115" s="258">
        <v>168</v>
      </c>
      <c r="C115" s="257">
        <v>2</v>
      </c>
      <c r="D115" s="258">
        <v>47</v>
      </c>
      <c r="E115" s="259">
        <v>0</v>
      </c>
      <c r="F115" s="259">
        <v>0.8</v>
      </c>
      <c r="G115" s="259">
        <v>0</v>
      </c>
      <c r="H115" s="259">
        <v>0.2</v>
      </c>
      <c r="I115" s="53">
        <f t="shared" ref="I115:I133" si="4">IF(A115&lt;&gt;0,(B115-(B114-D114))/(A115-A114),"")</f>
        <v>24.333333333333332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18</v>
      </c>
      <c r="B116" s="258">
        <v>185</v>
      </c>
      <c r="C116" s="257">
        <v>3</v>
      </c>
      <c r="D116" s="258">
        <v>61</v>
      </c>
      <c r="E116" s="259">
        <v>0</v>
      </c>
      <c r="F116" s="259">
        <v>0.8</v>
      </c>
      <c r="G116" s="259">
        <v>0</v>
      </c>
      <c r="H116" s="259">
        <v>0.2</v>
      </c>
      <c r="I116" s="53">
        <f t="shared" si="4"/>
        <v>21.333333333333332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24</v>
      </c>
      <c r="B117" s="258">
        <v>239</v>
      </c>
      <c r="C117" s="257">
        <v>4</v>
      </c>
      <c r="D117" s="258">
        <v>84</v>
      </c>
      <c r="E117" s="259">
        <v>0</v>
      </c>
      <c r="F117" s="259">
        <v>0.8</v>
      </c>
      <c r="G117" s="259">
        <v>0</v>
      </c>
      <c r="H117" s="259">
        <v>0.2</v>
      </c>
      <c r="I117" s="53">
        <f t="shared" si="4"/>
        <v>19.166666666666668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30</v>
      </c>
      <c r="B118" s="258">
        <v>255</v>
      </c>
      <c r="C118" s="257">
        <v>5</v>
      </c>
      <c r="D118" s="258">
        <v>76</v>
      </c>
      <c r="E118" s="259">
        <v>0.3</v>
      </c>
      <c r="F118" s="259">
        <v>0.6</v>
      </c>
      <c r="G118" s="259">
        <v>0</v>
      </c>
      <c r="H118" s="259">
        <v>0.1</v>
      </c>
      <c r="I118" s="53">
        <f t="shared" si="4"/>
        <v>16.666666666666668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36</v>
      </c>
      <c r="B119" s="258">
        <v>269</v>
      </c>
      <c r="C119" s="257">
        <v>6</v>
      </c>
      <c r="D119" s="258">
        <v>75</v>
      </c>
      <c r="E119" s="260">
        <v>0.3</v>
      </c>
      <c r="F119" s="260">
        <v>0.6</v>
      </c>
      <c r="G119" s="260">
        <v>0</v>
      </c>
      <c r="H119" s="260">
        <v>0.1</v>
      </c>
      <c r="I119" s="53">
        <f t="shared" si="4"/>
        <v>15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42</v>
      </c>
      <c r="B120" s="258">
        <v>278</v>
      </c>
      <c r="C120" s="258" t="s">
        <v>57</v>
      </c>
      <c r="D120" s="258">
        <v>278</v>
      </c>
      <c r="E120" s="263">
        <v>0.4</v>
      </c>
      <c r="F120" s="263">
        <v>0.6</v>
      </c>
      <c r="G120" s="263">
        <v>0</v>
      </c>
      <c r="H120" s="263">
        <v>0</v>
      </c>
      <c r="I120" s="53">
        <f t="shared" si="4"/>
        <v>14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>Erable sycomore</v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6" t="s">
        <v>45</v>
      </c>
      <c r="D138" s="266"/>
      <c r="E138" s="267" t="s">
        <v>46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15</v>
      </c>
      <c r="B140" s="258">
        <v>9</v>
      </c>
      <c r="C140" s="257">
        <v>0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0.6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20</v>
      </c>
      <c r="B141" s="258">
        <v>57</v>
      </c>
      <c r="C141" s="257">
        <v>1</v>
      </c>
      <c r="D141" s="258">
        <v>21</v>
      </c>
      <c r="E141" s="259">
        <v>0</v>
      </c>
      <c r="F141" s="259">
        <v>0</v>
      </c>
      <c r="G141" s="259">
        <v>0</v>
      </c>
      <c r="H141" s="259">
        <v>1</v>
      </c>
      <c r="I141" s="57">
        <f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25</v>
      </c>
      <c r="B142" s="258">
        <v>86</v>
      </c>
      <c r="C142" s="257">
        <v>2</v>
      </c>
      <c r="D142" s="258">
        <v>21</v>
      </c>
      <c r="E142" s="259">
        <v>0</v>
      </c>
      <c r="F142" s="259">
        <v>0</v>
      </c>
      <c r="G142" s="259">
        <v>0</v>
      </c>
      <c r="H142" s="259">
        <v>1</v>
      </c>
      <c r="I142" s="57">
        <f>IF(A142&lt;&gt;0,(B142-(B141-D141))/(A142-A141),"")</f>
        <v>10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30</v>
      </c>
      <c r="B143" s="258">
        <v>114</v>
      </c>
      <c r="C143" s="257">
        <v>3</v>
      </c>
      <c r="D143" s="258">
        <v>21</v>
      </c>
      <c r="E143" s="259">
        <v>0</v>
      </c>
      <c r="F143" s="259">
        <v>0.05</v>
      </c>
      <c r="G143" s="259">
        <v>0</v>
      </c>
      <c r="H143" s="259">
        <v>0.95</v>
      </c>
      <c r="I143" s="57">
        <f t="shared" ref="I143:I159" si="5">IF(A143&lt;&gt;0,(B143-(B142-D142))/(A143-A142),"")</f>
        <v>9.8000000000000007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35</v>
      </c>
      <c r="B144" s="258">
        <v>136</v>
      </c>
      <c r="C144" s="257">
        <v>4</v>
      </c>
      <c r="D144" s="258">
        <v>21</v>
      </c>
      <c r="E144" s="259">
        <v>0</v>
      </c>
      <c r="F144" s="259">
        <v>0.19</v>
      </c>
      <c r="G144" s="259">
        <v>0</v>
      </c>
      <c r="H144" s="259">
        <v>0.81</v>
      </c>
      <c r="I144" s="57">
        <f t="shared" si="5"/>
        <v>8.6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40</v>
      </c>
      <c r="B145" s="60">
        <v>153</v>
      </c>
      <c r="C145" s="50">
        <v>5</v>
      </c>
      <c r="D145" s="60">
        <v>21</v>
      </c>
      <c r="E145" s="51">
        <v>0.05</v>
      </c>
      <c r="F145" s="51">
        <v>0.33</v>
      </c>
      <c r="G145" s="51">
        <v>0</v>
      </c>
      <c r="H145" s="51">
        <v>0.62</v>
      </c>
      <c r="I145" s="57">
        <f t="shared" si="5"/>
        <v>7.6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45</v>
      </c>
      <c r="B146" s="60">
        <v>164</v>
      </c>
      <c r="C146" s="50">
        <v>6</v>
      </c>
      <c r="D146" s="60">
        <v>18</v>
      </c>
      <c r="E146" s="51">
        <v>0.17</v>
      </c>
      <c r="F146" s="51">
        <v>0.39</v>
      </c>
      <c r="G146" s="51">
        <v>0</v>
      </c>
      <c r="H146" s="51">
        <v>0.44</v>
      </c>
      <c r="I146" s="57">
        <f t="shared" si="5"/>
        <v>6.4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50</v>
      </c>
      <c r="B147" s="60">
        <v>174</v>
      </c>
      <c r="C147" s="50">
        <v>7</v>
      </c>
      <c r="D147" s="60">
        <v>13</v>
      </c>
      <c r="E147" s="51">
        <v>0.23</v>
      </c>
      <c r="F147" s="51">
        <v>0.46</v>
      </c>
      <c r="G147" s="51">
        <v>0</v>
      </c>
      <c r="H147" s="51">
        <v>0.31</v>
      </c>
      <c r="I147" s="57">
        <f>IF(A147&lt;&gt;0,(B147-(B146-D146))/(A147-A146),"")</f>
        <v>5.6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55</v>
      </c>
      <c r="B148" s="60">
        <v>185</v>
      </c>
      <c r="C148" s="50">
        <v>8</v>
      </c>
      <c r="D148" s="60">
        <v>11</v>
      </c>
      <c r="E148" s="51">
        <v>0.36</v>
      </c>
      <c r="F148" s="51">
        <v>0.36</v>
      </c>
      <c r="G148" s="51">
        <v>0</v>
      </c>
      <c r="H148" s="51">
        <v>0.27</v>
      </c>
      <c r="I148" s="57">
        <f t="shared" si="5"/>
        <v>4.8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60</v>
      </c>
      <c r="B149" s="60">
        <v>194</v>
      </c>
      <c r="C149" s="50">
        <v>9</v>
      </c>
      <c r="D149" s="60">
        <v>9</v>
      </c>
      <c r="E149" s="51">
        <v>0.44</v>
      </c>
      <c r="F149" s="51">
        <v>0.44</v>
      </c>
      <c r="G149" s="51">
        <v>0</v>
      </c>
      <c r="H149" s="51">
        <v>0.11</v>
      </c>
      <c r="I149" s="57">
        <f t="shared" si="5"/>
        <v>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65</v>
      </c>
      <c r="B150" s="60">
        <v>202</v>
      </c>
      <c r="C150" s="50">
        <v>10</v>
      </c>
      <c r="D150" s="60">
        <v>8</v>
      </c>
      <c r="E150" s="51">
        <v>0.63</v>
      </c>
      <c r="F150" s="51">
        <v>0.25</v>
      </c>
      <c r="G150" s="51">
        <v>0</v>
      </c>
      <c r="H150" s="51">
        <v>0.13</v>
      </c>
      <c r="I150" s="57">
        <f t="shared" si="5"/>
        <v>3.4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70</v>
      </c>
      <c r="B151" s="60">
        <v>207</v>
      </c>
      <c r="C151" s="50">
        <v>11</v>
      </c>
      <c r="D151" s="60">
        <v>6</v>
      </c>
      <c r="E151" s="51">
        <v>0.83</v>
      </c>
      <c r="F151" s="51">
        <v>0.33</v>
      </c>
      <c r="G151" s="51">
        <v>0</v>
      </c>
      <c r="H151" s="51">
        <v>0.17</v>
      </c>
      <c r="I151" s="57">
        <f t="shared" si="5"/>
        <v>2.6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75</v>
      </c>
      <c r="B152" s="60">
        <v>214</v>
      </c>
      <c r="C152" s="50">
        <v>12</v>
      </c>
      <c r="D152" s="60">
        <v>7</v>
      </c>
      <c r="E152" s="54">
        <v>0.56999999999999995</v>
      </c>
      <c r="F152" s="54">
        <v>0.28999999999999998</v>
      </c>
      <c r="G152" s="54">
        <v>0</v>
      </c>
      <c r="H152" s="54">
        <v>0.14000000000000001</v>
      </c>
      <c r="I152" s="57">
        <f t="shared" si="5"/>
        <v>2.6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80</v>
      </c>
      <c r="B153" s="60">
        <v>219</v>
      </c>
      <c r="C153" s="50">
        <v>13</v>
      </c>
      <c r="D153" s="60">
        <v>6</v>
      </c>
      <c r="E153" s="54">
        <v>0.67</v>
      </c>
      <c r="F153" s="54">
        <v>0.17</v>
      </c>
      <c r="G153" s="54">
        <v>0</v>
      </c>
      <c r="H153" s="54">
        <v>0.17</v>
      </c>
      <c r="I153" s="57">
        <f t="shared" si="5"/>
        <v>2.4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>Chêne rouge d'Amérique</v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6" t="s">
        <v>45</v>
      </c>
      <c r="D164" s="266"/>
      <c r="E164" s="267" t="s">
        <v>46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>
        <v>10</v>
      </c>
      <c r="B166" s="60">
        <v>23</v>
      </c>
      <c r="C166" s="60">
        <v>0</v>
      </c>
      <c r="D166" s="60">
        <v>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2.2999999999999998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>
        <v>15</v>
      </c>
      <c r="B167" s="60">
        <v>60</v>
      </c>
      <c r="C167" s="60">
        <v>0</v>
      </c>
      <c r="D167" s="60">
        <v>0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7.4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>
        <v>20</v>
      </c>
      <c r="B168" s="60">
        <v>108</v>
      </c>
      <c r="C168" s="60">
        <v>1</v>
      </c>
      <c r="D168" s="60" t="s">
        <v>326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9.6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>
        <v>25</v>
      </c>
      <c r="B169" s="60">
        <v>113</v>
      </c>
      <c r="C169" s="60">
        <v>2</v>
      </c>
      <c r="D169" s="60" t="s">
        <v>327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9.1999999999999993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>
        <v>30</v>
      </c>
      <c r="B170" s="60">
        <v>135</v>
      </c>
      <c r="C170" s="60">
        <v>3</v>
      </c>
      <c r="D170" s="60" t="s">
        <v>328</v>
      </c>
      <c r="E170" s="51">
        <v>0</v>
      </c>
      <c r="F170" s="51">
        <v>0</v>
      </c>
      <c r="G170" s="51">
        <v>0</v>
      </c>
      <c r="H170" s="51">
        <v>1</v>
      </c>
      <c r="I170" s="49">
        <f t="shared" si="6"/>
        <v>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>
        <v>35</v>
      </c>
      <c r="B171" s="60">
        <v>153</v>
      </c>
      <c r="C171" s="60">
        <v>4</v>
      </c>
      <c r="D171" s="60" t="s">
        <v>328</v>
      </c>
      <c r="E171" s="51">
        <v>0</v>
      </c>
      <c r="F171" s="51">
        <v>0</v>
      </c>
      <c r="G171" s="51">
        <v>0</v>
      </c>
      <c r="H171" s="51">
        <v>1</v>
      </c>
      <c r="I171" s="49">
        <f t="shared" si="6"/>
        <v>8.4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>
        <v>40</v>
      </c>
      <c r="B172" s="60">
        <v>168</v>
      </c>
      <c r="C172" s="60">
        <v>5</v>
      </c>
      <c r="D172" s="60" t="s">
        <v>327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7.8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>
        <v>45</v>
      </c>
      <c r="B173" s="50">
        <v>180</v>
      </c>
      <c r="C173" s="50">
        <v>6</v>
      </c>
      <c r="D173" s="50" t="s">
        <v>329</v>
      </c>
      <c r="E173" s="51">
        <v>0</v>
      </c>
      <c r="F173" s="51">
        <v>0.5</v>
      </c>
      <c r="G173" s="51">
        <v>0</v>
      </c>
      <c r="H173" s="51">
        <v>0.5</v>
      </c>
      <c r="I173" s="49">
        <f t="shared" si="6"/>
        <v>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>
        <v>50</v>
      </c>
      <c r="B174" s="50">
        <v>191</v>
      </c>
      <c r="C174" s="50">
        <v>7</v>
      </c>
      <c r="D174" s="50" t="s">
        <v>330</v>
      </c>
      <c r="E174" s="51">
        <v>0</v>
      </c>
      <c r="F174" s="51">
        <v>0.5</v>
      </c>
      <c r="G174" s="51">
        <v>0</v>
      </c>
      <c r="H174" s="51">
        <v>0.5</v>
      </c>
      <c r="I174" s="49">
        <f t="shared" si="6"/>
        <v>6.6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>
        <v>55</v>
      </c>
      <c r="B175" s="50">
        <v>201</v>
      </c>
      <c r="C175" s="50">
        <v>8</v>
      </c>
      <c r="D175" s="50" t="s">
        <v>331</v>
      </c>
      <c r="E175" s="51">
        <v>0.4</v>
      </c>
      <c r="F175" s="51">
        <v>0.4</v>
      </c>
      <c r="G175" s="51">
        <v>0</v>
      </c>
      <c r="H175" s="51">
        <v>0.2</v>
      </c>
      <c r="I175" s="49">
        <f t="shared" si="6"/>
        <v>6.2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>
        <v>60</v>
      </c>
      <c r="B176" s="50">
        <v>207</v>
      </c>
      <c r="C176" s="50">
        <v>9</v>
      </c>
      <c r="D176" s="50" t="s">
        <v>332</v>
      </c>
      <c r="E176" s="51">
        <v>0.4</v>
      </c>
      <c r="F176" s="51">
        <v>0.4</v>
      </c>
      <c r="G176" s="51">
        <v>0</v>
      </c>
      <c r="H176" s="51">
        <v>0.2</v>
      </c>
      <c r="I176" s="49">
        <f t="shared" si="6"/>
        <v>5.2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>
        <v>65</v>
      </c>
      <c r="B177" s="50">
        <v>214</v>
      </c>
      <c r="C177" s="50">
        <v>10</v>
      </c>
      <c r="D177" s="50" t="s">
        <v>333</v>
      </c>
      <c r="E177" s="51">
        <v>0.4</v>
      </c>
      <c r="F177" s="51">
        <v>0.4</v>
      </c>
      <c r="G177" s="51">
        <v>0</v>
      </c>
      <c r="H177" s="51">
        <v>0.2</v>
      </c>
      <c r="I177" s="49">
        <f t="shared" si="6"/>
        <v>5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>
        <v>70</v>
      </c>
      <c r="B178" s="50">
        <v>220</v>
      </c>
      <c r="C178" s="50">
        <v>11</v>
      </c>
      <c r="D178" s="50" t="s">
        <v>334</v>
      </c>
      <c r="E178" s="51">
        <v>0.5</v>
      </c>
      <c r="F178" s="51">
        <v>0.4</v>
      </c>
      <c r="G178" s="51">
        <v>0</v>
      </c>
      <c r="H178" s="51">
        <v>0.1</v>
      </c>
      <c r="I178" s="49">
        <f t="shared" si="6"/>
        <v>4.5999999999999996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>
        <v>75</v>
      </c>
      <c r="B179" s="50">
        <v>223</v>
      </c>
      <c r="C179" s="50">
        <v>12</v>
      </c>
      <c r="D179" s="50" t="s">
        <v>335</v>
      </c>
      <c r="E179" s="51">
        <v>0.5</v>
      </c>
      <c r="F179" s="51">
        <v>0.4</v>
      </c>
      <c r="G179" s="51">
        <v>0</v>
      </c>
      <c r="H179" s="51">
        <v>0.1</v>
      </c>
      <c r="I179" s="49">
        <f t="shared" si="6"/>
        <v>3.8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>
        <v>80</v>
      </c>
      <c r="B180" s="50">
        <v>227</v>
      </c>
      <c r="C180" s="50">
        <v>13</v>
      </c>
      <c r="D180" s="50" t="s">
        <v>336</v>
      </c>
      <c r="E180" s="51">
        <v>0.5</v>
      </c>
      <c r="F180" s="51">
        <v>0.4</v>
      </c>
      <c r="G180" s="51">
        <v>0</v>
      </c>
      <c r="H180" s="51">
        <v>0.1</v>
      </c>
      <c r="I180" s="49">
        <f t="shared" si="6"/>
        <v>3.6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>
        <v>85</v>
      </c>
      <c r="B181" s="50">
        <v>230</v>
      </c>
      <c r="C181" s="50">
        <v>14</v>
      </c>
      <c r="D181" s="50" t="s">
        <v>337</v>
      </c>
      <c r="E181" s="51">
        <v>0.5</v>
      </c>
      <c r="F181" s="51">
        <v>0.4</v>
      </c>
      <c r="G181" s="51">
        <v>0</v>
      </c>
      <c r="H181" s="51">
        <v>0.1</v>
      </c>
      <c r="I181" s="49">
        <f t="shared" si="6"/>
        <v>3.2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>
        <v>90</v>
      </c>
      <c r="B182" s="50">
        <v>233</v>
      </c>
      <c r="C182" s="50">
        <v>15</v>
      </c>
      <c r="D182" s="50" t="s">
        <v>338</v>
      </c>
      <c r="E182" s="51">
        <v>0.6</v>
      </c>
      <c r="F182" s="51">
        <v>0.3</v>
      </c>
      <c r="G182" s="51">
        <v>0</v>
      </c>
      <c r="H182" s="51">
        <v>0.1</v>
      </c>
      <c r="I182" s="49">
        <f t="shared" si="6"/>
        <v>3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>
        <v>95</v>
      </c>
      <c r="B183" s="50">
        <v>236</v>
      </c>
      <c r="C183" s="50">
        <v>16</v>
      </c>
      <c r="D183" s="50" t="s">
        <v>338</v>
      </c>
      <c r="E183" s="51">
        <v>0.6</v>
      </c>
      <c r="F183" s="51">
        <v>0.3</v>
      </c>
      <c r="G183" s="51">
        <v>0</v>
      </c>
      <c r="H183" s="51">
        <v>0.1</v>
      </c>
      <c r="I183" s="49">
        <f t="shared" si="6"/>
        <v>2.8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>
        <v>100</v>
      </c>
      <c r="B184" s="50">
        <v>240</v>
      </c>
      <c r="C184" s="50">
        <v>17</v>
      </c>
      <c r="D184" s="50" t="s">
        <v>337</v>
      </c>
      <c r="E184" s="51">
        <v>0.6</v>
      </c>
      <c r="F184" s="51">
        <v>0.3</v>
      </c>
      <c r="G184" s="51">
        <v>0</v>
      </c>
      <c r="H184" s="51">
        <v>0.1</v>
      </c>
      <c r="I184" s="49">
        <f t="shared" si="6"/>
        <v>3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>Chêne sessile</v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6" t="s">
        <v>45</v>
      </c>
      <c r="D190" s="266"/>
      <c r="E190" s="267" t="s">
        <v>46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>
        <v>30</v>
      </c>
      <c r="B192" s="60">
        <v>87.705128205128204</v>
      </c>
      <c r="C192" s="60" t="s">
        <v>56</v>
      </c>
      <c r="D192" s="60">
        <v>0</v>
      </c>
      <c r="E192" s="51">
        <v>0</v>
      </c>
      <c r="F192" s="51">
        <v>0</v>
      </c>
      <c r="G192" s="51">
        <v>0</v>
      </c>
      <c r="H192" s="51">
        <v>0</v>
      </c>
      <c r="I192" s="49">
        <f>IFERROR(B192/A192,"")</f>
        <v>2.9235042735042733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>
        <v>44</v>
      </c>
      <c r="B193" s="60">
        <v>162.42307692307691</v>
      </c>
      <c r="C193" s="60">
        <v>1</v>
      </c>
      <c r="D193" s="60">
        <v>64.416666666666657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5.3369963369963358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>
        <v>51</v>
      </c>
      <c r="B194" s="60">
        <v>145.78846153846152</v>
      </c>
      <c r="C194" s="60">
        <v>2</v>
      </c>
      <c r="D194" s="60">
        <v>37.685897435897431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6.826007326007324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>
        <v>59</v>
      </c>
      <c r="B195" s="60">
        <v>159.25641025641025</v>
      </c>
      <c r="C195" s="60">
        <v>3</v>
      </c>
      <c r="D195" s="60">
        <v>38.942307692307693</v>
      </c>
      <c r="E195" s="51">
        <v>0</v>
      </c>
      <c r="F195" s="51">
        <v>0</v>
      </c>
      <c r="G195" s="51">
        <v>0</v>
      </c>
      <c r="H195" s="51">
        <v>1</v>
      </c>
      <c r="I195" s="49">
        <f t="shared" si="7"/>
        <v>6.3942307692307701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>
        <v>67</v>
      </c>
      <c r="B196" s="60">
        <v>167.85897435897436</v>
      </c>
      <c r="C196" s="60">
        <v>4</v>
      </c>
      <c r="D196" s="60">
        <v>31.993589743589741</v>
      </c>
      <c r="E196" s="51">
        <v>0</v>
      </c>
      <c r="F196" s="51">
        <v>0</v>
      </c>
      <c r="G196" s="51">
        <v>0</v>
      </c>
      <c r="H196" s="51">
        <v>1</v>
      </c>
      <c r="I196" s="49">
        <f t="shared" si="7"/>
        <v>5.9431089743589762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>
        <v>75</v>
      </c>
      <c r="B197" s="60">
        <v>181.38461538461536</v>
      </c>
      <c r="C197" s="60">
        <v>5</v>
      </c>
      <c r="D197" s="60">
        <v>30.916666666666664</v>
      </c>
      <c r="E197" s="51">
        <v>0.7</v>
      </c>
      <c r="F197" s="51">
        <v>0</v>
      </c>
      <c r="G197" s="51">
        <v>0</v>
      </c>
      <c r="H197" s="51">
        <v>0.3</v>
      </c>
      <c r="I197" s="49">
        <f t="shared" si="7"/>
        <v>5.6899038461538431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>
        <v>84</v>
      </c>
      <c r="B198" s="60">
        <v>200.00641025641025</v>
      </c>
      <c r="C198" s="60">
        <v>6</v>
      </c>
      <c r="D198" s="60">
        <v>35.083333333333329</v>
      </c>
      <c r="E198" s="51">
        <v>0.7</v>
      </c>
      <c r="F198" s="51">
        <v>0</v>
      </c>
      <c r="G198" s="51">
        <v>0</v>
      </c>
      <c r="H198" s="51">
        <v>0.3</v>
      </c>
      <c r="I198" s="49">
        <f t="shared" si="7"/>
        <v>5.5042735042735051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>
        <v>93</v>
      </c>
      <c r="B199" s="50">
        <v>212.26923076923075</v>
      </c>
      <c r="C199" s="50">
        <v>7</v>
      </c>
      <c r="D199" s="50">
        <v>30.083333333333332</v>
      </c>
      <c r="E199" s="51">
        <v>0.7</v>
      </c>
      <c r="F199" s="51">
        <v>0</v>
      </c>
      <c r="G199" s="51">
        <v>0</v>
      </c>
      <c r="H199" s="51">
        <v>0.3</v>
      </c>
      <c r="I199" s="49">
        <f t="shared" si="7"/>
        <v>5.2606837606837598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>
        <v>103</v>
      </c>
      <c r="B200" s="50">
        <v>234.76923076923077</v>
      </c>
      <c r="C200" s="50">
        <v>8</v>
      </c>
      <c r="D200" s="50">
        <v>39.512820512820511</v>
      </c>
      <c r="E200" s="51">
        <v>0.7</v>
      </c>
      <c r="F200" s="51">
        <v>0</v>
      </c>
      <c r="G200" s="51">
        <v>0</v>
      </c>
      <c r="H200" s="51">
        <v>0.3</v>
      </c>
      <c r="I200" s="49">
        <f t="shared" si="7"/>
        <v>5.2583333333333373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>
        <v>113</v>
      </c>
      <c r="B201" s="50">
        <v>246.21794871794873</v>
      </c>
      <c r="C201" s="50">
        <v>9</v>
      </c>
      <c r="D201" s="50">
        <v>31.602564102564099</v>
      </c>
      <c r="E201" s="51">
        <v>0.7</v>
      </c>
      <c r="F201" s="51">
        <v>0</v>
      </c>
      <c r="G201" s="51">
        <v>0</v>
      </c>
      <c r="H201" s="51">
        <v>0.3</v>
      </c>
      <c r="I201" s="49">
        <f t="shared" si="7"/>
        <v>5.0961538461538449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>
        <v>125</v>
      </c>
      <c r="B202" s="50">
        <v>278.29487179487177</v>
      </c>
      <c r="C202" s="50">
        <v>10</v>
      </c>
      <c r="D202" s="50">
        <v>48.160256410256409</v>
      </c>
      <c r="E202" s="51">
        <v>0.7</v>
      </c>
      <c r="F202" s="51">
        <v>0</v>
      </c>
      <c r="G202" s="51">
        <v>0</v>
      </c>
      <c r="H202" s="51">
        <v>0.3</v>
      </c>
      <c r="I202" s="49">
        <f t="shared" si="7"/>
        <v>5.3066239316239274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>
        <v>137</v>
      </c>
      <c r="B203" s="50">
        <v>293.07051282051282</v>
      </c>
      <c r="C203" s="50">
        <v>11</v>
      </c>
      <c r="D203" s="50">
        <v>51.160256410256409</v>
      </c>
      <c r="E203" s="51">
        <v>0.7</v>
      </c>
      <c r="F203" s="51">
        <v>0</v>
      </c>
      <c r="G203" s="51">
        <v>0</v>
      </c>
      <c r="H203" s="51">
        <v>0.3</v>
      </c>
      <c r="I203" s="49">
        <f t="shared" si="7"/>
        <v>5.2446581196581219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>
        <v>149</v>
      </c>
      <c r="B204" s="50">
        <v>303.18589743589746</v>
      </c>
      <c r="C204" s="50">
        <v>12</v>
      </c>
      <c r="D204" s="50">
        <v>120.50641025641026</v>
      </c>
      <c r="E204" s="51">
        <v>0.9</v>
      </c>
      <c r="F204" s="51">
        <v>0</v>
      </c>
      <c r="G204" s="51">
        <v>0</v>
      </c>
      <c r="H204" s="51">
        <v>0.1</v>
      </c>
      <c r="I204" s="49">
        <f t="shared" si="7"/>
        <v>5.1063034188034209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>
        <v>153</v>
      </c>
      <c r="B205" s="50">
        <v>195.05769230769226</v>
      </c>
      <c r="C205" s="50">
        <v>13</v>
      </c>
      <c r="D205" s="50">
        <v>70.115384615384613</v>
      </c>
      <c r="E205" s="51">
        <v>0.9</v>
      </c>
      <c r="F205" s="51">
        <v>0</v>
      </c>
      <c r="G205" s="51">
        <v>0</v>
      </c>
      <c r="H205" s="51">
        <v>0.1</v>
      </c>
      <c r="I205" s="49">
        <f t="shared" si="7"/>
        <v>3.0945512820512704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>
        <v>157</v>
      </c>
      <c r="B206" s="50">
        <v>132.42948717948718</v>
      </c>
      <c r="C206" s="50">
        <v>14</v>
      </c>
      <c r="D206" s="50">
        <v>45.71153846153846</v>
      </c>
      <c r="E206" s="51">
        <v>0.9</v>
      </c>
      <c r="F206" s="51">
        <v>0</v>
      </c>
      <c r="G206" s="51">
        <v>0</v>
      </c>
      <c r="H206" s="51">
        <v>0.1</v>
      </c>
      <c r="I206" s="49">
        <f t="shared" si="7"/>
        <v>1.8717948717948829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>
        <v>161</v>
      </c>
      <c r="B207" s="50">
        <v>91.365384615384613</v>
      </c>
      <c r="C207" s="50">
        <v>15</v>
      </c>
      <c r="D207" s="50">
        <v>91.365384615384613</v>
      </c>
      <c r="E207" s="51">
        <v>0.9</v>
      </c>
      <c r="F207" s="51">
        <v>0</v>
      </c>
      <c r="G207" s="51">
        <v>0</v>
      </c>
      <c r="H207" s="51">
        <v>0.1</v>
      </c>
      <c r="I207" s="49">
        <f t="shared" si="7"/>
        <v>1.1618589743589709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>Hêtre</v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6" t="s">
        <v>45</v>
      </c>
      <c r="D216" s="266"/>
      <c r="E216" s="267" t="s">
        <v>46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>
        <v>30</v>
      </c>
      <c r="B218" s="60">
        <v>93.788461538461533</v>
      </c>
      <c r="C218" s="50" t="s">
        <v>56</v>
      </c>
      <c r="D218" s="60">
        <v>0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3.1262820512820513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>
        <v>57</v>
      </c>
      <c r="B219" s="60">
        <v>252.08974358974356</v>
      </c>
      <c r="C219" s="50">
        <v>1</v>
      </c>
      <c r="D219" s="60">
        <v>125.23717948717949</v>
      </c>
      <c r="E219" s="63">
        <v>0</v>
      </c>
      <c r="F219" s="63">
        <v>0</v>
      </c>
      <c r="G219" s="63">
        <v>0.5</v>
      </c>
      <c r="H219" s="63">
        <v>0.5</v>
      </c>
      <c r="I219" s="53">
        <f t="shared" ref="I219:I237" si="8">IF(A219&lt;&gt;0,(B219-(B218-D218))/(A219-A218),"")</f>
        <v>5.8630104463437798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>
        <v>66</v>
      </c>
      <c r="B220" s="60">
        <v>198.14102564102561</v>
      </c>
      <c r="C220" s="50">
        <v>2</v>
      </c>
      <c r="D220" s="60">
        <v>59.749999999999993</v>
      </c>
      <c r="E220" s="63">
        <v>0</v>
      </c>
      <c r="F220" s="63">
        <v>0</v>
      </c>
      <c r="G220" s="63">
        <v>0.5</v>
      </c>
      <c r="H220" s="63">
        <v>0.5</v>
      </c>
      <c r="I220" s="53">
        <f t="shared" si="8"/>
        <v>7.9209401709401703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>
        <v>75</v>
      </c>
      <c r="B221" s="55">
        <v>207.57692307692307</v>
      </c>
      <c r="C221" s="55">
        <v>3</v>
      </c>
      <c r="D221" s="55">
        <v>55.78846153846154</v>
      </c>
      <c r="E221" s="63">
        <v>0</v>
      </c>
      <c r="F221" s="63">
        <v>0.4</v>
      </c>
      <c r="G221" s="63">
        <v>0.3</v>
      </c>
      <c r="H221" s="63">
        <v>0.3</v>
      </c>
      <c r="I221" s="53">
        <f t="shared" si="8"/>
        <v>7.6873219373219399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>
        <v>84</v>
      </c>
      <c r="B222" s="55">
        <v>217.73717948717945</v>
      </c>
      <c r="C222" s="55">
        <v>4</v>
      </c>
      <c r="D222" s="55">
        <v>47.980769230769226</v>
      </c>
      <c r="E222" s="63">
        <v>0.3</v>
      </c>
      <c r="F222" s="63">
        <v>0.3</v>
      </c>
      <c r="G222" s="63">
        <v>0.2</v>
      </c>
      <c r="H222" s="63">
        <v>0.2</v>
      </c>
      <c r="I222" s="53">
        <f t="shared" si="8"/>
        <v>7.327635327635325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>
        <v>93</v>
      </c>
      <c r="B223" s="55">
        <v>232.33333333333331</v>
      </c>
      <c r="C223" s="55">
        <v>5</v>
      </c>
      <c r="D223" s="55">
        <v>48.967948717948715</v>
      </c>
      <c r="E223" s="63">
        <v>0.3</v>
      </c>
      <c r="F223" s="63">
        <v>0.3</v>
      </c>
      <c r="G223" s="63">
        <v>0.2</v>
      </c>
      <c r="H223" s="63">
        <v>0.2</v>
      </c>
      <c r="I223" s="53">
        <f t="shared" si="8"/>
        <v>6.9529914529914549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>
        <v>105</v>
      </c>
      <c r="B224" s="55">
        <v>260.83333333333331</v>
      </c>
      <c r="C224" s="55">
        <v>6</v>
      </c>
      <c r="D224" s="55">
        <v>60.153846153846153</v>
      </c>
      <c r="E224" s="63">
        <v>0.35</v>
      </c>
      <c r="F224" s="63">
        <v>0.35</v>
      </c>
      <c r="G224" s="63">
        <v>0.2</v>
      </c>
      <c r="H224" s="63">
        <v>0.1</v>
      </c>
      <c r="I224" s="53">
        <f t="shared" si="8"/>
        <v>6.4556623931623944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>
        <v>117</v>
      </c>
      <c r="B225" s="55">
        <v>271.04487179487182</v>
      </c>
      <c r="C225" s="55">
        <v>7</v>
      </c>
      <c r="D225" s="55">
        <v>52.628205128205124</v>
      </c>
      <c r="E225" s="63">
        <v>0.4</v>
      </c>
      <c r="F225" s="63">
        <v>0.35</v>
      </c>
      <c r="G225" s="63">
        <v>0.2</v>
      </c>
      <c r="H225" s="63">
        <v>0.05</v>
      </c>
      <c r="I225" s="53">
        <f t="shared" si="8"/>
        <v>5.8637820512820555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>
        <v>129</v>
      </c>
      <c r="B226" s="55">
        <v>282.21794871794873</v>
      </c>
      <c r="C226" s="55">
        <v>8</v>
      </c>
      <c r="D226" s="55">
        <v>100.84615384615384</v>
      </c>
      <c r="E226" s="63">
        <v>0.5</v>
      </c>
      <c r="F226" s="63">
        <v>0.35</v>
      </c>
      <c r="G226" s="63">
        <v>0.1</v>
      </c>
      <c r="H226" s="63">
        <v>0.05</v>
      </c>
      <c r="I226" s="53">
        <f t="shared" si="8"/>
        <v>5.3167735042735034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>
        <v>134</v>
      </c>
      <c r="B227" s="55">
        <v>204.50641025641028</v>
      </c>
      <c r="C227" s="55">
        <v>9</v>
      </c>
      <c r="D227" s="55">
        <v>72.544871794871796</v>
      </c>
      <c r="E227" s="63">
        <v>0.5</v>
      </c>
      <c r="F227" s="63">
        <v>0.35</v>
      </c>
      <c r="G227" s="63">
        <v>0.1</v>
      </c>
      <c r="H227" s="63">
        <v>0.05</v>
      </c>
      <c r="I227" s="53">
        <f t="shared" si="8"/>
        <v>4.6269230769230774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>
        <v>139</v>
      </c>
      <c r="B228" s="55">
        <v>150.61538461538458</v>
      </c>
      <c r="C228" s="55">
        <v>10</v>
      </c>
      <c r="D228" s="55">
        <v>61.948717948717949</v>
      </c>
      <c r="E228" s="63">
        <v>0.6</v>
      </c>
      <c r="F228" s="63">
        <v>0.35</v>
      </c>
      <c r="G228" s="63">
        <v>0.05</v>
      </c>
      <c r="H228" s="63">
        <v>0</v>
      </c>
      <c r="I228" s="53">
        <f t="shared" si="8"/>
        <v>3.7307692307692206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>
        <v>143</v>
      </c>
      <c r="B229" s="55">
        <v>99.871794871794876</v>
      </c>
      <c r="C229" s="55">
        <v>11</v>
      </c>
      <c r="D229" s="55">
        <v>99.871794871794876</v>
      </c>
      <c r="E229" s="63">
        <v>0.6</v>
      </c>
      <c r="F229" s="63">
        <v>0.35</v>
      </c>
      <c r="G229" s="63">
        <v>0.05</v>
      </c>
      <c r="H229" s="63">
        <v>0</v>
      </c>
      <c r="I229" s="53">
        <f t="shared" si="8"/>
        <v>2.8012820512820618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6" t="s">
        <v>45</v>
      </c>
      <c r="D242" s="266"/>
      <c r="E242" s="267" t="s">
        <v>46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6" t="s">
        <v>45</v>
      </c>
      <c r="D268" s="266"/>
      <c r="E268" s="267" t="s">
        <v>46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2" zoomScaleNormal="100" workbookViewId="0">
      <selection activeCell="H13" sqref="H13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58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59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60</v>
      </c>
      <c r="C7" s="100" t="s">
        <v>61</v>
      </c>
      <c r="D7" s="215"/>
      <c r="E7" s="101"/>
      <c r="F7" s="26" t="s">
        <v>60</v>
      </c>
      <c r="G7" s="100" t="s">
        <v>62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63</v>
      </c>
      <c r="D8" s="23"/>
      <c r="E8" s="105">
        <v>4</v>
      </c>
      <c r="F8" s="61">
        <v>1</v>
      </c>
      <c r="G8" s="102" t="s">
        <v>64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65</v>
      </c>
      <c r="D9" s="23"/>
      <c r="E9" s="105">
        <v>5</v>
      </c>
      <c r="F9" s="61">
        <v>0</v>
      </c>
      <c r="G9" s="103" t="s">
        <v>66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68</v>
      </c>
      <c r="D13" s="216"/>
      <c r="E13" s="99"/>
      <c r="F13" s="107"/>
      <c r="G13" s="98" t="s">
        <v>69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70</v>
      </c>
      <c r="D14" s="216"/>
      <c r="E14" s="99"/>
      <c r="F14" s="107"/>
      <c r="G14" s="98" t="s">
        <v>71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60</v>
      </c>
      <c r="C15" s="4"/>
      <c r="D15" s="23"/>
      <c r="E15" s="4"/>
      <c r="F15" s="4"/>
      <c r="G15" s="2" t="s">
        <v>228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73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74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75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Cèdre de l'Atlas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laricio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Douglas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Mélèze hybride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Erable sycomore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>Chêne rouge d'Amérique</v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>Chêne sessile</v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>Hêtre</v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77</v>
      </c>
      <c r="B2" s="72" t="s">
        <v>78</v>
      </c>
      <c r="C2" s="5" t="s">
        <v>79</v>
      </c>
      <c r="D2" s="5" t="s">
        <v>80</v>
      </c>
      <c r="E2" s="5" t="s">
        <v>81</v>
      </c>
      <c r="F2" s="5" t="s">
        <v>82</v>
      </c>
      <c r="G2" s="5" t="s">
        <v>83</v>
      </c>
      <c r="H2" s="66" t="s">
        <v>84</v>
      </c>
      <c r="I2" s="68" t="s">
        <v>81</v>
      </c>
      <c r="J2" s="69" t="s">
        <v>82</v>
      </c>
      <c r="K2" s="6" t="s">
        <v>85</v>
      </c>
      <c r="L2" s="6" t="s">
        <v>86</v>
      </c>
      <c r="M2" s="6" t="s">
        <v>86</v>
      </c>
      <c r="N2" s="6" t="s">
        <v>87</v>
      </c>
      <c r="O2" s="6" t="s">
        <v>88</v>
      </c>
      <c r="P2" s="6" t="s">
        <v>89</v>
      </c>
      <c r="Q2" s="6" t="s">
        <v>83</v>
      </c>
      <c r="R2" s="6" t="s">
        <v>90</v>
      </c>
      <c r="S2" s="6" t="s">
        <v>91</v>
      </c>
      <c r="T2" s="6" t="s">
        <v>92</v>
      </c>
      <c r="U2" s="7" t="s">
        <v>93</v>
      </c>
      <c r="V2" s="8" t="s">
        <v>94</v>
      </c>
      <c r="W2" s="7" t="s">
        <v>51</v>
      </c>
      <c r="X2" s="7" t="s">
        <v>52</v>
      </c>
      <c r="Y2" s="7" t="s">
        <v>95</v>
      </c>
      <c r="Z2" s="8" t="s">
        <v>96</v>
      </c>
      <c r="AA2" s="8" t="s">
        <v>97</v>
      </c>
      <c r="AB2" s="8" t="s">
        <v>98</v>
      </c>
      <c r="AC2" s="9" t="s">
        <v>99</v>
      </c>
      <c r="AD2" s="69" t="s">
        <v>81</v>
      </c>
      <c r="AE2" s="69" t="s">
        <v>82</v>
      </c>
      <c r="AF2" s="6" t="s">
        <v>85</v>
      </c>
      <c r="AG2" s="6" t="s">
        <v>86</v>
      </c>
      <c r="AH2" s="6" t="s">
        <v>86</v>
      </c>
      <c r="AI2" s="6" t="s">
        <v>87</v>
      </c>
      <c r="AJ2" s="6" t="s">
        <v>88</v>
      </c>
      <c r="AK2" s="6" t="s">
        <v>89</v>
      </c>
      <c r="AL2" s="6" t="s">
        <v>83</v>
      </c>
      <c r="AM2" s="6" t="s">
        <v>90</v>
      </c>
      <c r="AN2" s="6" t="s">
        <v>91</v>
      </c>
      <c r="AO2" s="6" t="s">
        <v>92</v>
      </c>
      <c r="AP2" s="7" t="s">
        <v>93</v>
      </c>
      <c r="AQ2" s="8" t="s">
        <v>94</v>
      </c>
      <c r="AR2" s="7" t="s">
        <v>51</v>
      </c>
      <c r="AS2" s="7" t="s">
        <v>52</v>
      </c>
      <c r="AT2" s="8" t="s">
        <v>100</v>
      </c>
      <c r="AU2" s="8" t="s">
        <v>96</v>
      </c>
      <c r="AV2" s="8" t="s">
        <v>97</v>
      </c>
      <c r="AW2" s="8" t="s">
        <v>98</v>
      </c>
      <c r="AX2" s="8" t="s">
        <v>99</v>
      </c>
      <c r="AY2" s="68" t="s">
        <v>81</v>
      </c>
      <c r="AZ2" s="69" t="s">
        <v>82</v>
      </c>
      <c r="BA2" s="6" t="s">
        <v>85</v>
      </c>
      <c r="BB2" s="6" t="s">
        <v>86</v>
      </c>
      <c r="BC2" s="6" t="s">
        <v>86</v>
      </c>
      <c r="BD2" s="6" t="s">
        <v>87</v>
      </c>
      <c r="BE2" s="6" t="s">
        <v>88</v>
      </c>
      <c r="BF2" s="6" t="s">
        <v>89</v>
      </c>
      <c r="BG2" s="6" t="s">
        <v>83</v>
      </c>
      <c r="BH2" s="6" t="s">
        <v>90</v>
      </c>
      <c r="BI2" s="6" t="s">
        <v>91</v>
      </c>
      <c r="BJ2" s="6" t="s">
        <v>92</v>
      </c>
      <c r="BK2" s="7" t="s">
        <v>93</v>
      </c>
      <c r="BL2" s="8" t="s">
        <v>94</v>
      </c>
      <c r="BM2" s="7" t="s">
        <v>51</v>
      </c>
      <c r="BN2" s="7" t="s">
        <v>52</v>
      </c>
      <c r="BO2" s="8" t="s">
        <v>100</v>
      </c>
      <c r="BP2" s="8" t="s">
        <v>96</v>
      </c>
      <c r="BQ2" s="8" t="s">
        <v>97</v>
      </c>
      <c r="BR2" s="8" t="s">
        <v>98</v>
      </c>
      <c r="BS2" s="9" t="s">
        <v>99</v>
      </c>
      <c r="BT2" s="68" t="s">
        <v>81</v>
      </c>
      <c r="BU2" s="69" t="s">
        <v>82</v>
      </c>
      <c r="BV2" s="6" t="s">
        <v>85</v>
      </c>
      <c r="BW2" s="6" t="s">
        <v>86</v>
      </c>
      <c r="BX2" s="6" t="s">
        <v>86</v>
      </c>
      <c r="BY2" s="6" t="s">
        <v>87</v>
      </c>
      <c r="BZ2" s="6" t="s">
        <v>88</v>
      </c>
      <c r="CA2" s="6" t="s">
        <v>89</v>
      </c>
      <c r="CB2" s="6" t="s">
        <v>83</v>
      </c>
      <c r="CC2" s="6" t="s">
        <v>90</v>
      </c>
      <c r="CD2" s="6" t="s">
        <v>91</v>
      </c>
      <c r="CE2" s="6" t="s">
        <v>92</v>
      </c>
      <c r="CF2" s="7" t="s">
        <v>93</v>
      </c>
      <c r="CG2" s="8" t="s">
        <v>94</v>
      </c>
      <c r="CH2" s="7" t="s">
        <v>51</v>
      </c>
      <c r="CI2" s="7" t="s">
        <v>52</v>
      </c>
      <c r="CJ2" s="8" t="s">
        <v>100</v>
      </c>
      <c r="CK2" s="8" t="s">
        <v>96</v>
      </c>
      <c r="CL2" s="8" t="s">
        <v>97</v>
      </c>
      <c r="CM2" s="8" t="s">
        <v>98</v>
      </c>
      <c r="CN2" s="9" t="s">
        <v>99</v>
      </c>
      <c r="CO2" s="68" t="s">
        <v>81</v>
      </c>
      <c r="CP2" s="69" t="s">
        <v>82</v>
      </c>
      <c r="CQ2" s="6" t="s">
        <v>85</v>
      </c>
      <c r="CR2" s="6" t="s">
        <v>86</v>
      </c>
      <c r="CS2" s="6" t="s">
        <v>86</v>
      </c>
      <c r="CT2" s="6" t="s">
        <v>87</v>
      </c>
      <c r="CU2" s="6" t="s">
        <v>88</v>
      </c>
      <c r="CV2" s="6" t="s">
        <v>89</v>
      </c>
      <c r="CW2" s="6" t="s">
        <v>83</v>
      </c>
      <c r="CX2" s="6" t="s">
        <v>90</v>
      </c>
      <c r="CY2" s="6" t="s">
        <v>91</v>
      </c>
      <c r="CZ2" s="6" t="s">
        <v>92</v>
      </c>
      <c r="DA2" s="7" t="s">
        <v>93</v>
      </c>
      <c r="DB2" s="8" t="s">
        <v>94</v>
      </c>
      <c r="DC2" s="7" t="s">
        <v>51</v>
      </c>
      <c r="DD2" s="7" t="s">
        <v>52</v>
      </c>
      <c r="DE2" s="8" t="s">
        <v>100</v>
      </c>
      <c r="DF2" s="8" t="s">
        <v>96</v>
      </c>
      <c r="DG2" s="8" t="s">
        <v>97</v>
      </c>
      <c r="DH2" s="8" t="s">
        <v>98</v>
      </c>
      <c r="DI2" s="9" t="s">
        <v>99</v>
      </c>
      <c r="DJ2" s="68" t="s">
        <v>81</v>
      </c>
      <c r="DK2" s="69" t="s">
        <v>82</v>
      </c>
      <c r="DL2" s="6" t="s">
        <v>85</v>
      </c>
      <c r="DM2" s="6" t="s">
        <v>86</v>
      </c>
      <c r="DN2" s="6" t="s">
        <v>86</v>
      </c>
      <c r="DO2" s="6" t="s">
        <v>87</v>
      </c>
      <c r="DP2" s="6" t="s">
        <v>88</v>
      </c>
      <c r="DQ2" s="6" t="s">
        <v>89</v>
      </c>
      <c r="DR2" s="6" t="s">
        <v>83</v>
      </c>
      <c r="DS2" s="6" t="s">
        <v>90</v>
      </c>
      <c r="DT2" s="6" t="s">
        <v>91</v>
      </c>
      <c r="DU2" s="6" t="s">
        <v>92</v>
      </c>
      <c r="DV2" s="7" t="s">
        <v>93</v>
      </c>
      <c r="DW2" s="8" t="s">
        <v>94</v>
      </c>
      <c r="DX2" s="7" t="s">
        <v>51</v>
      </c>
      <c r="DY2" s="7" t="s">
        <v>52</v>
      </c>
      <c r="DZ2" s="8" t="s">
        <v>100</v>
      </c>
      <c r="EA2" s="8" t="s">
        <v>96</v>
      </c>
      <c r="EB2" s="8" t="s">
        <v>97</v>
      </c>
      <c r="EC2" s="8" t="s">
        <v>98</v>
      </c>
      <c r="ED2" s="9" t="s">
        <v>99</v>
      </c>
      <c r="EE2" s="68" t="s">
        <v>81</v>
      </c>
      <c r="EF2" s="69" t="s">
        <v>82</v>
      </c>
      <c r="EG2" s="6" t="s">
        <v>85</v>
      </c>
      <c r="EH2" s="6" t="s">
        <v>86</v>
      </c>
      <c r="EI2" s="6" t="s">
        <v>86</v>
      </c>
      <c r="EJ2" s="6" t="s">
        <v>87</v>
      </c>
      <c r="EK2" s="6" t="s">
        <v>88</v>
      </c>
      <c r="EL2" s="6" t="s">
        <v>89</v>
      </c>
      <c r="EM2" s="6" t="s">
        <v>83</v>
      </c>
      <c r="EN2" s="6" t="s">
        <v>90</v>
      </c>
      <c r="EO2" s="6" t="s">
        <v>91</v>
      </c>
      <c r="EP2" s="6" t="s">
        <v>92</v>
      </c>
      <c r="EQ2" s="7" t="s">
        <v>93</v>
      </c>
      <c r="ER2" s="8" t="s">
        <v>94</v>
      </c>
      <c r="ES2" s="7" t="s">
        <v>51</v>
      </c>
      <c r="ET2" s="7" t="s">
        <v>52</v>
      </c>
      <c r="EU2" s="8" t="s">
        <v>100</v>
      </c>
      <c r="EV2" s="8" t="s">
        <v>96</v>
      </c>
      <c r="EW2" s="8" t="s">
        <v>97</v>
      </c>
      <c r="EX2" s="8" t="s">
        <v>98</v>
      </c>
      <c r="EY2" s="9" t="s">
        <v>99</v>
      </c>
      <c r="EZ2" s="68" t="s">
        <v>81</v>
      </c>
      <c r="FA2" s="69" t="s">
        <v>82</v>
      </c>
      <c r="FB2" s="6" t="s">
        <v>85</v>
      </c>
      <c r="FC2" s="6" t="s">
        <v>86</v>
      </c>
      <c r="FD2" s="6" t="s">
        <v>86</v>
      </c>
      <c r="FE2" s="6" t="s">
        <v>87</v>
      </c>
      <c r="FF2" s="6" t="s">
        <v>88</v>
      </c>
      <c r="FG2" s="6" t="s">
        <v>89</v>
      </c>
      <c r="FH2" s="6" t="s">
        <v>83</v>
      </c>
      <c r="FI2" s="6" t="s">
        <v>90</v>
      </c>
      <c r="FJ2" s="6" t="s">
        <v>91</v>
      </c>
      <c r="FK2" s="6" t="s">
        <v>92</v>
      </c>
      <c r="FL2" s="7" t="s">
        <v>93</v>
      </c>
      <c r="FM2" s="8" t="s">
        <v>94</v>
      </c>
      <c r="FN2" s="7" t="s">
        <v>51</v>
      </c>
      <c r="FO2" s="7" t="s">
        <v>52</v>
      </c>
      <c r="FP2" s="8" t="s">
        <v>101</v>
      </c>
      <c r="FQ2" s="8" t="s">
        <v>96</v>
      </c>
      <c r="FR2" s="8" t="s">
        <v>97</v>
      </c>
      <c r="FS2" s="8" t="s">
        <v>98</v>
      </c>
      <c r="FT2" s="9" t="s">
        <v>99</v>
      </c>
      <c r="FU2" s="68" t="s">
        <v>81</v>
      </c>
      <c r="FV2" s="69" t="s">
        <v>82</v>
      </c>
      <c r="FW2" s="6" t="s">
        <v>85</v>
      </c>
      <c r="FX2" s="6" t="s">
        <v>86</v>
      </c>
      <c r="FY2" s="6" t="s">
        <v>86</v>
      </c>
      <c r="FZ2" s="6" t="s">
        <v>87</v>
      </c>
      <c r="GA2" s="6" t="s">
        <v>88</v>
      </c>
      <c r="GB2" s="6" t="s">
        <v>89</v>
      </c>
      <c r="GC2" s="6" t="s">
        <v>83</v>
      </c>
      <c r="GD2" s="6" t="s">
        <v>90</v>
      </c>
      <c r="GE2" s="6" t="s">
        <v>91</v>
      </c>
      <c r="GF2" s="6" t="s">
        <v>92</v>
      </c>
      <c r="GG2" s="7" t="s">
        <v>93</v>
      </c>
      <c r="GH2" s="8" t="s">
        <v>94</v>
      </c>
      <c r="GI2" s="7" t="s">
        <v>51</v>
      </c>
      <c r="GJ2" s="7" t="s">
        <v>52</v>
      </c>
      <c r="GK2" s="8" t="s">
        <v>100</v>
      </c>
      <c r="GL2" s="8" t="s">
        <v>96</v>
      </c>
      <c r="GM2" s="8" t="s">
        <v>97</v>
      </c>
      <c r="GN2" s="8" t="s">
        <v>98</v>
      </c>
      <c r="GO2" s="8" t="s">
        <v>99</v>
      </c>
      <c r="GP2" s="68" t="s">
        <v>81</v>
      </c>
      <c r="GQ2" s="69" t="s">
        <v>82</v>
      </c>
      <c r="GR2" s="6" t="s">
        <v>85</v>
      </c>
      <c r="GS2" s="6" t="s">
        <v>86</v>
      </c>
      <c r="GT2" s="6" t="s">
        <v>86</v>
      </c>
      <c r="GU2" s="6" t="s">
        <v>87</v>
      </c>
      <c r="GV2" s="6" t="s">
        <v>88</v>
      </c>
      <c r="GW2" s="6" t="s">
        <v>89</v>
      </c>
      <c r="GX2" s="6" t="s">
        <v>83</v>
      </c>
      <c r="GY2" s="6" t="s">
        <v>90</v>
      </c>
      <c r="GZ2" s="6" t="s">
        <v>91</v>
      </c>
      <c r="HA2" s="6" t="s">
        <v>92</v>
      </c>
      <c r="HB2" s="7" t="s">
        <v>93</v>
      </c>
      <c r="HC2" s="8" t="s">
        <v>94</v>
      </c>
      <c r="HD2" s="7" t="s">
        <v>51</v>
      </c>
      <c r="HE2" s="7" t="s">
        <v>52</v>
      </c>
      <c r="HF2" s="8" t="s">
        <v>100</v>
      </c>
      <c r="HG2" s="8" t="s">
        <v>96</v>
      </c>
      <c r="HH2" s="8" t="s">
        <v>97</v>
      </c>
      <c r="HI2" s="8" t="s">
        <v>98</v>
      </c>
      <c r="HJ2" s="9" t="s">
        <v>99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164.93438869099657</v>
      </c>
      <c r="T3" s="59">
        <f>IF('Données projet'!E9&gt;30,$R$33-$H$33,LOOKUP('Données projet'!$E$9,$A$3:$A$203,R3:R203)-LOOKUP('Données projet'!$E$9,$A$3:$A$203,$H$3:$H$203))</f>
        <v>112.28641356594233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273.81843612193632</v>
      </c>
      <c r="AO3" s="59">
        <f>IF('Données projet'!E10&gt;30,$AM$33-$H$33,LOOKUP('Données projet'!$E$10,$A$3:$A$203,AM3:AM203)-LOOKUP('Données projet'!$E$10,$A$3:$A$203,$H$3:$H$203))</f>
        <v>241.86405419073208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271.42245454555501</v>
      </c>
      <c r="BJ3" s="59">
        <f>IF('Données projet'!E11&gt;30,$BH$33-$H$33,LOOKUP('Données projet'!$E$11,$A$3:$A$203,BH3:BH203)-LOOKUP('Données projet'!$E$11,$A$3:$A$203,$H$3:$H$203))</f>
        <v>362.63944425429077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154.35821558431712</v>
      </c>
      <c r="CE3" s="59">
        <f>IF('Données projet'!E12&gt;30,$CC$33-$H$33,LOOKUP('Données projet'!$E$12,$A$3:$A$203,CC3:CC203)-LOOKUP('Données projet'!$E$12,$A$3:$A$203,$H$3:$H$203))</f>
        <v>263.86720460501306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157.25319335691853</v>
      </c>
      <c r="CZ3" s="59">
        <f>IF('Données projet'!E13&gt;30,$CX$33-$H$33,LOOKUP('Données projet'!$E$13,$A$3:$A$203,CX3:CX203)-LOOKUP('Données projet'!$E$13,$A$3:$A$203,$H$3:$H$203))</f>
        <v>159.50903492442171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229.5312221178919</v>
      </c>
      <c r="DU3" s="59">
        <f>IF('Données projet'!E14&gt;30,$DS$33-$H$33,LOOKUP('Données projet'!$E$14,$A$3:$A$203,DS3:DS203)-LOOKUP('Données projet'!$E$14,$A$3:$A$203,$H$3:$H$203))</f>
        <v>218.1982095871906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204.39656982394689</v>
      </c>
      <c r="EP3" s="59">
        <f>IF('Données projet'!E15&gt;30,$EN$33-$H$33,LOOKUP('Données projet'!$E$15,$A$3:$A$203,EN3:EN203)-LOOKUP('Données projet'!$E$15,$A$3:$A$203,$H$3:$H$203))</f>
        <v>134.95704640904546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199.60585215726968</v>
      </c>
      <c r="FK3" s="59">
        <f>IF('Données projet'!E16&gt;30,$FI$33-$H$33,LOOKUP('Données projet'!$E$16,$A$3:$A$203,FI3:FI203)-LOOKUP('Données projet'!$E$16,$A$3:$A$203,$H$3:$H$203))</f>
        <v>137.37366750114404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4.9084615384615384</v>
      </c>
      <c r="N4" s="13">
        <f>IF('Données projet'!$A$36&gt;35,N3+M4-V3,IF(A4&lt;'Données projet'!$A$36,$K$205^A4,IF(A4='Données projet'!$A$36,'Données projet'!$B$36,N3+M4-V3)))</f>
        <v>1.1810516433311786</v>
      </c>
      <c r="O4" s="13">
        <f>N4*VLOOKUP('Données projet'!$B$9,Paramètres!$A$1:$I$89,3,0)*VLOOKUP('Données projet'!$B$9,Paramètres!$A$1:$I$89,5,0)</f>
        <v>0.55273216907899159</v>
      </c>
      <c r="P4" s="13">
        <f>EXP(-1.0587+0.8836*LN(O4)+0.284)</f>
        <v>0.27292171413945432</v>
      </c>
      <c r="Q4" s="20">
        <f t="shared" ref="Q4:Q34" si="2">(O4+P4)*0.475*44/12</f>
        <v>1.4380138466054599</v>
      </c>
      <c r="R4" s="59">
        <f t="shared" si="0"/>
        <v>294.7713471799388</v>
      </c>
      <c r="S4" s="59">
        <f ca="1">AVERAGE(OFFSET($R$3,0,0,'Données projet'!$E$9+1,1))-AVERAGE(OFFSET($H$3,0,0,'Données projet'!$E$9+1,1))</f>
        <v>164.93438869099657</v>
      </c>
      <c r="T4" s="59">
        <f>$T$3</f>
        <v>112.28641356594233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295.31642317474365</v>
      </c>
      <c r="AN4" s="59">
        <f ca="1">AVERAGE(OFFSET($AM$3,0,0,'Données projet'!$E$10+1,1))-AVERAGE(OFFSET($H$3,0,0,'Données projet'!$E$10+1,1))</f>
        <v>273.81843612193632</v>
      </c>
      <c r="AO4" s="59">
        <f>$AO$3</f>
        <v>241.86405419073208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10.16068376068376</v>
      </c>
      <c r="BD4" s="12">
        <f>IF('Données projet'!$A$88&gt;35,BD3+BC4-BL3,IF(A4&lt;'Données projet'!$A$88,$BA$205^A4,IF(A4='Données projet'!$A$88,'Données projet'!$B$88,BD3+BC4-BL3)))</f>
        <v>1.3356034260773062</v>
      </c>
      <c r="BE4" s="13">
        <f>BD4*VLOOKUP('Données projet'!$B$11,Paramètres!$A$1:$I$89,3,0)*VLOOKUP('Données projet'!$B$11,Paramètres!$A$1:$I$89,5,0)</f>
        <v>0.7466023151772142</v>
      </c>
      <c r="BF4" s="13">
        <f>EXP(-1.0587+0.8836*LN(BE4)+0.284)</f>
        <v>0.35597032812689977</v>
      </c>
      <c r="BG4" s="20">
        <f t="shared" ref="BG4:BG67" si="7">(BE4+BF4)*0.475*44/12</f>
        <v>1.9203140204213316</v>
      </c>
      <c r="BH4" s="59">
        <f t="shared" ref="BH4:BH67" si="8">BG4+(AY4+AZ4)*44/12</f>
        <v>295.25364735375467</v>
      </c>
      <c r="BI4" s="59">
        <f ca="1">AVERAGE(OFFSET($BH$3,0,0,'Données projet'!$E$11+1,1))-AVERAGE(OFFSET($H$3,0,0,'Données projet'!$E$11+1,1))</f>
        <v>271.42245454555501</v>
      </c>
      <c r="BJ4" s="59">
        <f>$BJ$3</f>
        <v>362.63944425429077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9.6666666666666661</v>
      </c>
      <c r="BY4" s="12">
        <f>IF('Données projet'!$A$114&gt;35,BY3+BX4-CG3,IF(A4&lt;'Données projet'!$A$114,$BV$205^A4,IF(A4='Données projet'!$A$114,'Données projet'!$B$114,BY3+BX4-CG3)))</f>
        <v>1.4860662319460807</v>
      </c>
      <c r="BZ4" s="13">
        <f>BY4*VLOOKUP('Données projet'!$B$12,Paramètres!$A$1:$I$89,3,0)*VLOOKUP('Données projet'!$B$12,Paramètres!$A$1:$I$89,5,0)</f>
        <v>0.81139216264255998</v>
      </c>
      <c r="CA4" s="13">
        <f>EXP(-1.0587+0.8836*LN(BZ4)+0.284)</f>
        <v>0.38313198283208655</v>
      </c>
      <c r="CB4" s="20">
        <f t="shared" ref="CB4:CB67" si="10">(BZ4+CA4)*0.475*44/12</f>
        <v>2.0804628867016759</v>
      </c>
      <c r="CC4" s="59">
        <f t="shared" ref="CC4:CC67" si="11">CB4+(BT4+BU4)*44/12</f>
        <v>295.41379622003501</v>
      </c>
      <c r="CD4" s="59">
        <f ca="1">AVERAGE(OFFSET($CC$3,0,0,'Données projet'!$E$12+1,1))-AVERAGE(OFFSET($H$3,0,0,'Données projet'!$E$12+1,1))</f>
        <v>154.35821558431712</v>
      </c>
      <c r="CE4" s="59">
        <f>$CE$3</f>
        <v>263.86720460501306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0.6</v>
      </c>
      <c r="CT4" s="12">
        <f>IF('Données projet'!$A$140&gt;35,CT3+CS4-DB3,IF(A4&lt;'Données projet'!$A$140,$CQ$205^A4,IF(A4='Données projet'!$A$140,'Données projet'!$B$140,CT3+CS4-DB3)))</f>
        <v>1.1577536725165907</v>
      </c>
      <c r="CU4" s="17">
        <f>CT4*VLOOKUP('Données projet'!$B$13,Paramètres!$A$1:$I$89,3,0)*VLOOKUP('Données projet'!$B$13,Paramètres!$A$1:$I$89,5,0)</f>
        <v>0.92110882185419962</v>
      </c>
      <c r="CV4" s="13">
        <f>EXP(-1.0587+0.8836*LN(CU4)+0.284)</f>
        <v>0.4285655059947403</v>
      </c>
      <c r="CW4" s="20">
        <f t="shared" ref="CW4:CW67" si="13">(CU4+CV4)*0.475*44/12</f>
        <v>2.3506827876702365</v>
      </c>
      <c r="CX4" s="59">
        <f t="shared" ref="CX4:CX67" si="14">CW4+(CO4+CP4)*44/12</f>
        <v>295.68401612100354</v>
      </c>
      <c r="CY4" s="59">
        <f ca="1">AVERAGE(OFFSET($CX$3,0,0,'Données projet'!$E$13+1,1))-AVERAGE(OFFSET($H$3,0,0,'Données projet'!$E$13+1,1))</f>
        <v>157.25319335691853</v>
      </c>
      <c r="CZ4" s="59">
        <f>$CZ$3</f>
        <v>159.50903492442171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2.2999999999999998</v>
      </c>
      <c r="DO4" s="12">
        <f>IF('Données projet'!$A$166&gt;35,DO3+DN4-DW3,IF(A4&lt;'Données projet'!$A$166,$DL$205^A4,IF(A4='Données projet'!$A$166,'Données projet'!$B$166,DO3+DN4-DW3)))</f>
        <v>1.3682730833261529</v>
      </c>
      <c r="DP4" s="17">
        <f>DO4*VLOOKUP('Données projet'!$B$14,Paramètres!$A$1:$I$89,3,0)*VLOOKUP('Données projet'!$B$14,Paramètres!$A$1:$I$89,5,0)</f>
        <v>1.1953233655937274</v>
      </c>
      <c r="DQ4" s="13">
        <f>EXP(-1.0587+0.8836*LN(DP4)+0.284)</f>
        <v>0.53953319778599107</v>
      </c>
      <c r="DR4" s="20">
        <f t="shared" ref="DR4:DR67" si="16">(DP4+DQ4)*0.475*44/12</f>
        <v>3.0215418478863434</v>
      </c>
      <c r="DS4" s="59">
        <f t="shared" ref="DS4:DS67" si="17">DR4+(DJ4+DK4)*44/12</f>
        <v>296.35487518121965</v>
      </c>
      <c r="DT4" s="59">
        <f ca="1">AVERAGE(OFFSET($DS$3,0,0,'Données projet'!$E$14+1,1))-AVERAGE(OFFSET($H$3,0,0,'Données projet'!$E$14+1,1))</f>
        <v>229.5312221178919</v>
      </c>
      <c r="DU4" s="59">
        <f>$DU$3</f>
        <v>218.1982095871906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2.9235042735042733</v>
      </c>
      <c r="EJ4" s="12">
        <f>IF('Données projet'!$A$192&gt;35,EJ3+EI4-ER3,IF(A4&lt;'Données projet'!$A$192,$EG$205^A4,IF(A4='Données projet'!$A$192,'Données projet'!$B$192,EJ3+EI4-ER3)))</f>
        <v>1.1608269964373037</v>
      </c>
      <c r="EK4" s="17">
        <f>EJ4*VLOOKUP('Données projet'!$B$15,Paramètres!$A$1:$I$89,3,0)*VLOOKUP('Données projet'!$B$15,Paramètres!$A$1:$I$89,5,0)</f>
        <v>1.0503162663764722</v>
      </c>
      <c r="EL4" s="13">
        <f>EXP(-1.0587+0.8836*LN(EK4)+0.284)</f>
        <v>0.48127189162287909</v>
      </c>
      <c r="EM4" s="20">
        <f t="shared" ref="EM4:EM67" si="19">(EK4+EL4)*0.475*44/12</f>
        <v>2.6675160418488701</v>
      </c>
      <c r="EN4" s="59">
        <f t="shared" ref="EN4:EN67" si="20">EM4+(EE4+EF4)*44/12</f>
        <v>296.00084937518216</v>
      </c>
      <c r="EO4" s="59">
        <f ca="1">AVERAGE(OFFSET($EN$3,0,0,'Données projet'!$E$15+1,1))-AVERAGE(OFFSET($H$3,0,0,'Données projet'!$E$15+1,1))</f>
        <v>204.39656982394689</v>
      </c>
      <c r="EP4" s="59">
        <f>$EP$3</f>
        <v>134.95704640904546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3.1262820512820513</v>
      </c>
      <c r="FE4" s="12">
        <f>IF('Données projet'!$A$218&gt;35,FE3+FD4-FM3,IF(A4&lt;'Données projet'!$A$218,$FB$205^A4,IF(A4='Données projet'!$A$218,'Données projet'!$B$218,FE3+FD4-FM3)))</f>
        <v>1.1634247908558488</v>
      </c>
      <c r="FF4" s="17">
        <f>FE4*VLOOKUP('Données projet'!$B$16,Paramètres!$A$1:$I$89,3,0)*VLOOKUP('Données projet'!$B$16,Paramètres!$A$1:$I$89,5,0)</f>
        <v>0.99821847055431834</v>
      </c>
      <c r="FG4" s="13">
        <f>EXP(-1.0587+0.8836*LN(FF4)+0.284)</f>
        <v>0.46011649880510519</v>
      </c>
      <c r="FH4" s="20">
        <f t="shared" ref="FH4:FH67" si="22">(FF4+FG4)*0.475*44/12</f>
        <v>2.539933404967663</v>
      </c>
      <c r="FI4" s="59">
        <f t="shared" ref="FI4:FI67" si="23">FH4+(EZ4+FA4)*44/12</f>
        <v>295.87326673830097</v>
      </c>
      <c r="FJ4" s="59">
        <f ca="1">AVERAGE(OFFSET($FI$3,0,0,'Données projet'!$E$16+1,1))-AVERAGE(OFFSET($H$3,0,0,'Données projet'!$E$16+1,1))</f>
        <v>199.60585215726968</v>
      </c>
      <c r="FK4" s="59">
        <f>$FK$3</f>
        <v>137.37366750114404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4.9084615384615384</v>
      </c>
      <c r="N5" s="13">
        <f>IF('Données projet'!$A$36&gt;35,N4+M5-V4,IF(A5&lt;'Données projet'!$A$36,$K$205^A5,IF(A5='Données projet'!$A$36,'Données projet'!$B$36,N4+M5-V4)))</f>
        <v>1.3948829842152777</v>
      </c>
      <c r="O5" s="13">
        <f>N5*VLOOKUP('Données projet'!$B$9,Paramètres!$A$1:$I$89,3,0)*VLOOKUP('Données projet'!$B$9,Paramètres!$A$1:$I$89,5,0)</f>
        <v>0.65280523661274992</v>
      </c>
      <c r="P5" s="13">
        <f t="shared" ref="P5:P68" si="33">EXP(-1.0587+0.8836*LN(O5)+0.284)</f>
        <v>0.31615123301372139</v>
      </c>
      <c r="Q5" s="20">
        <f t="shared" si="2"/>
        <v>1.6875991845994376</v>
      </c>
      <c r="R5" s="59">
        <f t="shared" si="0"/>
        <v>295.02093251793275</v>
      </c>
      <c r="S5" s="59">
        <f ca="1">AVERAGE(OFFSET($R$3,0,0,'Données projet'!$E$9+1,1))-AVERAGE(OFFSET($H$3,0,0,'Données projet'!$E$9+1,1))</f>
        <v>164.93438869099657</v>
      </c>
      <c r="T5" s="59">
        <f t="shared" ref="T5:T68" si="34">$T$3</f>
        <v>112.28641356594233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295.8692231276803</v>
      </c>
      <c r="AN5" s="59">
        <f ca="1">AVERAGE(OFFSET($AM$3,0,0,'Données projet'!$E$10+1,1))-AVERAGE(OFFSET($H$3,0,0,'Données projet'!$E$10+1,1))</f>
        <v>273.81843612193632</v>
      </c>
      <c r="AO5" s="59">
        <f t="shared" ref="AO5:AO68" si="36">$AO$3</f>
        <v>241.86405419073208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10.16068376068376</v>
      </c>
      <c r="BD5" s="12">
        <f>IF('Données projet'!$A$88&gt;35,BD4+BC5-BL4,IF(A5&lt;'Données projet'!$A$88,$BA$205^A5,IF(A5='Données projet'!$A$88,'Données projet'!$B$88,BD4+BC5-BL4)))</f>
        <v>1.7838365117494384</v>
      </c>
      <c r="BE5" s="13">
        <f>BD5*VLOOKUP('Données projet'!$B$11,Paramètres!$A$1:$I$89,3,0)*VLOOKUP('Données projet'!$B$11,Paramètres!$A$1:$I$89,5,0)</f>
        <v>0.99716461006793611</v>
      </c>
      <c r="BF5" s="13">
        <f t="shared" ref="BF5:BF68" si="37">EXP(-1.0587+0.8836*LN(BE5)+0.284)</f>
        <v>0.4596872513511342</v>
      </c>
      <c r="BG5" s="20">
        <f t="shared" si="7"/>
        <v>2.5373503253048804</v>
      </c>
      <c r="BH5" s="59">
        <f t="shared" si="8"/>
        <v>295.8706836586382</v>
      </c>
      <c r="BI5" s="59">
        <f ca="1">AVERAGE(OFFSET($BH$3,0,0,'Données projet'!$E$11+1,1))-AVERAGE(OFFSET($H$3,0,0,'Données projet'!$E$11+1,1))</f>
        <v>271.42245454555501</v>
      </c>
      <c r="BJ5" s="59">
        <f t="shared" ref="BJ5:BJ68" si="38">$BJ$3</f>
        <v>362.63944425429077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9.6666666666666661</v>
      </c>
      <c r="BY5" s="12">
        <f>IF('Données projet'!$A$114&gt;35,BY4+BX5-CG4,IF(A5&lt;'Données projet'!$A$114,$BV$205^A5,IF(A5='Données projet'!$A$114,'Données projet'!$B$114,BY4+BX5-CG4)))</f>
        <v>2.2083928457304225</v>
      </c>
      <c r="BZ5" s="13">
        <f>BY5*VLOOKUP('Données projet'!$B$12,Paramètres!$A$1:$I$89,3,0)*VLOOKUP('Données projet'!$B$12,Paramètres!$A$1:$I$89,5,0)</f>
        <v>1.2057824937688106</v>
      </c>
      <c r="CA5" s="13">
        <f t="shared" ref="CA5:CA68" si="39">EXP(-1.0587+0.8836*LN(BZ5)+0.284)</f>
        <v>0.54370250071771287</v>
      </c>
      <c r="CB5" s="20">
        <f t="shared" si="10"/>
        <v>3.0470196987306952</v>
      </c>
      <c r="CC5" s="59">
        <f t="shared" si="11"/>
        <v>296.38035303206402</v>
      </c>
      <c r="CD5" s="59">
        <f ca="1">AVERAGE(OFFSET($CC$3,0,0,'Données projet'!$E$12+1,1))-AVERAGE(OFFSET($H$3,0,0,'Données projet'!$E$12+1,1))</f>
        <v>154.35821558431712</v>
      </c>
      <c r="CE5" s="59">
        <f t="shared" ref="CE5:CE68" si="40">$CE$3</f>
        <v>263.86720460501306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0.6</v>
      </c>
      <c r="CT5" s="12">
        <f>IF('Données projet'!$A$140&gt;35,CT4+CS5-DB4,IF(A5&lt;'Données projet'!$A$140,$CQ$205^A5,IF(A5='Données projet'!$A$140,'Données projet'!$B$140,CT4+CS5-DB4)))</f>
        <v>1.340393566225653</v>
      </c>
      <c r="CU5" s="17">
        <f>CT5*VLOOKUP('Données projet'!$B$13,Paramètres!$A$1:$I$89,3,0)*VLOOKUP('Données projet'!$B$13,Paramètres!$A$1:$I$89,5,0)</f>
        <v>1.0664171212891296</v>
      </c>
      <c r="CV5" s="13">
        <f t="shared" ref="CV5:CV68" si="41">EXP(-1.0587+0.8836*LN(CU5)+0.284)</f>
        <v>0.48778501947299968</v>
      </c>
      <c r="CW5" s="20">
        <f t="shared" si="13"/>
        <v>2.7069020618273747</v>
      </c>
      <c r="CX5" s="59">
        <f t="shared" si="14"/>
        <v>296.04023539516066</v>
      </c>
      <c r="CY5" s="59">
        <f ca="1">AVERAGE(OFFSET($CX$3,0,0,'Données projet'!$E$13+1,1))-AVERAGE(OFFSET($H$3,0,0,'Données projet'!$E$13+1,1))</f>
        <v>157.25319335691853</v>
      </c>
      <c r="CZ5" s="59">
        <f t="shared" ref="CZ5:CZ68" si="42">$CZ$3</f>
        <v>159.50903492442171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2.2999999999999998</v>
      </c>
      <c r="DO5" s="12">
        <f>IF('Données projet'!$A$166&gt;35,DO4+DN5-DW4,IF(A5&lt;'Données projet'!$A$166,$DL$205^A5,IF(A5='Données projet'!$A$166,'Données projet'!$B$166,DO4+DN5-DW4)))</f>
        <v>1.8721712305548575</v>
      </c>
      <c r="DP5" s="17">
        <f>DO5*VLOOKUP('Données projet'!$B$14,Paramètres!$A$1:$I$89,3,0)*VLOOKUP('Données projet'!$B$14,Paramètres!$A$1:$I$89,5,0)</f>
        <v>1.6355287870127238</v>
      </c>
      <c r="DQ5" s="13">
        <f t="shared" ref="DQ5:DQ68" si="43">EXP(-1.0587+0.8836*LN(DP5)+0.284)</f>
        <v>0.71177125311828726</v>
      </c>
      <c r="DR5" s="20">
        <f t="shared" si="16"/>
        <v>4.0882142365615106</v>
      </c>
      <c r="DS5" s="59">
        <f t="shared" si="17"/>
        <v>297.42154756989481</v>
      </c>
      <c r="DT5" s="59">
        <f ca="1">AVERAGE(OFFSET($DS$3,0,0,'Données projet'!$E$14+1,1))-AVERAGE(OFFSET($H$3,0,0,'Données projet'!$E$14+1,1))</f>
        <v>229.5312221178919</v>
      </c>
      <c r="DU5" s="59">
        <f t="shared" ref="DU5:DU68" si="44">$DU$3</f>
        <v>218.1982095871906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2.9235042735042733</v>
      </c>
      <c r="EJ5" s="12">
        <f>IF('Données projet'!$A$192&gt;35,EJ4+EI5-ER4,IF(A5&lt;'Données projet'!$A$192,$EG$205^A5,IF(A5='Données projet'!$A$192,'Données projet'!$B$192,EJ4+EI5-ER4)))</f>
        <v>1.3475193156576519</v>
      </c>
      <c r="EK5" s="17">
        <f>EJ5*VLOOKUP('Données projet'!$B$15,Paramètres!$A$1:$I$89,3,0)*VLOOKUP('Données projet'!$B$15,Paramètres!$A$1:$I$89,5,0)</f>
        <v>1.2192354768070435</v>
      </c>
      <c r="EL5" s="13">
        <f t="shared" ref="EL5:EL68" si="45">EXP(-1.0587+0.8836*LN(EK5)+0.284)</f>
        <v>0.54905905766229002</v>
      </c>
      <c r="EM5" s="20">
        <f t="shared" si="19"/>
        <v>3.0797796475340888</v>
      </c>
      <c r="EN5" s="59">
        <f t="shared" si="20"/>
        <v>296.41311298086742</v>
      </c>
      <c r="EO5" s="59">
        <f ca="1">AVERAGE(OFFSET($EN$3,0,0,'Données projet'!$E$15+1,1))-AVERAGE(OFFSET($H$3,0,0,'Données projet'!$E$15+1,1))</f>
        <v>204.39656982394689</v>
      </c>
      <c r="EP5" s="59">
        <f t="shared" ref="EP5:EP68" si="46">$EP$3</f>
        <v>134.95704640904546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3.1262820512820513</v>
      </c>
      <c r="FE5" s="12">
        <f>IF('Données projet'!$A$218&gt;35,FE4+FD5-FM4,IF(A5&lt;'Données projet'!$A$218,$FB$205^A5,IF(A5='Données projet'!$A$218,'Données projet'!$B$218,FE4+FD5-FM4)))</f>
        <v>1.3535572439779755</v>
      </c>
      <c r="FF5" s="17">
        <f>FE5*VLOOKUP('Données projet'!$B$16,Paramètres!$A$1:$I$89,3,0)*VLOOKUP('Données projet'!$B$16,Paramètres!$A$1:$I$89,5,0)</f>
        <v>1.161352115333103</v>
      </c>
      <c r="FG5" s="13">
        <f t="shared" ref="FG5:FG68" si="47">EXP(-1.0587+0.8836*LN(FF5)+0.284)</f>
        <v>0.52596177268883559</v>
      </c>
      <c r="FH5" s="20">
        <f t="shared" si="22"/>
        <v>2.9387383549715431</v>
      </c>
      <c r="FI5" s="59">
        <f t="shared" si="23"/>
        <v>296.27207168830483</v>
      </c>
      <c r="FJ5" s="59">
        <f ca="1">AVERAGE(OFFSET($FI$3,0,0,'Données projet'!$E$16+1,1))-AVERAGE(OFFSET($H$3,0,0,'Données projet'!$E$16+1,1))</f>
        <v>199.60585215726968</v>
      </c>
      <c r="FK5" s="59">
        <f t="shared" ref="FK5:FK68" si="48">$FK$3</f>
        <v>137.37366750114404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4.9084615384615384</v>
      </c>
      <c r="N6" s="13">
        <f>IF('Données projet'!$A$36&gt;35,N5+M6-V5,IF(A6&lt;'Données projet'!$A$36,$K$205^A6,IF(A6='Données projet'!$A$36,'Données projet'!$B$36,N5+M6-V5)))</f>
        <v>1.6474288407621522</v>
      </c>
      <c r="O6" s="13">
        <f>N6*VLOOKUP('Données projet'!$B$9,Paramètres!$A$1:$I$89,3,0)*VLOOKUP('Données projet'!$B$9,Paramètres!$A$1:$I$89,5,0)</f>
        <v>0.7709966974766872</v>
      </c>
      <c r="P6" s="13">
        <f t="shared" si="33"/>
        <v>0.36622810482944673</v>
      </c>
      <c r="Q6" s="20">
        <f t="shared" si="2"/>
        <v>1.9806665306831832</v>
      </c>
      <c r="R6" s="59">
        <f t="shared" si="0"/>
        <v>295.31399986401652</v>
      </c>
      <c r="S6" s="59">
        <f ca="1">AVERAGE(OFFSET($R$3,0,0,'Données projet'!$E$9+1,1))-AVERAGE(OFFSET($H$3,0,0,'Données projet'!$E$9+1,1))</f>
        <v>164.93438869099657</v>
      </c>
      <c r="T6" s="59">
        <f t="shared" si="34"/>
        <v>112.28641356594233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296.57673872359732</v>
      </c>
      <c r="AN6" s="59">
        <f ca="1">AVERAGE(OFFSET($AM$3,0,0,'Données projet'!$E$10+1,1))-AVERAGE(OFFSET($H$3,0,0,'Données projet'!$E$10+1,1))</f>
        <v>273.81843612193632</v>
      </c>
      <c r="AO6" s="59">
        <f t="shared" si="36"/>
        <v>241.86405419073208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10.16068376068376</v>
      </c>
      <c r="BD6" s="12">
        <f>IF('Données projet'!$A$88&gt;35,BD5+BC6-BL5,IF(A6&lt;'Données projet'!$A$88,$BA$205^A6,IF(A6='Données projet'!$A$88,'Données projet'!$B$88,BD5+BC6-BL5)))</f>
        <v>2.3824981566543406</v>
      </c>
      <c r="BE6" s="13">
        <f>BD6*VLOOKUP('Données projet'!$B$11,Paramètres!$A$1:$I$89,3,0)*VLOOKUP('Données projet'!$B$11,Paramètres!$A$1:$I$89,5,0)</f>
        <v>1.3318164695697763</v>
      </c>
      <c r="BF6" s="13">
        <f t="shared" si="37"/>
        <v>0.59362354768914927</v>
      </c>
      <c r="BG6" s="20">
        <f t="shared" si="7"/>
        <v>3.3534746967259621</v>
      </c>
      <c r="BH6" s="59">
        <f t="shared" si="8"/>
        <v>296.6868080300593</v>
      </c>
      <c r="BI6" s="59">
        <f ca="1">AVERAGE(OFFSET($BH$3,0,0,'Données projet'!$E$11+1,1))-AVERAGE(OFFSET($H$3,0,0,'Données projet'!$E$11+1,1))</f>
        <v>271.42245454555501</v>
      </c>
      <c r="BJ6" s="59">
        <f t="shared" si="38"/>
        <v>362.63944425429077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9.6666666666666661</v>
      </c>
      <c r="BY6" s="12">
        <f>IF('Données projet'!$A$114&gt;35,BY5+BX6-CG5,IF(A6&lt;'Données projet'!$A$114,$BV$205^A6,IF(A6='Données projet'!$A$114,'Données projet'!$B$114,BY5+BX6-CG5)))</f>
        <v>3.2818180349112911</v>
      </c>
      <c r="BZ6" s="13">
        <f>BY6*VLOOKUP('Données projet'!$B$12,Paramètres!$A$1:$I$89,3,0)*VLOOKUP('Données projet'!$B$12,Paramètres!$A$1:$I$89,5,0)</f>
        <v>1.7918726470615651</v>
      </c>
      <c r="CA6" s="13">
        <f t="shared" si="39"/>
        <v>0.77156808236563035</v>
      </c>
      <c r="CB6" s="20">
        <f t="shared" si="10"/>
        <v>4.4646592704190313</v>
      </c>
      <c r="CC6" s="59">
        <f t="shared" si="11"/>
        <v>297.79799260375233</v>
      </c>
      <c r="CD6" s="59">
        <f ca="1">AVERAGE(OFFSET($CC$3,0,0,'Données projet'!$E$12+1,1))-AVERAGE(OFFSET($H$3,0,0,'Données projet'!$E$12+1,1))</f>
        <v>154.35821558431712</v>
      </c>
      <c r="CE6" s="59">
        <f t="shared" si="40"/>
        <v>263.86720460501306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0.6</v>
      </c>
      <c r="CT6" s="12">
        <f>IF('Données projet'!$A$140&gt;35,CT5+CS6-DB5,IF(A6&lt;'Données projet'!$A$140,$CQ$205^A6,IF(A6='Données projet'!$A$140,'Données projet'!$B$140,CT5+CS6-DB5)))</f>
        <v>1.5518455739153598</v>
      </c>
      <c r="CU6" s="17">
        <f>CT6*VLOOKUP('Données projet'!$B$13,Paramètres!$A$1:$I$89,3,0)*VLOOKUP('Données projet'!$B$13,Paramètres!$A$1:$I$89,5,0)</f>
        <v>1.2346483386070604</v>
      </c>
      <c r="CV6" s="13">
        <f t="shared" si="41"/>
        <v>0.5551875311803437</v>
      </c>
      <c r="CW6" s="20">
        <f t="shared" si="13"/>
        <v>3.1172974732130618</v>
      </c>
      <c r="CX6" s="59">
        <f t="shared" si="14"/>
        <v>296.45063080654637</v>
      </c>
      <c r="CY6" s="59">
        <f ca="1">AVERAGE(OFFSET($CX$3,0,0,'Données projet'!$E$13+1,1))-AVERAGE(OFFSET($H$3,0,0,'Données projet'!$E$13+1,1))</f>
        <v>157.25319335691853</v>
      </c>
      <c r="CZ6" s="59">
        <f t="shared" si="42"/>
        <v>159.50903492442171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2.2999999999999998</v>
      </c>
      <c r="DO6" s="12">
        <f>IF('Données projet'!$A$166&gt;35,DO5+DN6-DW5,IF(A6&lt;'Données projet'!$A$166,$DL$205^A6,IF(A6='Données projet'!$A$166,'Données projet'!$B$166,DO5+DN6-DW5)))</f>
        <v>2.5616415021458128</v>
      </c>
      <c r="DP6" s="17">
        <f>DO6*VLOOKUP('Données projet'!$B$14,Paramètres!$A$1:$I$89,3,0)*VLOOKUP('Données projet'!$B$14,Paramètres!$A$1:$I$89,5,0)</f>
        <v>2.237850016274582</v>
      </c>
      <c r="DQ6" s="13">
        <f t="shared" si="43"/>
        <v>0.93899377989068589</v>
      </c>
      <c r="DR6" s="20">
        <f t="shared" si="16"/>
        <v>5.5330029449878415</v>
      </c>
      <c r="DS6" s="59">
        <f t="shared" si="17"/>
        <v>298.86633627832117</v>
      </c>
      <c r="DT6" s="59">
        <f ca="1">AVERAGE(OFFSET($DS$3,0,0,'Données projet'!$E$14+1,1))-AVERAGE(OFFSET($H$3,0,0,'Données projet'!$E$14+1,1))</f>
        <v>229.5312221178919</v>
      </c>
      <c r="DU6" s="59">
        <f t="shared" si="44"/>
        <v>218.1982095871906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2.9235042735042733</v>
      </c>
      <c r="EJ6" s="12">
        <f>IF('Données projet'!$A$192&gt;35,EJ5+EI6-ER5,IF(A6&lt;'Données projet'!$A$192,$EG$205^A6,IF(A6='Données projet'!$A$192,'Données projet'!$B$192,EJ5+EI6-ER5)))</f>
        <v>1.5642367998361231</v>
      </c>
      <c r="EK6" s="17">
        <f>EJ6*VLOOKUP('Données projet'!$B$15,Paramètres!$A$1:$I$89,3,0)*VLOOKUP('Données projet'!$B$15,Paramètres!$A$1:$I$89,5,0)</f>
        <v>1.415321456491724</v>
      </c>
      <c r="EL6" s="13">
        <f t="shared" si="45"/>
        <v>0.62639404887004735</v>
      </c>
      <c r="EM6" s="20">
        <f t="shared" si="19"/>
        <v>3.5559878385050854</v>
      </c>
      <c r="EN6" s="59">
        <f t="shared" si="20"/>
        <v>296.88932117183839</v>
      </c>
      <c r="EO6" s="59">
        <f ca="1">AVERAGE(OFFSET($EN$3,0,0,'Données projet'!$E$15+1,1))-AVERAGE(OFFSET($H$3,0,0,'Données projet'!$E$15+1,1))</f>
        <v>204.39656982394689</v>
      </c>
      <c r="EP6" s="59">
        <f t="shared" si="46"/>
        <v>134.95704640904546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3.1262820512820513</v>
      </c>
      <c r="FE6" s="12">
        <f>IF('Données projet'!$A$218&gt;35,FE5+FD6-FM5,IF(A6&lt;'Données projet'!$A$218,$FB$205^A6,IF(A6='Données projet'!$A$218,'Données projet'!$B$218,FE5+FD6-FM5)))</f>
        <v>1.5747620534864952</v>
      </c>
      <c r="FF6" s="17">
        <f>FE6*VLOOKUP('Données projet'!$B$16,Paramètres!$A$1:$I$89,3,0)*VLOOKUP('Données projet'!$B$16,Paramètres!$A$1:$I$89,5,0)</f>
        <v>1.3511458418914131</v>
      </c>
      <c r="FG6" s="13">
        <f t="shared" si="47"/>
        <v>0.60122987775571801</v>
      </c>
      <c r="FH6" s="20">
        <f t="shared" si="22"/>
        <v>3.4003877117187531</v>
      </c>
      <c r="FI6" s="59">
        <f t="shared" si="23"/>
        <v>296.73372104505205</v>
      </c>
      <c r="FJ6" s="59">
        <f ca="1">AVERAGE(OFFSET($FI$3,0,0,'Données projet'!$E$16+1,1))-AVERAGE(OFFSET($H$3,0,0,'Données projet'!$E$16+1,1))</f>
        <v>199.60585215726968</v>
      </c>
      <c r="FK6" s="59">
        <f t="shared" si="48"/>
        <v>137.37366750114404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4.9084615384615384</v>
      </c>
      <c r="N7" s="13">
        <f>IF('Données projet'!$A$36&gt;35,N6+M7-V6,IF(A7&lt;'Données projet'!$A$36,$K$205^A7,IF(A7='Données projet'!$A$36,'Données projet'!$B$36,N6+M7-V6)))</f>
        <v>1.9456985396533186</v>
      </c>
      <c r="O7" s="13">
        <f>N7*VLOOKUP('Données projet'!$B$9,Paramètres!$A$1:$I$89,3,0)*VLOOKUP('Données projet'!$B$9,Paramètres!$A$1:$I$89,5,0)</f>
        <v>0.91058691655775315</v>
      </c>
      <c r="P7" s="13">
        <f t="shared" si="33"/>
        <v>0.42423691816235021</v>
      </c>
      <c r="Q7" s="20">
        <f t="shared" si="2"/>
        <v>2.32481817880418</v>
      </c>
      <c r="R7" s="59">
        <f t="shared" si="0"/>
        <v>295.65815151213752</v>
      </c>
      <c r="S7" s="59">
        <f ca="1">AVERAGE(OFFSET($R$3,0,0,'Données projet'!$E$9+1,1))-AVERAGE(OFFSET($H$3,0,0,'Données projet'!$E$9+1,1))</f>
        <v>164.93438869099657</v>
      </c>
      <c r="T7" s="59">
        <f t="shared" si="34"/>
        <v>112.28641356594233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297.48243470102432</v>
      </c>
      <c r="AN7" s="59">
        <f ca="1">AVERAGE(OFFSET($AM$3,0,0,'Données projet'!$E$10+1,1))-AVERAGE(OFFSET($H$3,0,0,'Données projet'!$E$10+1,1))</f>
        <v>273.81843612193632</v>
      </c>
      <c r="AO7" s="59">
        <f t="shared" si="36"/>
        <v>241.86405419073208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10.16068376068376</v>
      </c>
      <c r="BD7" s="12">
        <f>IF('Données projet'!$A$88&gt;35,BD6+BC7-BL6,IF(A7&lt;'Données projet'!$A$88,$BA$205^A7,IF(A7='Données projet'!$A$88,'Données projet'!$B$88,BD6+BC7-BL6)))</f>
        <v>3.1820727006504042</v>
      </c>
      <c r="BE7" s="13">
        <f>BD7*VLOOKUP('Données projet'!$B$11,Paramètres!$A$1:$I$89,3,0)*VLOOKUP('Données projet'!$B$11,Paramètres!$A$1:$I$89,5,0)</f>
        <v>1.7787786396635761</v>
      </c>
      <c r="BF7" s="13">
        <f t="shared" si="37"/>
        <v>0.76658405325641277</v>
      </c>
      <c r="BG7" s="20">
        <f t="shared" si="7"/>
        <v>4.4331733568356464</v>
      </c>
      <c r="BH7" s="59">
        <f t="shared" si="8"/>
        <v>297.76650669016897</v>
      </c>
      <c r="BI7" s="59">
        <f ca="1">AVERAGE(OFFSET($BH$3,0,0,'Données projet'!$E$11+1,1))-AVERAGE(OFFSET($H$3,0,0,'Données projet'!$E$11+1,1))</f>
        <v>271.42245454555501</v>
      </c>
      <c r="BJ7" s="59">
        <f t="shared" si="38"/>
        <v>362.63944425429077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9.6666666666666661</v>
      </c>
      <c r="BY7" s="12">
        <f>IF('Données projet'!$A$114&gt;35,BY6+BX7-CG6,IF(A7&lt;'Données projet'!$A$114,$BV$205^A7,IF(A7='Données projet'!$A$114,'Données projet'!$B$114,BY6+BX7-CG6)))</f>
        <v>4.8769989610733138</v>
      </c>
      <c r="BZ7" s="13">
        <f>BY7*VLOOKUP('Données projet'!$B$12,Paramètres!$A$1:$I$89,3,0)*VLOOKUP('Données projet'!$B$12,Paramètres!$A$1:$I$89,5,0)</f>
        <v>2.6628414327460295</v>
      </c>
      <c r="CA7" s="13">
        <f t="shared" si="39"/>
        <v>1.0949320721157787</v>
      </c>
      <c r="CB7" s="20">
        <f t="shared" si="10"/>
        <v>6.5447888543009825</v>
      </c>
      <c r="CC7" s="59">
        <f t="shared" si="11"/>
        <v>299.87812218763429</v>
      </c>
      <c r="CD7" s="59">
        <f ca="1">AVERAGE(OFFSET($CC$3,0,0,'Données projet'!$E$12+1,1))-AVERAGE(OFFSET($H$3,0,0,'Données projet'!$E$12+1,1))</f>
        <v>154.35821558431712</v>
      </c>
      <c r="CE7" s="59">
        <f t="shared" si="40"/>
        <v>263.86720460501306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0.6</v>
      </c>
      <c r="CT7" s="12">
        <f>IF('Données projet'!$A$140&gt;35,CT6+CS7-DB6,IF(A7&lt;'Données projet'!$A$140,$CQ$205^A7,IF(A7='Données projet'!$A$140,'Données projet'!$B$140,CT6+CS7-DB6)))</f>
        <v>1.796654912379124</v>
      </c>
      <c r="CU7" s="17">
        <f>CT7*VLOOKUP('Données projet'!$B$13,Paramètres!$A$1:$I$89,3,0)*VLOOKUP('Données projet'!$B$13,Paramètres!$A$1:$I$89,5,0)</f>
        <v>1.4294186482888311</v>
      </c>
      <c r="CV7" s="13">
        <f t="shared" si="41"/>
        <v>0.6319037741485759</v>
      </c>
      <c r="CW7" s="20">
        <f t="shared" si="13"/>
        <v>3.590136552411817</v>
      </c>
      <c r="CX7" s="59">
        <f t="shared" si="14"/>
        <v>296.92346988574513</v>
      </c>
      <c r="CY7" s="59">
        <f ca="1">AVERAGE(OFFSET($CX$3,0,0,'Données projet'!$E$13+1,1))-AVERAGE(OFFSET($H$3,0,0,'Données projet'!$E$13+1,1))</f>
        <v>157.25319335691853</v>
      </c>
      <c r="CZ7" s="59">
        <f t="shared" si="42"/>
        <v>159.50903492442171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2.2999999999999998</v>
      </c>
      <c r="DO7" s="12">
        <f>IF('Données projet'!$A$166&gt;35,DO6+DN7-DW6,IF(A7&lt;'Données projet'!$A$166,$DL$205^A7,IF(A7='Données projet'!$A$166,'Données projet'!$B$166,DO6+DN7-DW6)))</f>
        <v>3.5050251165172894</v>
      </c>
      <c r="DP7" s="17">
        <f>DO7*VLOOKUP('Données projet'!$B$14,Paramètres!$A$1:$I$89,3,0)*VLOOKUP('Données projet'!$B$14,Paramètres!$A$1:$I$89,5,0)</f>
        <v>3.0619899417895042</v>
      </c>
      <c r="DQ7" s="13">
        <f t="shared" si="43"/>
        <v>1.2387537636714157</v>
      </c>
      <c r="DR7" s="20">
        <f t="shared" si="16"/>
        <v>7.4904619536777686</v>
      </c>
      <c r="DS7" s="59">
        <f t="shared" si="17"/>
        <v>300.82379528701108</v>
      </c>
      <c r="DT7" s="59">
        <f ca="1">AVERAGE(OFFSET($DS$3,0,0,'Données projet'!$E$14+1,1))-AVERAGE(OFFSET($H$3,0,0,'Données projet'!$E$14+1,1))</f>
        <v>229.5312221178919</v>
      </c>
      <c r="DU7" s="59">
        <f t="shared" si="44"/>
        <v>218.1982095871906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2.9235042735042733</v>
      </c>
      <c r="EJ7" s="12">
        <f>IF('Données projet'!$A$192&gt;35,EJ6+EI7-ER6,IF(A7&lt;'Données projet'!$A$192,$EG$205^A7,IF(A7='Données projet'!$A$192,'Données projet'!$B$192,EJ6+EI7-ER6)))</f>
        <v>1.8158083060704666</v>
      </c>
      <c r="EK7" s="17">
        <f>EJ7*VLOOKUP('Données projet'!$B$15,Paramètres!$A$1:$I$89,3,0)*VLOOKUP('Données projet'!$B$15,Paramètres!$A$1:$I$89,5,0)</f>
        <v>1.6429433553325583</v>
      </c>
      <c r="EL7" s="13">
        <f t="shared" si="45"/>
        <v>0.71462167681995736</v>
      </c>
      <c r="EM7" s="20">
        <f t="shared" si="19"/>
        <v>4.1060924309989639</v>
      </c>
      <c r="EN7" s="59">
        <f t="shared" si="20"/>
        <v>297.43942576433227</v>
      </c>
      <c r="EO7" s="59">
        <f ca="1">AVERAGE(OFFSET($EN$3,0,0,'Données projet'!$E$15+1,1))-AVERAGE(OFFSET($H$3,0,0,'Données projet'!$E$15+1,1))</f>
        <v>204.39656982394689</v>
      </c>
      <c r="EP7" s="59">
        <f t="shared" si="46"/>
        <v>134.95704640904546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3.1262820512820513</v>
      </c>
      <c r="FE7" s="12">
        <f>IF('Données projet'!$A$218&gt;35,FE6+FD7-FM6,IF(A7&lt;'Données projet'!$A$218,$FB$205^A7,IF(A7='Données projet'!$A$218,'Données projet'!$B$218,FE6+FD7-FM6)))</f>
        <v>1.8321172127252527</v>
      </c>
      <c r="FF7" s="17">
        <f>FE7*VLOOKUP('Données projet'!$B$16,Paramètres!$A$1:$I$89,3,0)*VLOOKUP('Données projet'!$B$16,Paramètres!$A$1:$I$89,5,0)</f>
        <v>1.5719565685182668</v>
      </c>
      <c r="FG7" s="13">
        <f t="shared" si="47"/>
        <v>0.68726927445354347</v>
      </c>
      <c r="FH7" s="20">
        <f t="shared" si="22"/>
        <v>3.9348183431759032</v>
      </c>
      <c r="FI7" s="59">
        <f t="shared" si="23"/>
        <v>297.26815167650921</v>
      </c>
      <c r="FJ7" s="59">
        <f ca="1">AVERAGE(OFFSET($FI$3,0,0,'Données projet'!$E$16+1,1))-AVERAGE(OFFSET($H$3,0,0,'Données projet'!$E$16+1,1))</f>
        <v>199.60585215726968</v>
      </c>
      <c r="FK7" s="59">
        <f t="shared" si="48"/>
        <v>137.37366750114404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4.9084615384615384</v>
      </c>
      <c r="N8" s="13">
        <f>IF('Données projet'!$A$36&gt;35,N7+M8-V7,IF(A8&lt;'Données projet'!$A$36,$K$205^A8,IF(A8='Données projet'!$A$36,'Données projet'!$B$36,N7+M8-V7)))</f>
        <v>2.2979704576846265</v>
      </c>
      <c r="O8" s="13">
        <f>N8*VLOOKUP('Données projet'!$B$9,Paramètres!$A$1:$I$89,3,0)*VLOOKUP('Données projet'!$B$9,Paramètres!$A$1:$I$89,5,0)</f>
        <v>1.0754501741964051</v>
      </c>
      <c r="P8" s="13">
        <f t="shared" si="33"/>
        <v>0.49143405532927165</v>
      </c>
      <c r="Q8" s="20">
        <f t="shared" si="2"/>
        <v>2.7289900330905534</v>
      </c>
      <c r="R8" s="59">
        <f t="shared" si="0"/>
        <v>296.06232336642387</v>
      </c>
      <c r="S8" s="59">
        <f ca="1">AVERAGE(OFFSET($R$3,0,0,'Données projet'!$E$9+1,1))-AVERAGE(OFFSET($H$3,0,0,'Données projet'!$E$9+1,1))</f>
        <v>164.93438869099657</v>
      </c>
      <c r="T8" s="59">
        <f t="shared" si="34"/>
        <v>112.28641356594233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298.64202949713871</v>
      </c>
      <c r="AN8" s="59">
        <f ca="1">AVERAGE(OFFSET($AM$3,0,0,'Données projet'!$E$10+1,1))-AVERAGE(OFFSET($H$3,0,0,'Données projet'!$E$10+1,1))</f>
        <v>273.81843612193632</v>
      </c>
      <c r="AO8" s="59">
        <f t="shared" si="36"/>
        <v>241.86405419073208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10.16068376068376</v>
      </c>
      <c r="BD8" s="12">
        <f>IF('Données projet'!$A$88&gt;35,BD7+BC8-BL7,IF(A8&lt;'Données projet'!$A$88,$BA$205^A8,IF(A8='Données projet'!$A$88,'Données projet'!$B$88,BD7+BC8-BL7)))</f>
        <v>4.2499872010157462</v>
      </c>
      <c r="BE8" s="13">
        <f>BD8*VLOOKUP('Données projet'!$B$11,Paramètres!$A$1:$I$89,3,0)*VLOOKUP('Données projet'!$B$11,Paramètres!$A$1:$I$89,5,0)</f>
        <v>2.3757428453678022</v>
      </c>
      <c r="BF8" s="13">
        <f t="shared" si="37"/>
        <v>0.98993901605593615</v>
      </c>
      <c r="BG8" s="20">
        <f t="shared" si="7"/>
        <v>5.8618959086463436</v>
      </c>
      <c r="BH8" s="59">
        <f t="shared" si="8"/>
        <v>299.19522924197963</v>
      </c>
      <c r="BI8" s="59">
        <f ca="1">AVERAGE(OFFSET($BH$3,0,0,'Données projet'!$E$11+1,1))-AVERAGE(OFFSET($H$3,0,0,'Données projet'!$E$11+1,1))</f>
        <v>271.42245454555501</v>
      </c>
      <c r="BJ8" s="59">
        <f t="shared" si="38"/>
        <v>362.63944425429077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9.6666666666666661</v>
      </c>
      <c r="BY8" s="12">
        <f>IF('Données projet'!$A$114&gt;35,BY7+BX8-CG7,IF(A8&lt;'Données projet'!$A$114,$BV$205^A8,IF(A8='Données projet'!$A$114,'Données projet'!$B$114,BY7+BX8-CG7)))</f>
        <v>7.2475434692871694</v>
      </c>
      <c r="BZ8" s="13">
        <f>BY8*VLOOKUP('Données projet'!$B$12,Paramètres!$A$1:$I$89,3,0)*VLOOKUP('Données projet'!$B$12,Paramètres!$A$1:$I$89,5,0)</f>
        <v>3.9571587342307946</v>
      </c>
      <c r="CA8" s="13">
        <f t="shared" si="39"/>
        <v>1.5538178288453746</v>
      </c>
      <c r="CB8" s="20">
        <f t="shared" si="10"/>
        <v>9.5982841806909942</v>
      </c>
      <c r="CC8" s="59">
        <f t="shared" si="11"/>
        <v>302.93161751402431</v>
      </c>
      <c r="CD8" s="59">
        <f ca="1">AVERAGE(OFFSET($CC$3,0,0,'Données projet'!$E$12+1,1))-AVERAGE(OFFSET($H$3,0,0,'Données projet'!$E$12+1,1))</f>
        <v>154.35821558431712</v>
      </c>
      <c r="CE8" s="59">
        <f t="shared" si="40"/>
        <v>263.86720460501306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0.6</v>
      </c>
      <c r="CT8" s="12">
        <f>IF('Données projet'!$A$140&gt;35,CT7+CS8-DB7,IF(A8&lt;'Données projet'!$A$140,$CQ$205^A8,IF(A8='Données projet'!$A$140,'Données projet'!$B$140,CT7+CS8-DB7)))</f>
        <v>2.0800838230519041</v>
      </c>
      <c r="CU8" s="17">
        <f>CT8*VLOOKUP('Données projet'!$B$13,Paramètres!$A$1:$I$89,3,0)*VLOOKUP('Données projet'!$B$13,Paramètres!$A$1:$I$89,5,0)</f>
        <v>1.654914689620095</v>
      </c>
      <c r="CV8" s="13">
        <f t="shared" si="41"/>
        <v>0.71922072697541817</v>
      </c>
      <c r="CW8" s="20">
        <f t="shared" si="13"/>
        <v>4.1349525172371857</v>
      </c>
      <c r="CX8" s="59">
        <f t="shared" si="14"/>
        <v>297.46828585057051</v>
      </c>
      <c r="CY8" s="59">
        <f ca="1">AVERAGE(OFFSET($CX$3,0,0,'Données projet'!$E$13+1,1))-AVERAGE(OFFSET($H$3,0,0,'Données projet'!$E$13+1,1))</f>
        <v>157.25319335691853</v>
      </c>
      <c r="CZ8" s="59">
        <f t="shared" si="42"/>
        <v>159.50903492442171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2.2999999999999998</v>
      </c>
      <c r="DO8" s="12">
        <f>IF('Données projet'!$A$166&gt;35,DO7+DN8-DW7,IF(A8&lt;'Données projet'!$A$166,$DL$205^A8,IF(A8='Données projet'!$A$166,'Données projet'!$B$166,DO7+DN8-DW7)))</f>
        <v>4.79583152331272</v>
      </c>
      <c r="DP8" s="17">
        <f>DO8*VLOOKUP('Données projet'!$B$14,Paramètres!$A$1:$I$89,3,0)*VLOOKUP('Données projet'!$B$14,Paramètres!$A$1:$I$89,5,0)</f>
        <v>4.189638418765993</v>
      </c>
      <c r="DQ8" s="13">
        <f t="shared" si="43"/>
        <v>1.6342077230679199</v>
      </c>
      <c r="DR8" s="20">
        <f t="shared" si="16"/>
        <v>10.143198697027399</v>
      </c>
      <c r="DS8" s="59">
        <f t="shared" si="17"/>
        <v>303.47653203036072</v>
      </c>
      <c r="DT8" s="59">
        <f ca="1">AVERAGE(OFFSET($DS$3,0,0,'Données projet'!$E$14+1,1))-AVERAGE(OFFSET($H$3,0,0,'Données projet'!$E$14+1,1))</f>
        <v>229.5312221178919</v>
      </c>
      <c r="DU8" s="59">
        <f t="shared" si="44"/>
        <v>218.1982095871906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2.9235042735042733</v>
      </c>
      <c r="EJ8" s="12">
        <f>IF('Données projet'!$A$192&gt;35,EJ7+EI8-ER7,IF(A8&lt;'Données projet'!$A$192,$EG$205^A8,IF(A8='Données projet'!$A$192,'Données projet'!$B$192,EJ7+EI8-ER7)))</f>
        <v>2.1078393020416879</v>
      </c>
      <c r="EK8" s="17">
        <f>EJ8*VLOOKUP('Données projet'!$B$15,Paramètres!$A$1:$I$89,3,0)*VLOOKUP('Données projet'!$B$15,Paramètres!$A$1:$I$89,5,0)</f>
        <v>1.9071730004873191</v>
      </c>
      <c r="EL8" s="13">
        <f t="shared" si="45"/>
        <v>0.81527616985217366</v>
      </c>
      <c r="EM8" s="20">
        <f t="shared" si="19"/>
        <v>4.7415989716746161</v>
      </c>
      <c r="EN8" s="59">
        <f t="shared" si="20"/>
        <v>298.07493230500791</v>
      </c>
      <c r="EO8" s="59">
        <f ca="1">AVERAGE(OFFSET($EN$3,0,0,'Données projet'!$E$15+1,1))-AVERAGE(OFFSET($H$3,0,0,'Données projet'!$E$15+1,1))</f>
        <v>204.39656982394689</v>
      </c>
      <c r="EP8" s="59">
        <f t="shared" si="46"/>
        <v>134.95704640904546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3.1262820512820513</v>
      </c>
      <c r="FE8" s="12">
        <f>IF('Données projet'!$A$218&gt;35,FE7+FD8-FM7,IF(A8&lt;'Données projet'!$A$218,$FB$205^A8,IF(A8='Données projet'!$A$218,'Données projet'!$B$218,FE7+FD8-FM7)))</f>
        <v>2.131530585038278</v>
      </c>
      <c r="FF8" s="17">
        <f>FE8*VLOOKUP('Données projet'!$B$16,Paramètres!$A$1:$I$89,3,0)*VLOOKUP('Données projet'!$B$16,Paramètres!$A$1:$I$89,5,0)</f>
        <v>1.8288532419628429</v>
      </c>
      <c r="FG8" s="13">
        <f t="shared" si="47"/>
        <v>0.7856213955484983</v>
      </c>
      <c r="FH8" s="20">
        <f t="shared" si="22"/>
        <v>4.5535433269989189</v>
      </c>
      <c r="FI8" s="59">
        <f t="shared" si="23"/>
        <v>297.88687666033223</v>
      </c>
      <c r="FJ8" s="59">
        <f ca="1">AVERAGE(OFFSET($FI$3,0,0,'Données projet'!$E$16+1,1))-AVERAGE(OFFSET($H$3,0,0,'Données projet'!$E$16+1,1))</f>
        <v>199.60585215726968</v>
      </c>
      <c r="FK8" s="59">
        <f t="shared" si="48"/>
        <v>137.37366750114404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4.9084615384615384</v>
      </c>
      <c r="N9" s="13">
        <f>IF('Données projet'!$A$36&gt;35,N8+M9-V8,IF(A9&lt;'Données projet'!$A$36,$K$205^A9,IF(A9='Données projet'!$A$36,'Données projet'!$B$36,N8+M9-V8)))</f>
        <v>2.7140217853749289</v>
      </c>
      <c r="O9" s="13">
        <f>N9*VLOOKUP('Données projet'!$B$9,Paramètres!$A$1:$I$89,3,0)*VLOOKUP('Données projet'!$B$9,Paramètres!$A$1:$I$89,5,0)</f>
        <v>1.2701621955554667</v>
      </c>
      <c r="P9" s="13">
        <f t="shared" si="33"/>
        <v>0.56927490371064715</v>
      </c>
      <c r="Q9" s="20">
        <f t="shared" si="2"/>
        <v>3.203686281221815</v>
      </c>
      <c r="R9" s="59">
        <f t="shared" si="0"/>
        <v>296.53701961455511</v>
      </c>
      <c r="S9" s="59">
        <f ca="1">AVERAGE(OFFSET($R$3,0,0,'Données projet'!$E$9+1,1))-AVERAGE(OFFSET($H$3,0,0,'Données projet'!$E$9+1,1))</f>
        <v>164.93438869099657</v>
      </c>
      <c r="T9" s="59">
        <f t="shared" si="34"/>
        <v>112.28641356594233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300.12696112026919</v>
      </c>
      <c r="AN9" s="59">
        <f ca="1">AVERAGE(OFFSET($AM$3,0,0,'Données projet'!$E$10+1,1))-AVERAGE(OFFSET($H$3,0,0,'Données projet'!$E$10+1,1))</f>
        <v>273.81843612193632</v>
      </c>
      <c r="AO9" s="59">
        <f t="shared" si="36"/>
        <v>241.86405419073208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10.16068376068376</v>
      </c>
      <c r="BD9" s="12">
        <f>IF('Données projet'!$A$88&gt;35,BD8+BC9-BL8,IF(A9&lt;'Données projet'!$A$88,$BA$205^A9,IF(A9='Données projet'!$A$88,'Données projet'!$B$88,BD8+BC9-BL8)))</f>
        <v>5.6762974664613317</v>
      </c>
      <c r="BE9" s="13">
        <f>BD9*VLOOKUP('Données projet'!$B$11,Paramètres!$A$1:$I$89,3,0)*VLOOKUP('Données projet'!$B$11,Paramètres!$A$1:$I$89,5,0)</f>
        <v>3.1730502837518846</v>
      </c>
      <c r="BF9" s="13">
        <f t="shared" si="37"/>
        <v>1.27837156453606</v>
      </c>
      <c r="BG9" s="20">
        <f t="shared" si="7"/>
        <v>7.7528930524348363</v>
      </c>
      <c r="BH9" s="59">
        <f t="shared" si="8"/>
        <v>301.08622638576816</v>
      </c>
      <c r="BI9" s="59">
        <f ca="1">AVERAGE(OFFSET($BH$3,0,0,'Données projet'!$E$11+1,1))-AVERAGE(OFFSET($H$3,0,0,'Données projet'!$E$11+1,1))</f>
        <v>271.42245454555501</v>
      </c>
      <c r="BJ9" s="59">
        <f t="shared" si="38"/>
        <v>362.63944425429077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9.6666666666666661</v>
      </c>
      <c r="BY9" s="12">
        <f>IF('Données projet'!$A$114&gt;35,BY8+BX9-CG8,IF(A9&lt;'Données projet'!$A$114,$BV$205^A9,IF(A9='Données projet'!$A$114,'Données projet'!$B$114,BY8+BX9-CG8)))</f>
        <v>10.770329614269009</v>
      </c>
      <c r="BZ9" s="13">
        <f>BY9*VLOOKUP('Données projet'!$B$12,Paramètres!$A$1:$I$89,3,0)*VLOOKUP('Données projet'!$B$12,Paramètres!$A$1:$I$89,5,0)</f>
        <v>5.8805999693908788</v>
      </c>
      <c r="CA9" s="13">
        <f t="shared" si="39"/>
        <v>2.2050224910961043</v>
      </c>
      <c r="CB9" s="20">
        <f t="shared" si="10"/>
        <v>14.082459118681493</v>
      </c>
      <c r="CC9" s="59">
        <f t="shared" si="11"/>
        <v>307.41579245201478</v>
      </c>
      <c r="CD9" s="59">
        <f ca="1">AVERAGE(OFFSET($CC$3,0,0,'Données projet'!$E$12+1,1))-AVERAGE(OFFSET($H$3,0,0,'Données projet'!$E$12+1,1))</f>
        <v>154.35821558431712</v>
      </c>
      <c r="CE9" s="59">
        <f t="shared" si="40"/>
        <v>263.86720460501306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0.6</v>
      </c>
      <c r="CT9" s="12">
        <f>IF('Données projet'!$A$140&gt;35,CT8+CS9-DB8,IF(A9&lt;'Données projet'!$A$140,$CQ$205^A9,IF(A9='Données projet'!$A$140,'Données projet'!$B$140,CT8+CS9-DB8)))</f>
        <v>2.4082246852806919</v>
      </c>
      <c r="CU9" s="17">
        <f>CT9*VLOOKUP('Données projet'!$B$13,Paramètres!$A$1:$I$89,3,0)*VLOOKUP('Données projet'!$B$13,Paramètres!$A$1:$I$89,5,0)</f>
        <v>1.9159835596093187</v>
      </c>
      <c r="CV9" s="13">
        <f t="shared" si="41"/>
        <v>0.81860320395779795</v>
      </c>
      <c r="CW9" s="20">
        <f t="shared" si="13"/>
        <v>4.7627386132127274</v>
      </c>
      <c r="CX9" s="59">
        <f t="shared" si="14"/>
        <v>298.09607194654603</v>
      </c>
      <c r="CY9" s="59">
        <f ca="1">AVERAGE(OFFSET($CX$3,0,0,'Données projet'!$E$13+1,1))-AVERAGE(OFFSET($H$3,0,0,'Données projet'!$E$13+1,1))</f>
        <v>157.25319335691853</v>
      </c>
      <c r="CZ9" s="59">
        <f t="shared" si="42"/>
        <v>159.50903492442171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2.2999999999999998</v>
      </c>
      <c r="DO9" s="12">
        <f>IF('Données projet'!$A$166&gt;35,DO8+DN9-DW8,IF(A9&lt;'Données projet'!$A$166,$DL$205^A9,IF(A9='Données projet'!$A$166,'Données projet'!$B$166,DO8+DN9-DW8)))</f>
        <v>6.5620071855158564</v>
      </c>
      <c r="DP9" s="17">
        <f>DO9*VLOOKUP('Données projet'!$B$14,Paramètres!$A$1:$I$89,3,0)*VLOOKUP('Données projet'!$B$14,Paramètres!$A$1:$I$89,5,0)</f>
        <v>5.7325694772666536</v>
      </c>
      <c r="DQ9" s="13">
        <f t="shared" si="43"/>
        <v>2.1559045554135094</v>
      </c>
      <c r="DR9" s="20">
        <f t="shared" si="16"/>
        <v>13.739092273584617</v>
      </c>
      <c r="DS9" s="59">
        <f t="shared" si="17"/>
        <v>307.07242560691793</v>
      </c>
      <c r="DT9" s="59">
        <f ca="1">AVERAGE(OFFSET($DS$3,0,0,'Données projet'!$E$14+1,1))-AVERAGE(OFFSET($H$3,0,0,'Données projet'!$E$14+1,1))</f>
        <v>229.5312221178919</v>
      </c>
      <c r="DU9" s="59">
        <f t="shared" si="44"/>
        <v>218.1982095871906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2.9235042735042733</v>
      </c>
      <c r="EJ9" s="12">
        <f>IF('Données projet'!$A$192&gt;35,EJ8+EI9-ER8,IF(A9&lt;'Données projet'!$A$192,$EG$205^A9,IF(A9='Données projet'!$A$192,'Données projet'!$B$192,EJ8+EI9-ER8)))</f>
        <v>2.4468367659615553</v>
      </c>
      <c r="EK9" s="17">
        <f>EJ9*VLOOKUP('Données projet'!$B$15,Paramètres!$A$1:$I$89,3,0)*VLOOKUP('Données projet'!$B$15,Paramètres!$A$1:$I$89,5,0)</f>
        <v>2.2138979058420154</v>
      </c>
      <c r="EL9" s="13">
        <f t="shared" si="45"/>
        <v>0.93010785243265093</v>
      </c>
      <c r="EM9" s="20">
        <f t="shared" si="19"/>
        <v>5.4758100289950429</v>
      </c>
      <c r="EN9" s="59">
        <f t="shared" si="20"/>
        <v>298.80914336232837</v>
      </c>
      <c r="EO9" s="59">
        <f ca="1">AVERAGE(OFFSET($EN$3,0,0,'Données projet'!$E$15+1,1))-AVERAGE(OFFSET($H$3,0,0,'Données projet'!$E$15+1,1))</f>
        <v>204.39656982394689</v>
      </c>
      <c r="EP9" s="59">
        <f t="shared" si="46"/>
        <v>134.95704640904546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3.1262820512820513</v>
      </c>
      <c r="FE9" s="12">
        <f>IF('Données projet'!$A$218&gt;35,FE8+FD9-FM8,IF(A9&lt;'Données projet'!$A$218,$FB$205^A9,IF(A9='Données projet'!$A$218,'Données projet'!$B$218,FE8+FD9-FM8)))</f>
        <v>2.4798755251010034</v>
      </c>
      <c r="FF9" s="17">
        <f>FE9*VLOOKUP('Données projet'!$B$16,Paramètres!$A$1:$I$89,3,0)*VLOOKUP('Données projet'!$B$16,Paramètres!$A$1:$I$89,5,0)</f>
        <v>2.1277332005366612</v>
      </c>
      <c r="FG9" s="13">
        <f t="shared" si="47"/>
        <v>0.89804826155558037</v>
      </c>
      <c r="FH9" s="20">
        <f t="shared" si="22"/>
        <v>5.2699027131439875</v>
      </c>
      <c r="FI9" s="59">
        <f t="shared" si="23"/>
        <v>298.60323604647732</v>
      </c>
      <c r="FJ9" s="59">
        <f ca="1">AVERAGE(OFFSET($FI$3,0,0,'Données projet'!$E$16+1,1))-AVERAGE(OFFSET($H$3,0,0,'Données projet'!$E$16+1,1))</f>
        <v>199.60585215726968</v>
      </c>
      <c r="FK9" s="59">
        <f t="shared" si="48"/>
        <v>137.37366750114404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4.9084615384615384</v>
      </c>
      <c r="N10" s="13">
        <f>IF('Données projet'!$A$36&gt;35,N9+M10-V9,IF(A10&lt;'Données projet'!$A$36,$K$205^A10,IF(A10='Données projet'!$A$36,'Données projet'!$B$36,N9+M10-V9)))</f>
        <v>3.2053998896536791</v>
      </c>
      <c r="O10" s="13">
        <f>N10*VLOOKUP('Données projet'!$B$9,Paramètres!$A$1:$I$89,3,0)*VLOOKUP('Données projet'!$B$9,Paramètres!$A$1:$I$89,5,0)</f>
        <v>1.5001271483579217</v>
      </c>
      <c r="P10" s="13">
        <f t="shared" si="33"/>
        <v>0.65944537721878049</v>
      </c>
      <c r="Q10" s="20">
        <f t="shared" si="2"/>
        <v>3.7612554820460891</v>
      </c>
      <c r="R10" s="59">
        <f t="shared" si="0"/>
        <v>297.09458881537938</v>
      </c>
      <c r="S10" s="59">
        <f ca="1">AVERAGE(OFFSET($R$3,0,0,'Données projet'!$E$9+1,1))-AVERAGE(OFFSET($H$3,0,0,'Données projet'!$E$9+1,1))</f>
        <v>164.93438869099657</v>
      </c>
      <c r="T10" s="59">
        <f t="shared" si="34"/>
        <v>112.28641356594233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302.02883626550931</v>
      </c>
      <c r="AN10" s="59">
        <f ca="1">AVERAGE(OFFSET($AM$3,0,0,'Données projet'!$E$10+1,1))-AVERAGE(OFFSET($H$3,0,0,'Données projet'!$E$10+1,1))</f>
        <v>273.81843612193632</v>
      </c>
      <c r="AO10" s="59">
        <f t="shared" si="36"/>
        <v>241.86405419073208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10.16068376068376</v>
      </c>
      <c r="BD10" s="12">
        <f>IF('Données projet'!$A$88&gt;35,BD9+BC10-BL9,IF(A10&lt;'Données projet'!$A$88,$BA$205^A10,IF(A10='Données projet'!$A$88,'Données projet'!$B$88,BD9+BC10-BL9)))</f>
        <v>7.5812823436396872</v>
      </c>
      <c r="BE10" s="13">
        <f>BD10*VLOOKUP('Données projet'!$B$11,Paramètres!$A$1:$I$89,3,0)*VLOOKUP('Données projet'!$B$11,Paramètres!$A$1:$I$89,5,0)</f>
        <v>4.2379368300945854</v>
      </c>
      <c r="BF10" s="13">
        <f t="shared" si="37"/>
        <v>1.6508429615446465</v>
      </c>
      <c r="BG10" s="20">
        <f t="shared" si="7"/>
        <v>10.256291470438329</v>
      </c>
      <c r="BH10" s="59">
        <f t="shared" si="8"/>
        <v>303.58962480377164</v>
      </c>
      <c r="BI10" s="59">
        <f ca="1">AVERAGE(OFFSET($BH$3,0,0,'Données projet'!$E$11+1,1))-AVERAGE(OFFSET($H$3,0,0,'Données projet'!$E$11+1,1))</f>
        <v>271.42245454555501</v>
      </c>
      <c r="BJ10" s="59">
        <f t="shared" si="38"/>
        <v>362.63944425429077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9.6666666666666661</v>
      </c>
      <c r="BY10" s="12">
        <f>IF('Données projet'!$A$114&gt;35,BY9+BX10-CG9,IF(A10&lt;'Données projet'!$A$114,$BV$205^A10,IF(A10='Données projet'!$A$114,'Données projet'!$B$114,BY9+BX10-CG9)))</f>
        <v>16.005423146694032</v>
      </c>
      <c r="BZ10" s="13">
        <f>BY10*VLOOKUP('Données projet'!$B$12,Paramètres!$A$1:$I$89,3,0)*VLOOKUP('Données projet'!$B$12,Paramètres!$A$1:$I$89,5,0)</f>
        <v>8.7389610380949421</v>
      </c>
      <c r="CA10" s="13">
        <f t="shared" si="39"/>
        <v>3.1291468639233355</v>
      </c>
      <c r="CB10" s="20">
        <f t="shared" si="10"/>
        <v>20.6702879293485</v>
      </c>
      <c r="CC10" s="59">
        <f t="shared" si="11"/>
        <v>314.0036212626818</v>
      </c>
      <c r="CD10" s="59">
        <f ca="1">AVERAGE(OFFSET($CC$3,0,0,'Données projet'!$E$12+1,1))-AVERAGE(OFFSET($H$3,0,0,'Données projet'!$E$12+1,1))</f>
        <v>154.35821558431712</v>
      </c>
      <c r="CE10" s="59">
        <f t="shared" si="40"/>
        <v>263.86720460501306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0.6</v>
      </c>
      <c r="CT10" s="12">
        <f>IF('Données projet'!$A$140&gt;35,CT9+CS10-DB9,IF(A10&lt;'Données projet'!$A$140,$CQ$205^A10,IF(A10='Données projet'!$A$140,'Données projet'!$B$140,CT9+CS10-DB9)))</f>
        <v>2.788130973628832</v>
      </c>
      <c r="CU10" s="17">
        <f>CT10*VLOOKUP('Données projet'!$B$13,Paramètres!$A$1:$I$89,3,0)*VLOOKUP('Données projet'!$B$13,Paramètres!$A$1:$I$89,5,0)</f>
        <v>2.218237002619099</v>
      </c>
      <c r="CV10" s="13">
        <f t="shared" si="41"/>
        <v>0.93171842856647213</v>
      </c>
      <c r="CW10" s="20">
        <f t="shared" si="13"/>
        <v>5.4861723759815355</v>
      </c>
      <c r="CX10" s="59">
        <f t="shared" si="14"/>
        <v>298.81950570931485</v>
      </c>
      <c r="CY10" s="59">
        <f ca="1">AVERAGE(OFFSET($CX$3,0,0,'Données projet'!$E$13+1,1))-AVERAGE(OFFSET($H$3,0,0,'Données projet'!$E$13+1,1))</f>
        <v>157.25319335691853</v>
      </c>
      <c r="CZ10" s="59">
        <f t="shared" si="42"/>
        <v>159.50903492442171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2.2999999999999998</v>
      </c>
      <c r="DO10" s="12">
        <f>IF('Données projet'!$A$166&gt;35,DO9+DN10-DW9,IF(A10&lt;'Données projet'!$A$166,$DL$205^A10,IF(A10='Données projet'!$A$166,'Données projet'!$B$166,DO9+DN10-DW9)))</f>
        <v>8.9786178045341511</v>
      </c>
      <c r="DP10" s="17">
        <f>DO10*VLOOKUP('Données projet'!$B$14,Paramètres!$A$1:$I$89,3,0)*VLOOKUP('Données projet'!$B$14,Paramètres!$A$1:$I$89,5,0)</f>
        <v>7.8437205140410358</v>
      </c>
      <c r="DQ10" s="13">
        <f t="shared" si="43"/>
        <v>2.8441454451868036</v>
      </c>
      <c r="DR10" s="20">
        <f t="shared" si="16"/>
        <v>18.614699878988485</v>
      </c>
      <c r="DS10" s="59">
        <f t="shared" si="17"/>
        <v>311.94803321232177</v>
      </c>
      <c r="DT10" s="59">
        <f ca="1">AVERAGE(OFFSET($DS$3,0,0,'Données projet'!$E$14+1,1))-AVERAGE(OFFSET($H$3,0,0,'Données projet'!$E$14+1,1))</f>
        <v>229.5312221178919</v>
      </c>
      <c r="DU10" s="59">
        <f t="shared" si="44"/>
        <v>218.1982095871906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2.9235042735042733</v>
      </c>
      <c r="EJ10" s="12">
        <f>IF('Données projet'!$A$192&gt;35,EJ9+EI10-ER9,IF(A10&lt;'Données projet'!$A$192,$EG$205^A10,IF(A10='Données projet'!$A$192,'Données projet'!$B$192,EJ9+EI10-ER9)))</f>
        <v>2.8403541738035183</v>
      </c>
      <c r="EK10" s="17">
        <f>EJ10*VLOOKUP('Données projet'!$B$15,Paramètres!$A$1:$I$89,3,0)*VLOOKUP('Données projet'!$B$15,Paramètres!$A$1:$I$89,5,0)</f>
        <v>2.5699524564574232</v>
      </c>
      <c r="EL10" s="13">
        <f t="shared" si="45"/>
        <v>1.0611135823014897</v>
      </c>
      <c r="EM10" s="20">
        <f t="shared" si="19"/>
        <v>6.3241066841717739</v>
      </c>
      <c r="EN10" s="59">
        <f t="shared" si="20"/>
        <v>299.65744001750511</v>
      </c>
      <c r="EO10" s="59">
        <f ca="1">AVERAGE(OFFSET($EN$3,0,0,'Données projet'!$E$15+1,1))-AVERAGE(OFFSET($H$3,0,0,'Données projet'!$E$15+1,1))</f>
        <v>204.39656982394689</v>
      </c>
      <c r="EP10" s="59">
        <f t="shared" si="46"/>
        <v>134.95704640904546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3.1262820512820513</v>
      </c>
      <c r="FE10" s="12">
        <f>IF('Données projet'!$A$218&gt;35,FE9+FD10-FM9,IF(A10&lt;'Données projet'!$A$218,$FB$205^A10,IF(A10='Données projet'!$A$218,'Données projet'!$B$218,FE9+FD10-FM9)))</f>
        <v>2.885148664139173</v>
      </c>
      <c r="FF10" s="17">
        <f>FE10*VLOOKUP('Données projet'!$B$16,Paramètres!$A$1:$I$89,3,0)*VLOOKUP('Données projet'!$B$16,Paramètres!$A$1:$I$89,5,0)</f>
        <v>2.475457553831411</v>
      </c>
      <c r="FG10" s="13">
        <f t="shared" si="47"/>
        <v>1.0265640480933333</v>
      </c>
      <c r="FH10" s="20">
        <f t="shared" si="22"/>
        <v>6.0993542900189297</v>
      </c>
      <c r="FI10" s="59">
        <f t="shared" si="23"/>
        <v>299.43268762335225</v>
      </c>
      <c r="FJ10" s="59">
        <f ca="1">AVERAGE(OFFSET($FI$3,0,0,'Données projet'!$E$16+1,1))-AVERAGE(OFFSET($H$3,0,0,'Données projet'!$E$16+1,1))</f>
        <v>199.60585215726968</v>
      </c>
      <c r="FK10" s="59">
        <f t="shared" si="48"/>
        <v>137.37366750114404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4.9084615384615384</v>
      </c>
      <c r="N11" s="13">
        <f>IF('Données projet'!$A$36&gt;35,N10+M11-V10,IF(A11&lt;'Données projet'!$A$36,$K$205^A11,IF(A11='Données projet'!$A$36,'Données projet'!$B$36,N10+M11-V10)))</f>
        <v>3.7857428072090569</v>
      </c>
      <c r="O11" s="13">
        <f>N11*VLOOKUP('Données projet'!$B$9,Paramètres!$A$1:$I$89,3,0)*VLOOKUP('Données projet'!$B$9,Paramètres!$A$1:$I$89,5,0)</f>
        <v>1.7717276337738388</v>
      </c>
      <c r="P11" s="13">
        <f t="shared" si="33"/>
        <v>0.76389843061877893</v>
      </c>
      <c r="Q11" s="20">
        <f t="shared" si="2"/>
        <v>4.4162153954838086</v>
      </c>
      <c r="R11" s="59">
        <f t="shared" si="0"/>
        <v>297.7495487288171</v>
      </c>
      <c r="S11" s="59">
        <f ca="1">AVERAGE(OFFSET($R$3,0,0,'Données projet'!$E$9+1,1))-AVERAGE(OFFSET($H$3,0,0,'Données projet'!$E$9+1,1))</f>
        <v>164.93438869099657</v>
      </c>
      <c r="T11" s="59">
        <f t="shared" si="34"/>
        <v>112.28641356594233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304.46514237932377</v>
      </c>
      <c r="AN11" s="59">
        <f ca="1">AVERAGE(OFFSET($AM$3,0,0,'Données projet'!$E$10+1,1))-AVERAGE(OFFSET($H$3,0,0,'Données projet'!$E$10+1,1))</f>
        <v>273.81843612193632</v>
      </c>
      <c r="AO11" s="59">
        <f t="shared" si="36"/>
        <v>241.86405419073208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10.16068376068376</v>
      </c>
      <c r="BD11" s="12">
        <f>IF('Données projet'!$A$88&gt;35,BD10+BC11-BL10,IF(A11&lt;'Données projet'!$A$88,$BA$205^A11,IF(A11='Données projet'!$A$88,'Données projet'!$B$88,BD10+BC11-BL10)))</f>
        <v>10.125586672224557</v>
      </c>
      <c r="BE11" s="13">
        <f>BD11*VLOOKUP('Données projet'!$B$11,Paramètres!$A$1:$I$89,3,0)*VLOOKUP('Données projet'!$B$11,Paramètres!$A$1:$I$89,5,0)</f>
        <v>5.6602029497735273</v>
      </c>
      <c r="BF11" s="13">
        <f t="shared" si="37"/>
        <v>2.1318390984944533</v>
      </c>
      <c r="BG11" s="20">
        <f t="shared" si="7"/>
        <v>13.571139900733398</v>
      </c>
      <c r="BH11" s="59">
        <f t="shared" si="8"/>
        <v>306.9044732340667</v>
      </c>
      <c r="BI11" s="59">
        <f ca="1">AVERAGE(OFFSET($BH$3,0,0,'Données projet'!$E$11+1,1))-AVERAGE(OFFSET($H$3,0,0,'Données projet'!$E$11+1,1))</f>
        <v>271.42245454555501</v>
      </c>
      <c r="BJ11" s="59">
        <f t="shared" si="38"/>
        <v>362.63944425429077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9.6666666666666661</v>
      </c>
      <c r="BY11" s="12">
        <f>IF('Données projet'!$A$114&gt;35,BY10+BX11-CG10,IF(A11&lt;'Données projet'!$A$114,$BV$205^A11,IF(A11='Données projet'!$A$114,'Données projet'!$B$114,BY10+BX11-CG10)))</f>
        <v>23.785118866310182</v>
      </c>
      <c r="BZ11" s="13">
        <f>BY11*VLOOKUP('Données projet'!$B$12,Paramètres!$A$1:$I$89,3,0)*VLOOKUP('Données projet'!$B$12,Paramètres!$A$1:$I$89,5,0)</f>
        <v>12.98667490100536</v>
      </c>
      <c r="CA11" s="13">
        <f t="shared" si="39"/>
        <v>4.4405715295601897</v>
      </c>
      <c r="CB11" s="20">
        <f t="shared" si="10"/>
        <v>30.352454199901668</v>
      </c>
      <c r="CC11" s="59">
        <f t="shared" si="11"/>
        <v>323.68578753323499</v>
      </c>
      <c r="CD11" s="59">
        <f ca="1">AVERAGE(OFFSET($CC$3,0,0,'Données projet'!$E$12+1,1))-AVERAGE(OFFSET($H$3,0,0,'Données projet'!$E$12+1,1))</f>
        <v>154.35821558431712</v>
      </c>
      <c r="CE11" s="59">
        <f t="shared" si="40"/>
        <v>263.86720460501306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0.6</v>
      </c>
      <c r="CT11" s="12">
        <f>IF('Données projet'!$A$140&gt;35,CT10+CS11-DB10,IF(A11&lt;'Données projet'!$A$140,$CQ$205^A11,IF(A11='Données projet'!$A$140,'Données projet'!$B$140,CT10+CS11-DB10)))</f>
        <v>3.227968874176038</v>
      </c>
      <c r="CU11" s="17">
        <f>CT11*VLOOKUP('Données projet'!$B$13,Paramètres!$A$1:$I$89,3,0)*VLOOKUP('Données projet'!$B$13,Paramètres!$A$1:$I$89,5,0)</f>
        <v>2.568172036294456</v>
      </c>
      <c r="CV11" s="13">
        <f t="shared" si="41"/>
        <v>1.0604640025024015</v>
      </c>
      <c r="CW11" s="20">
        <f t="shared" si="13"/>
        <v>6.3198744342378603</v>
      </c>
      <c r="CX11" s="59">
        <f t="shared" si="14"/>
        <v>299.65320776757119</v>
      </c>
      <c r="CY11" s="59">
        <f ca="1">AVERAGE(OFFSET($CX$3,0,0,'Données projet'!$E$13+1,1))-AVERAGE(OFFSET($H$3,0,0,'Données projet'!$E$13+1,1))</f>
        <v>157.25319335691853</v>
      </c>
      <c r="CZ11" s="59">
        <f t="shared" si="42"/>
        <v>159.50903492442171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2.2999999999999998</v>
      </c>
      <c r="DO11" s="12">
        <f>IF('Données projet'!$A$166&gt;35,DO10+DN11-DW10,IF(A11&lt;'Données projet'!$A$166,$DL$205^A11,IF(A11='Données projet'!$A$166,'Données projet'!$B$166,DO10+DN11-DW10)))</f>
        <v>12.285201067417038</v>
      </c>
      <c r="DP11" s="17">
        <f>DO11*VLOOKUP('Données projet'!$B$14,Paramètres!$A$1:$I$89,3,0)*VLOOKUP('Données projet'!$B$14,Paramètres!$A$1:$I$89,5,0)</f>
        <v>10.732351652495526</v>
      </c>
      <c r="DQ11" s="13">
        <f t="shared" si="43"/>
        <v>3.7520971385606225</v>
      </c>
      <c r="DR11" s="20">
        <f t="shared" si="16"/>
        <v>25.227081644422793</v>
      </c>
      <c r="DS11" s="59">
        <f t="shared" si="17"/>
        <v>318.56041497775612</v>
      </c>
      <c r="DT11" s="59">
        <f ca="1">AVERAGE(OFFSET($DS$3,0,0,'Données projet'!$E$14+1,1))-AVERAGE(OFFSET($H$3,0,0,'Données projet'!$E$14+1,1))</f>
        <v>229.5312221178919</v>
      </c>
      <c r="DU11" s="59">
        <f t="shared" si="44"/>
        <v>218.1982095871906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2.9235042735042733</v>
      </c>
      <c r="EJ11" s="12">
        <f>IF('Données projet'!$A$192&gt;35,EJ10+EI11-ER10,IF(A11&lt;'Données projet'!$A$192,$EG$205^A11,IF(A11='Données projet'!$A$192,'Données projet'!$B$192,EJ10+EI11-ER10)))</f>
        <v>3.2971598043944974</v>
      </c>
      <c r="EK11" s="17">
        <f>EJ11*VLOOKUP('Données projet'!$B$15,Paramètres!$A$1:$I$89,3,0)*VLOOKUP('Données projet'!$B$15,Paramètres!$A$1:$I$89,5,0)</f>
        <v>2.9832701910161412</v>
      </c>
      <c r="EL11" s="13">
        <f t="shared" si="45"/>
        <v>1.2105714746948997</v>
      </c>
      <c r="EM11" s="20">
        <f t="shared" si="19"/>
        <v>7.3042742344467291</v>
      </c>
      <c r="EN11" s="59">
        <f t="shared" si="20"/>
        <v>300.63760756778004</v>
      </c>
      <c r="EO11" s="59">
        <f ca="1">AVERAGE(OFFSET($EN$3,0,0,'Données projet'!$E$15+1,1))-AVERAGE(OFFSET($H$3,0,0,'Données projet'!$E$15+1,1))</f>
        <v>204.39656982394689</v>
      </c>
      <c r="EP11" s="59">
        <f t="shared" si="46"/>
        <v>134.95704640904546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3.1262820512820513</v>
      </c>
      <c r="FE11" s="12">
        <f>IF('Données projet'!$A$218&gt;35,FE10+FD11-FM10,IF(A11&lt;'Données projet'!$A$218,$FB$205^A11,IF(A11='Données projet'!$A$218,'Données projet'!$B$218,FE10+FD11-FM10)))</f>
        <v>3.3566534811641491</v>
      </c>
      <c r="FF11" s="17">
        <f>FE11*VLOOKUP('Données projet'!$B$16,Paramètres!$A$1:$I$89,3,0)*VLOOKUP('Données projet'!$B$16,Paramètres!$A$1:$I$89,5,0)</f>
        <v>2.8800086868388401</v>
      </c>
      <c r="FG11" s="13">
        <f t="shared" si="47"/>
        <v>1.1734711707056174</v>
      </c>
      <c r="FH11" s="20">
        <f t="shared" si="22"/>
        <v>7.0598107518899305</v>
      </c>
      <c r="FI11" s="59">
        <f t="shared" si="23"/>
        <v>300.39314408522324</v>
      </c>
      <c r="FJ11" s="59">
        <f ca="1">AVERAGE(OFFSET($FI$3,0,0,'Données projet'!$E$16+1,1))-AVERAGE(OFFSET($H$3,0,0,'Données projet'!$E$16+1,1))</f>
        <v>199.60585215726968</v>
      </c>
      <c r="FK11" s="59">
        <f t="shared" si="48"/>
        <v>137.37366750114404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4.9084615384615384</v>
      </c>
      <c r="N12" s="13">
        <f>IF('Données projet'!$A$36&gt;35,N11+M12-V11,IF(A12&lt;'Données projet'!$A$36,$K$205^A12,IF(A12='Données projet'!$A$36,'Données projet'!$B$36,N11+M12-V11)))</f>
        <v>4.4711577636834461</v>
      </c>
      <c r="O12" s="13">
        <f>N12*VLOOKUP('Données projet'!$B$9,Paramètres!$A$1:$I$89,3,0)*VLOOKUP('Données projet'!$B$9,Paramètres!$A$1:$I$89,5,0)</f>
        <v>2.0925018334038525</v>
      </c>
      <c r="P12" s="13">
        <f t="shared" si="33"/>
        <v>0.8848963575465858</v>
      </c>
      <c r="Q12" s="20">
        <f t="shared" si="2"/>
        <v>5.1856351825720131</v>
      </c>
      <c r="R12" s="59">
        <f t="shared" si="0"/>
        <v>298.51896851590533</v>
      </c>
      <c r="S12" s="59">
        <f ca="1">AVERAGE(OFFSET($R$3,0,0,'Données projet'!$E$9+1,1))-AVERAGE(OFFSET($H$3,0,0,'Données projet'!$E$9+1,1))</f>
        <v>164.93438869099657</v>
      </c>
      <c r="T12" s="59">
        <f t="shared" si="34"/>
        <v>112.28641356594233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307.5865821468015</v>
      </c>
      <c r="AN12" s="59">
        <f ca="1">AVERAGE(OFFSET($AM$3,0,0,'Données projet'!$E$10+1,1))-AVERAGE(OFFSET($H$3,0,0,'Données projet'!$E$10+1,1))</f>
        <v>273.81843612193632</v>
      </c>
      <c r="AO12" s="59">
        <f t="shared" si="36"/>
        <v>241.86405419073208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10.16068376068376</v>
      </c>
      <c r="BD12" s="12">
        <f>IF('Données projet'!$A$88&gt;35,BD11+BC12-BL11,IF(A12&lt;'Données projet'!$A$88,$BA$205^A12,IF(A12='Données projet'!$A$88,'Données projet'!$B$88,BD11+BC12-BL11)))</f>
        <v>13.523768250465828</v>
      </c>
      <c r="BE12" s="13">
        <f>BD12*VLOOKUP('Données projet'!$B$11,Paramètres!$A$1:$I$89,3,0)*VLOOKUP('Données projet'!$B$11,Paramètres!$A$1:$I$89,5,0)</f>
        <v>7.5597864520103979</v>
      </c>
      <c r="BF12" s="13">
        <f t="shared" si="37"/>
        <v>2.7529801730003816</v>
      </c>
      <c r="BG12" s="20">
        <f t="shared" si="7"/>
        <v>17.961401871893774</v>
      </c>
      <c r="BH12" s="59">
        <f t="shared" si="8"/>
        <v>311.29473520522708</v>
      </c>
      <c r="BI12" s="59">
        <f ca="1">AVERAGE(OFFSET($BH$3,0,0,'Données projet'!$E$11+1,1))-AVERAGE(OFFSET($H$3,0,0,'Données projet'!$E$11+1,1))</f>
        <v>271.42245454555501</v>
      </c>
      <c r="BJ12" s="59">
        <f t="shared" si="38"/>
        <v>362.63944425429077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9.6666666666666661</v>
      </c>
      <c r="BY12" s="12">
        <f>IF('Données projet'!$A$114&gt;35,BY11+BX12-CG11,IF(A12&lt;'Données projet'!$A$114,$BV$205^A12,IF(A12='Données projet'!$A$114,'Données projet'!$B$114,BY11+BX12-CG11)))</f>
        <v>35.346261970047209</v>
      </c>
      <c r="BZ12" s="13">
        <f>BY12*VLOOKUP('Données projet'!$B$12,Paramètres!$A$1:$I$89,3,0)*VLOOKUP('Données projet'!$B$12,Paramètres!$A$1:$I$89,5,0)</f>
        <v>19.299059035645776</v>
      </c>
      <c r="CA12" s="13">
        <f t="shared" si="39"/>
        <v>6.301613943558138</v>
      </c>
      <c r="CB12" s="20">
        <f t="shared" si="10"/>
        <v>44.587838772113486</v>
      </c>
      <c r="CC12" s="59">
        <f t="shared" si="11"/>
        <v>337.92117210544677</v>
      </c>
      <c r="CD12" s="59">
        <f ca="1">AVERAGE(OFFSET($CC$3,0,0,'Données projet'!$E$12+1,1))-AVERAGE(OFFSET($H$3,0,0,'Données projet'!$E$12+1,1))</f>
        <v>154.35821558431712</v>
      </c>
      <c r="CE12" s="59">
        <f t="shared" si="40"/>
        <v>263.86720460501306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0.6</v>
      </c>
      <c r="CT12" s="12">
        <f>IF('Données projet'!$A$140&gt;35,CT11+CS12-DB11,IF(A12&lt;'Données projet'!$A$140,$CQ$205^A12,IF(A12='Données projet'!$A$140,'Données projet'!$B$140,CT11+CS12-DB11)))</f>
        <v>3.7371928188465526</v>
      </c>
      <c r="CU12" s="17">
        <f>CT12*VLOOKUP('Données projet'!$B$13,Paramètres!$A$1:$I$89,3,0)*VLOOKUP('Données projet'!$B$13,Paramètres!$A$1:$I$89,5,0)</f>
        <v>2.9733106066743171</v>
      </c>
      <c r="CV12" s="13">
        <f t="shared" si="41"/>
        <v>1.2069997395389946</v>
      </c>
      <c r="CW12" s="20">
        <f t="shared" si="13"/>
        <v>7.2807071863215178</v>
      </c>
      <c r="CX12" s="59">
        <f t="shared" si="14"/>
        <v>300.61404051965485</v>
      </c>
      <c r="CY12" s="59">
        <f ca="1">AVERAGE(OFFSET($CX$3,0,0,'Données projet'!$E$13+1,1))-AVERAGE(OFFSET($H$3,0,0,'Données projet'!$E$13+1,1))</f>
        <v>157.25319335691853</v>
      </c>
      <c r="CZ12" s="59">
        <f t="shared" si="42"/>
        <v>159.50903492442171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2.2999999999999998</v>
      </c>
      <c r="DO12" s="12">
        <f>IF('Données projet'!$A$166&gt;35,DO11+DN12-DW11,IF(A12&lt;'Données projet'!$A$166,$DL$205^A12,IF(A12='Données projet'!$A$166,'Données projet'!$B$166,DO11+DN12-DW11)))</f>
        <v>16.809509943796456</v>
      </c>
      <c r="DP12" s="17">
        <f>DO12*VLOOKUP('Données projet'!$B$14,Paramètres!$A$1:$I$89,3,0)*VLOOKUP('Données projet'!$B$14,Paramètres!$A$1:$I$89,5,0)</f>
        <v>14.684787886900585</v>
      </c>
      <c r="DQ12" s="13">
        <f t="shared" si="43"/>
        <v>4.9498990851609408</v>
      </c>
      <c r="DR12" s="20">
        <f t="shared" si="16"/>
        <v>34.197079809673824</v>
      </c>
      <c r="DS12" s="59">
        <f t="shared" si="17"/>
        <v>327.53041314300714</v>
      </c>
      <c r="DT12" s="59">
        <f ca="1">AVERAGE(OFFSET($DS$3,0,0,'Données projet'!$E$14+1,1))-AVERAGE(OFFSET($H$3,0,0,'Données projet'!$E$14+1,1))</f>
        <v>229.5312221178919</v>
      </c>
      <c r="DU12" s="59">
        <f t="shared" si="44"/>
        <v>218.1982095871906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2.9235042735042733</v>
      </c>
      <c r="EJ12" s="12">
        <f>IF('Données projet'!$A$192&gt;35,EJ11+EI12-ER11,IF(A12&lt;'Données projet'!$A$192,$EG$205^A12,IF(A12='Données projet'!$A$192,'Données projet'!$B$192,EJ11+EI12-ER11)))</f>
        <v>3.8274321125090722</v>
      </c>
      <c r="EK12" s="17">
        <f>EJ12*VLOOKUP('Données projet'!$B$15,Paramètres!$A$1:$I$89,3,0)*VLOOKUP('Données projet'!$B$15,Paramètres!$A$1:$I$89,5,0)</f>
        <v>3.4630605753982087</v>
      </c>
      <c r="EL12" s="13">
        <f t="shared" si="45"/>
        <v>1.3810805174752749</v>
      </c>
      <c r="EM12" s="20">
        <f t="shared" si="19"/>
        <v>8.4368790700879845</v>
      </c>
      <c r="EN12" s="59">
        <f t="shared" si="20"/>
        <v>301.77021240342128</v>
      </c>
      <c r="EO12" s="59">
        <f ca="1">AVERAGE(OFFSET($EN$3,0,0,'Données projet'!$E$15+1,1))-AVERAGE(OFFSET($H$3,0,0,'Données projet'!$E$15+1,1))</f>
        <v>204.39656982394689</v>
      </c>
      <c r="EP12" s="59">
        <f t="shared" si="46"/>
        <v>134.95704640904546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3.1262820512820513</v>
      </c>
      <c r="FE12" s="12">
        <f>IF('Données projet'!$A$218&gt;35,FE11+FD12-FM11,IF(A12&lt;'Données projet'!$A$218,$FB$205^A12,IF(A12='Données projet'!$A$218,'Données projet'!$B$218,FE11+FD12-FM11)))</f>
        <v>3.9052138742989571</v>
      </c>
      <c r="FF12" s="17">
        <f>FE12*VLOOKUP('Données projet'!$B$16,Paramètres!$A$1:$I$89,3,0)*VLOOKUP('Données projet'!$B$16,Paramètres!$A$1:$I$89,5,0)</f>
        <v>3.3506735041485056</v>
      </c>
      <c r="FG12" s="13">
        <f t="shared" si="47"/>
        <v>1.3414015336255132</v>
      </c>
      <c r="FH12" s="20">
        <f t="shared" si="22"/>
        <v>8.1720306907897484</v>
      </c>
      <c r="FI12" s="59">
        <f t="shared" si="23"/>
        <v>301.50536402412308</v>
      </c>
      <c r="FJ12" s="59">
        <f ca="1">AVERAGE(OFFSET($FI$3,0,0,'Données projet'!$E$16+1,1))-AVERAGE(OFFSET($H$3,0,0,'Données projet'!$E$16+1,1))</f>
        <v>199.60585215726968</v>
      </c>
      <c r="FK12" s="59">
        <f t="shared" si="48"/>
        <v>137.37366750114404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4.9084615384615384</v>
      </c>
      <c r="N13" s="13">
        <f>IF('Données projet'!$A$36&gt;35,N12+M13-V12,IF(A13&lt;'Données projet'!$A$36,$K$205^A13,IF(A13='Données projet'!$A$36,'Données projet'!$B$36,N12+M13-V12)))</f>
        <v>5.2806682243912917</v>
      </c>
      <c r="O13" s="13">
        <f>N13*VLOOKUP('Données projet'!$B$9,Paramètres!$A$1:$I$89,3,0)*VLOOKUP('Données projet'!$B$9,Paramètres!$A$1:$I$89,5,0)</f>
        <v>2.4713527290151243</v>
      </c>
      <c r="P13" s="13">
        <f t="shared" si="33"/>
        <v>1.0250597883345953</v>
      </c>
      <c r="Q13" s="20">
        <f t="shared" si="2"/>
        <v>6.0895851343840945</v>
      </c>
      <c r="R13" s="59">
        <f t="shared" si="0"/>
        <v>299.42291846771741</v>
      </c>
      <c r="S13" s="59">
        <f ca="1">AVERAGE(OFFSET($R$3,0,0,'Données projet'!$E$9+1,1))-AVERAGE(OFFSET($H$3,0,0,'Données projet'!$E$9+1,1))</f>
        <v>164.93438869099657</v>
      </c>
      <c r="T13" s="59">
        <f t="shared" si="34"/>
        <v>112.28641356594233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311.5864924430474</v>
      </c>
      <c r="AN13" s="59">
        <f ca="1">AVERAGE(OFFSET($AM$3,0,0,'Données projet'!$E$10+1,1))-AVERAGE(OFFSET($H$3,0,0,'Données projet'!$E$10+1,1))</f>
        <v>273.81843612193632</v>
      </c>
      <c r="AO13" s="59">
        <f t="shared" si="36"/>
        <v>241.86405419073208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10.16068376068376</v>
      </c>
      <c r="BD13" s="12">
        <f>IF('Données projet'!$A$88&gt;35,BD12+BC13-BL12,IF(A13&lt;'Données projet'!$A$88,$BA$205^A13,IF(A13='Données projet'!$A$88,'Données projet'!$B$88,BD12+BC13-BL12)))</f>
        <v>18.062391208797656</v>
      </c>
      <c r="BE13" s="13">
        <f>BD13*VLOOKUP('Données projet'!$B$11,Paramètres!$A$1:$I$89,3,0)*VLOOKUP('Données projet'!$B$11,Paramètres!$A$1:$I$89,5,0)</f>
        <v>10.09687668571789</v>
      </c>
      <c r="BF13" s="13">
        <f t="shared" si="37"/>
        <v>3.5550993685619052</v>
      </c>
      <c r="BG13" s="20">
        <f t="shared" si="7"/>
        <v>23.777191627870639</v>
      </c>
      <c r="BH13" s="59">
        <f t="shared" si="8"/>
        <v>317.11052496120396</v>
      </c>
      <c r="BI13" s="59">
        <f ca="1">AVERAGE(OFFSET($BH$3,0,0,'Données projet'!$E$11+1,1))-AVERAGE(OFFSET($H$3,0,0,'Données projet'!$E$11+1,1))</f>
        <v>271.42245454555501</v>
      </c>
      <c r="BJ13" s="59">
        <f t="shared" si="38"/>
        <v>362.63944425429077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9.6666666666666661</v>
      </c>
      <c r="BY13" s="12">
        <f>IF('Données projet'!$A$114&gt;35,BY12+BX13-CG12,IF(A13&lt;'Données projet'!$A$114,$BV$205^A13,IF(A13='Données projet'!$A$114,'Données projet'!$B$114,BY12+BX13-CG12)))</f>
        <v>52.526886339207103</v>
      </c>
      <c r="BZ13" s="13">
        <f>BY13*VLOOKUP('Données projet'!$B$12,Paramètres!$A$1:$I$89,3,0)*VLOOKUP('Données projet'!$B$12,Paramètres!$A$1:$I$89,5,0)</f>
        <v>28.679679941207077</v>
      </c>
      <c r="CA13" s="13">
        <f t="shared" si="39"/>
        <v>8.9426187663684367</v>
      </c>
      <c r="CB13" s="20">
        <f t="shared" si="10"/>
        <v>65.525503582360685</v>
      </c>
      <c r="CC13" s="59">
        <f t="shared" si="11"/>
        <v>358.85883691569398</v>
      </c>
      <c r="CD13" s="59">
        <f ca="1">AVERAGE(OFFSET($CC$3,0,0,'Données projet'!$E$12+1,1))-AVERAGE(OFFSET($H$3,0,0,'Données projet'!$E$12+1,1))</f>
        <v>154.35821558431712</v>
      </c>
      <c r="CE13" s="59">
        <f t="shared" si="40"/>
        <v>263.86720460501306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0.6</v>
      </c>
      <c r="CT13" s="12">
        <f>IF('Données projet'!$A$140&gt;35,CT12+CS13-DB12,IF(A13&lt;'Données projet'!$A$140,$CQ$205^A13,IF(A13='Données projet'!$A$140,'Données projet'!$B$140,CT12+CS13-DB12)))</f>
        <v>4.3267487109222253</v>
      </c>
      <c r="CU13" s="17">
        <f>CT13*VLOOKUP('Données projet'!$B$13,Paramètres!$A$1:$I$89,3,0)*VLOOKUP('Données projet'!$B$13,Paramètres!$A$1:$I$89,5,0)</f>
        <v>3.4423612744097229</v>
      </c>
      <c r="CV13" s="13">
        <f t="shared" si="41"/>
        <v>1.3737838981893231</v>
      </c>
      <c r="CW13" s="20">
        <f t="shared" si="13"/>
        <v>8.3881195089433387</v>
      </c>
      <c r="CX13" s="59">
        <f t="shared" si="14"/>
        <v>301.72145284227668</v>
      </c>
      <c r="CY13" s="59">
        <f ca="1">AVERAGE(OFFSET($CX$3,0,0,'Données projet'!$E$13+1,1))-AVERAGE(OFFSET($H$3,0,0,'Données projet'!$E$13+1,1))</f>
        <v>157.25319335691853</v>
      </c>
      <c r="CZ13" s="59">
        <f t="shared" si="42"/>
        <v>159.50903492442171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23</v>
      </c>
      <c r="DM13" s="12">
        <f>VLOOKUP(A13,'Données projet'!$A$165:$I$185,9,0)</f>
        <v>2.2999999999999998</v>
      </c>
      <c r="DN13" s="12">
        <f t="array" ref="DN13">INDEX(DM:DM,MIN(IF(ISNUMBER(DM13:DM209),ROW(DM13:DM209),"")))</f>
        <v>2.2999999999999998</v>
      </c>
      <c r="DO13" s="12">
        <f>IF('Données projet'!$A$166&gt;35,DO12+DN13-DW12,IF(A13&lt;'Données projet'!$A$166,$DL$205^A13,IF(A13='Données projet'!$A$166,'Données projet'!$B$166,DO12+DN13-DW12)))</f>
        <v>23</v>
      </c>
      <c r="DP13" s="17">
        <f>DO13*VLOOKUP('Données projet'!$B$14,Paramètres!$A$1:$I$89,3,0)*VLOOKUP('Données projet'!$B$14,Paramètres!$A$1:$I$89,5,0)</f>
        <v>20.0928</v>
      </c>
      <c r="DQ13" s="13">
        <f t="shared" si="43"/>
        <v>6.5300817245569407</v>
      </c>
      <c r="DR13" s="20">
        <f t="shared" si="16"/>
        <v>46.368185670270002</v>
      </c>
      <c r="DS13" s="59">
        <f t="shared" si="17"/>
        <v>339.70151900360332</v>
      </c>
      <c r="DT13" s="59">
        <f ca="1">AVERAGE(OFFSET($DS$3,0,0,'Données projet'!$E$14+1,1))-AVERAGE(OFFSET($H$3,0,0,'Données projet'!$E$14+1,1))</f>
        <v>229.5312221178919</v>
      </c>
      <c r="DU13" s="59">
        <f t="shared" si="44"/>
        <v>218.1982095871906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2.9235042735042733</v>
      </c>
      <c r="EJ13" s="12">
        <f>IF('Données projet'!$A$192&gt;35,EJ12+EI13-ER12,IF(A13&lt;'Données projet'!$A$192,$EG$205^A13,IF(A13='Données projet'!$A$192,'Données projet'!$B$192,EJ12+EI13-ER12)))</f>
        <v>4.4429865232315908</v>
      </c>
      <c r="EK13" s="17">
        <f>EJ13*VLOOKUP('Données projet'!$B$15,Paramètres!$A$1:$I$89,3,0)*VLOOKUP('Données projet'!$B$15,Paramètres!$A$1:$I$89,5,0)</f>
        <v>4.0200142062199431</v>
      </c>
      <c r="EL13" s="13">
        <f t="shared" si="45"/>
        <v>1.5756057660539962</v>
      </c>
      <c r="EM13" s="20">
        <f t="shared" si="19"/>
        <v>9.7457047850437757</v>
      </c>
      <c r="EN13" s="59">
        <f t="shared" si="20"/>
        <v>303.07903811837707</v>
      </c>
      <c r="EO13" s="59">
        <f ca="1">AVERAGE(OFFSET($EN$3,0,0,'Données projet'!$E$15+1,1))-AVERAGE(OFFSET($H$3,0,0,'Données projet'!$E$15+1,1))</f>
        <v>204.39656982394689</v>
      </c>
      <c r="EP13" s="59">
        <f t="shared" si="46"/>
        <v>134.95704640904546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3.1262820512820513</v>
      </c>
      <c r="FE13" s="12">
        <f>IF('Données projet'!$A$218&gt;35,FE12+FD13-FM12,IF(A13&lt;'Données projet'!$A$218,$FB$205^A13,IF(A13='Données projet'!$A$218,'Données projet'!$B$218,FE12+FD13-FM12)))</f>
        <v>4.5434226349536226</v>
      </c>
      <c r="FF13" s="17">
        <f>FE13*VLOOKUP('Données projet'!$B$16,Paramètres!$A$1:$I$89,3,0)*VLOOKUP('Données projet'!$B$16,Paramètres!$A$1:$I$89,5,0)</f>
        <v>3.898256620790209</v>
      </c>
      <c r="FG13" s="13">
        <f t="shared" si="47"/>
        <v>1.5333636814706839</v>
      </c>
      <c r="FH13" s="20">
        <f t="shared" si="22"/>
        <v>9.4600720264377216</v>
      </c>
      <c r="FI13" s="59">
        <f t="shared" si="23"/>
        <v>302.79340535977104</v>
      </c>
      <c r="FJ13" s="59">
        <f ca="1">AVERAGE(OFFSET($FI$3,0,0,'Données projet'!$E$16+1,1))-AVERAGE(OFFSET($H$3,0,0,'Données projet'!$E$16+1,1))</f>
        <v>199.60585215726968</v>
      </c>
      <c r="FK13" s="59">
        <f t="shared" si="48"/>
        <v>137.37366750114404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4.9084615384615384</v>
      </c>
      <c r="N14" s="13">
        <f>IF('Données projet'!$A$36&gt;35,N13+M14-V13,IF(A14&lt;'Données projet'!$A$36,$K$205^A14,IF(A14='Données projet'!$A$36,'Données projet'!$B$36,N13+M14-V13)))</f>
        <v>6.2367418843040729</v>
      </c>
      <c r="O14" s="13">
        <f>N14*VLOOKUP('Données projet'!$B$9,Paramètres!$A$1:$I$89,3,0)*VLOOKUP('Données projet'!$B$9,Paramètres!$A$1:$I$89,5,0)</f>
        <v>2.9187952018543064</v>
      </c>
      <c r="P14" s="13">
        <f t="shared" si="33"/>
        <v>1.1874244488629264</v>
      </c>
      <c r="Q14" s="20">
        <f t="shared" si="2"/>
        <v>7.1516658916658464</v>
      </c>
      <c r="R14" s="59">
        <f t="shared" si="0"/>
        <v>300.48499922499917</v>
      </c>
      <c r="S14" s="59">
        <f ca="1">AVERAGE(OFFSET($R$3,0,0,'Données projet'!$E$9+1,1))-AVERAGE(OFFSET($H$3,0,0,'Données projet'!$E$9+1,1))</f>
        <v>164.93438869099657</v>
      </c>
      <c r="T14" s="59">
        <f t="shared" si="34"/>
        <v>112.28641356594233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316.71294168836005</v>
      </c>
      <c r="AN14" s="59">
        <f ca="1">AVERAGE(OFFSET($AM$3,0,0,'Données projet'!$E$10+1,1))-AVERAGE(OFFSET($H$3,0,0,'Données projet'!$E$10+1,1))</f>
        <v>273.81843612193632</v>
      </c>
      <c r="AO14" s="59">
        <f t="shared" si="36"/>
        <v>241.86405419073208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10.16068376068376</v>
      </c>
      <c r="BD14" s="12">
        <f>IF('Données projet'!$A$88&gt;35,BD13+BC14-BL13,IF(A14&lt;'Données projet'!$A$88,$BA$205^A14,IF(A14='Données projet'!$A$88,'Données projet'!$B$88,BD13+BC14-BL13)))</f>
        <v>24.124191581618767</v>
      </c>
      <c r="BE14" s="13">
        <f>BD14*VLOOKUP('Données projet'!$B$11,Paramètres!$A$1:$I$89,3,0)*VLOOKUP('Données projet'!$B$11,Paramètres!$A$1:$I$89,5,0)</f>
        <v>13.48542309412489</v>
      </c>
      <c r="BF14" s="13">
        <f t="shared" si="37"/>
        <v>4.5909271865822117</v>
      </c>
      <c r="BG14" s="20">
        <f t="shared" si="7"/>
        <v>31.482976738898202</v>
      </c>
      <c r="BH14" s="59">
        <f t="shared" si="8"/>
        <v>324.81631007223154</v>
      </c>
      <c r="BI14" s="59">
        <f ca="1">AVERAGE(OFFSET($BH$3,0,0,'Données projet'!$E$11+1,1))-AVERAGE(OFFSET($H$3,0,0,'Données projet'!$E$11+1,1))</f>
        <v>271.42245454555501</v>
      </c>
      <c r="BJ14" s="59">
        <f t="shared" si="38"/>
        <v>362.63944425429077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9.6666666666666661</v>
      </c>
      <c r="BY14" s="12">
        <f>IF('Données projet'!$A$114&gt;35,BY13+BX14-CG13,IF(A14&lt;'Données projet'!$A$114,$BV$205^A14,IF(A14='Données projet'!$A$114,'Données projet'!$B$114,BY13+BX14-CG13)))</f>
        <v>78.058432057965561</v>
      </c>
      <c r="BZ14" s="13">
        <f>BY14*VLOOKUP('Données projet'!$B$12,Paramètres!$A$1:$I$89,3,0)*VLOOKUP('Données projet'!$B$12,Paramètres!$A$1:$I$89,5,0)</f>
        <v>42.619903903649202</v>
      </c>
      <c r="CA14" s="13">
        <f t="shared" si="39"/>
        <v>12.690468047849112</v>
      </c>
      <c r="CB14" s="20">
        <f t="shared" si="10"/>
        <v>96.332231148859549</v>
      </c>
      <c r="CC14" s="59">
        <f t="shared" si="11"/>
        <v>389.66556448219285</v>
      </c>
      <c r="CD14" s="59">
        <f ca="1">AVERAGE(OFFSET($CC$3,0,0,'Données projet'!$E$12+1,1))-AVERAGE(OFFSET($H$3,0,0,'Données projet'!$E$12+1,1))</f>
        <v>154.35821558431712</v>
      </c>
      <c r="CE14" s="59">
        <f t="shared" si="40"/>
        <v>263.86720460501306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0.6</v>
      </c>
      <c r="CT14" s="12">
        <f>IF('Données projet'!$A$140&gt;35,CT13+CS14-DB13,IF(A14&lt;'Données projet'!$A$140,$CQ$205^A14,IF(A14='Données projet'!$A$140,'Données projet'!$B$140,CT13+CS14-DB13)))</f>
        <v>5.0093092101266317</v>
      </c>
      <c r="CU14" s="17">
        <f>CT14*VLOOKUP('Données projet'!$B$13,Paramètres!$A$1:$I$89,3,0)*VLOOKUP('Données projet'!$B$13,Paramètres!$A$1:$I$89,5,0)</f>
        <v>3.9854064075767486</v>
      </c>
      <c r="CV14" s="13">
        <f t="shared" si="41"/>
        <v>1.5636144210313476</v>
      </c>
      <c r="CW14" s="20">
        <f t="shared" si="13"/>
        <v>9.6645446098257679</v>
      </c>
      <c r="CX14" s="59">
        <f t="shared" si="14"/>
        <v>302.9978779431591</v>
      </c>
      <c r="CY14" s="59">
        <f ca="1">AVERAGE(OFFSET($CX$3,0,0,'Données projet'!$E$13+1,1))-AVERAGE(OFFSET($H$3,0,0,'Données projet'!$E$13+1,1))</f>
        <v>157.25319335691853</v>
      </c>
      <c r="CZ14" s="59">
        <f t="shared" si="42"/>
        <v>159.50903492442171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7.4</v>
      </c>
      <c r="DO14" s="12">
        <f>IF('Données projet'!$A$166&gt;35,DO13+DN14-DW13,IF(A14&lt;'Données projet'!$A$166,$DL$205^A14,IF(A14='Données projet'!$A$166,'Données projet'!$B$166,DO13+DN14-DW13)))</f>
        <v>30.4</v>
      </c>
      <c r="DP14" s="17">
        <f>DO14*VLOOKUP('Données projet'!$B$14,Paramètres!$A$1:$I$89,3,0)*VLOOKUP('Données projet'!$B$14,Paramètres!$A$1:$I$89,5,0)</f>
        <v>26.557440000000003</v>
      </c>
      <c r="DQ14" s="13">
        <f t="shared" si="43"/>
        <v>8.3553182981993483</v>
      </c>
      <c r="DR14" s="20">
        <f t="shared" si="16"/>
        <v>60.806387369363868</v>
      </c>
      <c r="DS14" s="59">
        <f t="shared" si="17"/>
        <v>354.13972070269716</v>
      </c>
      <c r="DT14" s="59">
        <f ca="1">AVERAGE(OFFSET($DS$3,0,0,'Données projet'!$E$14+1,1))-AVERAGE(OFFSET($H$3,0,0,'Données projet'!$E$14+1,1))</f>
        <v>229.5312221178919</v>
      </c>
      <c r="DU14" s="59">
        <f t="shared" si="44"/>
        <v>218.1982095871906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2.9235042735042733</v>
      </c>
      <c r="EJ14" s="12">
        <f>IF('Données projet'!$A$192&gt;35,EJ13+EI14-ER13,IF(A14&lt;'Données projet'!$A$192,$EG$205^A14,IF(A14='Données projet'!$A$192,'Données projet'!$B$192,EJ13+EI14-ER13)))</f>
        <v>5.1575387009743459</v>
      </c>
      <c r="EK14" s="17">
        <f>EJ14*VLOOKUP('Données projet'!$B$15,Paramètres!$A$1:$I$89,3,0)*VLOOKUP('Données projet'!$B$15,Paramètres!$A$1:$I$89,5,0)</f>
        <v>4.6665410166415882</v>
      </c>
      <c r="EL14" s="13">
        <f t="shared" si="45"/>
        <v>1.7975299040209971</v>
      </c>
      <c r="EM14" s="20">
        <f t="shared" si="19"/>
        <v>11.258256853487337</v>
      </c>
      <c r="EN14" s="59">
        <f t="shared" si="20"/>
        <v>304.59159018682067</v>
      </c>
      <c r="EO14" s="59">
        <f ca="1">AVERAGE(OFFSET($EN$3,0,0,'Données projet'!$E$15+1,1))-AVERAGE(OFFSET($H$3,0,0,'Données projet'!$E$15+1,1))</f>
        <v>204.39656982394689</v>
      </c>
      <c r="EP14" s="59">
        <f t="shared" si="46"/>
        <v>134.95704640904546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3.1262820512820513</v>
      </c>
      <c r="FE14" s="12">
        <f>IF('Données projet'!$A$218&gt;35,FE13+FD14-FM13,IF(A14&lt;'Données projet'!$A$218,$FB$205^A14,IF(A14='Données projet'!$A$218,'Données projet'!$B$218,FE13+FD14-FM13)))</f>
        <v>5.2859305288406482</v>
      </c>
      <c r="FF14" s="17">
        <f>FE14*VLOOKUP('Données projet'!$B$16,Paramètres!$A$1:$I$89,3,0)*VLOOKUP('Données projet'!$B$16,Paramètres!$A$1:$I$89,5,0)</f>
        <v>4.5353283937452762</v>
      </c>
      <c r="FG14" s="13">
        <f t="shared" si="47"/>
        <v>1.7527966986130852</v>
      </c>
      <c r="FH14" s="20">
        <f t="shared" si="22"/>
        <v>10.951817869190812</v>
      </c>
      <c r="FI14" s="59">
        <f t="shared" si="23"/>
        <v>304.2851512025241</v>
      </c>
      <c r="FJ14" s="59">
        <f ca="1">AVERAGE(OFFSET($FI$3,0,0,'Données projet'!$E$16+1,1))-AVERAGE(OFFSET($H$3,0,0,'Données projet'!$E$16+1,1))</f>
        <v>199.60585215726968</v>
      </c>
      <c r="FK14" s="59">
        <f t="shared" si="48"/>
        <v>137.37366750114404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4.9084615384615384</v>
      </c>
      <c r="N15" s="13">
        <f>IF('Données projet'!$A$36&gt;35,N14+M15-V14,IF(A15&lt;'Données projet'!$A$36,$K$205^A15,IF(A15='Données projet'!$A$36,'Données projet'!$B$36,N14+M15-V14)))</f>
        <v>7.3659142514897171</v>
      </c>
      <c r="O15" s="13">
        <f>N15*VLOOKUP('Données projet'!$B$9,Paramètres!$A$1:$I$89,3,0)*VLOOKUP('Données projet'!$B$9,Paramètres!$A$1:$I$89,5,0)</f>
        <v>3.447247869697188</v>
      </c>
      <c r="P15" s="13">
        <f t="shared" si="33"/>
        <v>1.3755069097464061</v>
      </c>
      <c r="Q15" s="20">
        <f t="shared" si="2"/>
        <v>8.3996312408642595</v>
      </c>
      <c r="R15" s="59">
        <f t="shared" si="0"/>
        <v>301.73296457419758</v>
      </c>
      <c r="S15" s="59">
        <f ca="1">AVERAGE(OFFSET($R$3,0,0,'Données projet'!$E$9+1,1))-AVERAGE(OFFSET($H$3,0,0,'Données projet'!$E$9+1,1))</f>
        <v>164.93438869099657</v>
      </c>
      <c r="T15" s="59">
        <f t="shared" si="34"/>
        <v>112.28641356594233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323.28426917937514</v>
      </c>
      <c r="AN15" s="59">
        <f ca="1">AVERAGE(OFFSET($AM$3,0,0,'Données projet'!$E$10+1,1))-AVERAGE(OFFSET($H$3,0,0,'Données projet'!$E$10+1,1))</f>
        <v>273.81843612193632</v>
      </c>
      <c r="AO15" s="59">
        <f t="shared" si="36"/>
        <v>241.86405419073208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10.16068376068376</v>
      </c>
      <c r="BD15" s="12">
        <f>IF('Données projet'!$A$88&gt;35,BD14+BC15-BL14,IF(A15&lt;'Données projet'!$A$88,$BA$205^A15,IF(A15='Données projet'!$A$88,'Données projet'!$B$88,BD14+BC15-BL14)))</f>
        <v>32.220352927755336</v>
      </c>
      <c r="BE15" s="13">
        <f>BD15*VLOOKUP('Données projet'!$B$11,Paramètres!$A$1:$I$89,3,0)*VLOOKUP('Données projet'!$B$11,Paramètres!$A$1:$I$89,5,0)</f>
        <v>18.011177286615233</v>
      </c>
      <c r="BF15" s="13">
        <f t="shared" si="37"/>
        <v>5.9285578959851977</v>
      </c>
      <c r="BG15" s="20">
        <f t="shared" si="7"/>
        <v>41.695038776362409</v>
      </c>
      <c r="BH15" s="59">
        <f t="shared" si="8"/>
        <v>335.02837210969574</v>
      </c>
      <c r="BI15" s="59">
        <f ca="1">AVERAGE(OFFSET($BH$3,0,0,'Données projet'!$E$11+1,1))-AVERAGE(OFFSET($H$3,0,0,'Données projet'!$E$11+1,1))</f>
        <v>271.42245454555501</v>
      </c>
      <c r="BJ15" s="59">
        <f t="shared" si="38"/>
        <v>362.63944425429077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>
        <f>VLOOKUP(A15,'Données projet'!$A$113:$I$133,2,0)</f>
        <v>116</v>
      </c>
      <c r="BW15" s="12">
        <f>VLOOKUP(A15,'Données projet'!$A$113:$I$133,9,0)</f>
        <v>9.6666666666666661</v>
      </c>
      <c r="BX15" s="12">
        <f t="array" ref="BX15">INDEX(BW:BW,MIN(IF(ISNUMBER(BW15:BW211),ROW(BW15:BW211),"")))</f>
        <v>9.6666666666666661</v>
      </c>
      <c r="BY15" s="12">
        <f>IF('Données projet'!$A$114&gt;35,BY14+BX15-CG14,IF(A15&lt;'Données projet'!$A$114,$BV$205^A15,IF(A15='Données projet'!$A$114,'Données projet'!$B$114,BY14+BX15-CG14)))</f>
        <v>116</v>
      </c>
      <c r="BZ15" s="13">
        <f>BY15*VLOOKUP('Données projet'!$B$12,Paramètres!$A$1:$I$89,3,0)*VLOOKUP('Données projet'!$B$12,Paramètres!$A$1:$I$89,5,0)</f>
        <v>63.335999999999999</v>
      </c>
      <c r="CA15" s="13">
        <f t="shared" si="39"/>
        <v>18.009040022946227</v>
      </c>
      <c r="CB15" s="20">
        <f t="shared" si="10"/>
        <v>141.67594470663133</v>
      </c>
      <c r="CC15" s="59">
        <f t="shared" si="11"/>
        <v>435.00927803996467</v>
      </c>
      <c r="CD15" s="59">
        <f ca="1">AVERAGE(OFFSET($CC$3,0,0,'Données projet'!$E$12+1,1))-AVERAGE(OFFSET($H$3,0,0,'Données projet'!$E$12+1,1))</f>
        <v>154.35821558431712</v>
      </c>
      <c r="CE15" s="59">
        <f t="shared" si="40"/>
        <v>263.86720460501306</v>
      </c>
      <c r="CF15" s="15">
        <f>IF(ISNA(VLOOKUP(A15,'Données projet'!$A$113:$I$133,3,0)),0,VLOOKUP(A15,'Données projet'!$A$113:$I$133,3,0))</f>
        <v>1</v>
      </c>
      <c r="CG15" s="15">
        <f>IF(ISNA(VLOOKUP(A15,'Données projet'!$A$113:$I$133,4,0)),0,VLOOKUP(A15,'Données projet'!$A$113:$I$133,4,0))</f>
        <v>21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0.42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6.363209560142475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6.363209560142475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0.6</v>
      </c>
      <c r="CT15" s="12">
        <f>IF('Données projet'!$A$140&gt;35,CT14+CS15-DB14,IF(A15&lt;'Données projet'!$A$140,$CQ$205^A15,IF(A15='Données projet'!$A$140,'Données projet'!$B$140,CT14+CS15-DB14)))</f>
        <v>5.799546134795289</v>
      </c>
      <c r="CU15" s="17">
        <f>CT15*VLOOKUP('Données projet'!$B$13,Paramètres!$A$1:$I$89,3,0)*VLOOKUP('Données projet'!$B$13,Paramètres!$A$1:$I$89,5,0)</f>
        <v>4.6141189048431315</v>
      </c>
      <c r="CV15" s="13">
        <f t="shared" si="41"/>
        <v>1.7796758725150397</v>
      </c>
      <c r="CW15" s="20">
        <f t="shared" si="13"/>
        <v>11.135859237232149</v>
      </c>
      <c r="CX15" s="59">
        <f t="shared" si="14"/>
        <v>304.46919257056544</v>
      </c>
      <c r="CY15" s="59">
        <f ca="1">AVERAGE(OFFSET($CX$3,0,0,'Données projet'!$E$13+1,1))-AVERAGE(OFFSET($H$3,0,0,'Données projet'!$E$13+1,1))</f>
        <v>157.25319335691853</v>
      </c>
      <c r="CZ15" s="59">
        <f t="shared" si="42"/>
        <v>159.50903492442171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7.4</v>
      </c>
      <c r="DO15" s="12">
        <f>IF('Données projet'!$A$166&gt;35,DO14+DN15-DW14,IF(A15&lt;'Données projet'!$A$166,$DL$205^A15,IF(A15='Données projet'!$A$166,'Données projet'!$B$166,DO14+DN15-DW14)))</f>
        <v>37.799999999999997</v>
      </c>
      <c r="DP15" s="17">
        <f>DO15*VLOOKUP('Données projet'!$B$14,Paramètres!$A$1:$I$89,3,0)*VLOOKUP('Données projet'!$B$14,Paramètres!$A$1:$I$89,5,0)</f>
        <v>33.022080000000003</v>
      </c>
      <c r="DQ15" s="13">
        <f t="shared" si="43"/>
        <v>10.129025278332465</v>
      </c>
      <c r="DR15" s="20">
        <f t="shared" si="16"/>
        <v>75.154841693095705</v>
      </c>
      <c r="DS15" s="59">
        <f t="shared" si="17"/>
        <v>368.48817502642902</v>
      </c>
      <c r="DT15" s="59">
        <f ca="1">AVERAGE(OFFSET($DS$3,0,0,'Données projet'!$E$14+1,1))-AVERAGE(OFFSET($H$3,0,0,'Données projet'!$E$14+1,1))</f>
        <v>229.5312221178919</v>
      </c>
      <c r="DU15" s="59">
        <f t="shared" si="44"/>
        <v>218.1982095871906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2.9235042735042733</v>
      </c>
      <c r="EJ15" s="12">
        <f>IF('Données projet'!$A$192&gt;35,EJ14+EI15-ER14,IF(A15&lt;'Données projet'!$A$192,$EG$205^A15,IF(A15='Données projet'!$A$192,'Données projet'!$B$192,EJ14+EI15-ER14)))</f>
        <v>5.9870101592612031</v>
      </c>
      <c r="EK15" s="17">
        <f>EJ15*VLOOKUP('Données projet'!$B$15,Paramètres!$A$1:$I$89,3,0)*VLOOKUP('Données projet'!$B$15,Paramètres!$A$1:$I$89,5,0)</f>
        <v>5.4170467920995362</v>
      </c>
      <c r="EL15" s="13">
        <f t="shared" si="45"/>
        <v>2.05071206609116</v>
      </c>
      <c r="EM15" s="20">
        <f t="shared" si="19"/>
        <v>13.006346678015461</v>
      </c>
      <c r="EN15" s="59">
        <f t="shared" si="20"/>
        <v>306.33968001134878</v>
      </c>
      <c r="EO15" s="59">
        <f ca="1">AVERAGE(OFFSET($EN$3,0,0,'Données projet'!$E$15+1,1))-AVERAGE(OFFSET($H$3,0,0,'Données projet'!$E$15+1,1))</f>
        <v>204.39656982394689</v>
      </c>
      <c r="EP15" s="59">
        <f t="shared" si="46"/>
        <v>134.95704640904546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3.1262820512820513</v>
      </c>
      <c r="FE15" s="12">
        <f>IF('Données projet'!$A$218&gt;35,FE14+FD15-FM14,IF(A15&lt;'Données projet'!$A$218,$FB$205^A15,IF(A15='Données projet'!$A$218,'Données projet'!$B$218,FE14+FD15-FM14)))</f>
        <v>6.1497826199949772</v>
      </c>
      <c r="FF15" s="17">
        <f>FE15*VLOOKUP('Données projet'!$B$16,Paramètres!$A$1:$I$89,3,0)*VLOOKUP('Données projet'!$B$16,Paramètres!$A$1:$I$89,5,0)</f>
        <v>5.2765134879556914</v>
      </c>
      <c r="FG15" s="13">
        <f t="shared" si="47"/>
        <v>2.0036318218533919</v>
      </c>
      <c r="FH15" s="20">
        <f t="shared" si="22"/>
        <v>12.679586414584152</v>
      </c>
      <c r="FI15" s="59">
        <f t="shared" si="23"/>
        <v>306.01291974791746</v>
      </c>
      <c r="FJ15" s="59">
        <f ca="1">AVERAGE(OFFSET($FI$3,0,0,'Données projet'!$E$16+1,1))-AVERAGE(OFFSET($H$3,0,0,'Données projet'!$E$16+1,1))</f>
        <v>199.60585215726968</v>
      </c>
      <c r="FK15" s="59">
        <f t="shared" si="48"/>
        <v>137.37366750114404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4.9084615384615384</v>
      </c>
      <c r="N16" s="13">
        <f>IF('Données projet'!$A$36&gt;35,N15+M16-V15,IF(A16&lt;'Données projet'!$A$36,$K$205^A16,IF(A16='Données projet'!$A$36,'Données projet'!$B$36,N15+M16-V15)))</f>
        <v>8.6995251313584792</v>
      </c>
      <c r="O16" s="13">
        <f>N16*VLOOKUP('Données projet'!$B$9,Paramètres!$A$1:$I$89,3,0)*VLOOKUP('Données projet'!$B$9,Paramètres!$A$1:$I$89,5,0)</f>
        <v>4.0713777614757687</v>
      </c>
      <c r="P16" s="13">
        <f t="shared" si="33"/>
        <v>1.5933807498842545</v>
      </c>
      <c r="Q16" s="20">
        <f t="shared" si="2"/>
        <v>9.8661210739520406</v>
      </c>
      <c r="R16" s="59">
        <f t="shared" si="0"/>
        <v>303.19945440728537</v>
      </c>
      <c r="S16" s="59">
        <f ca="1">AVERAGE(OFFSET($R$3,0,0,'Données projet'!$E$9+1,1))-AVERAGE(OFFSET($H$3,0,0,'Données projet'!$E$9+1,1))</f>
        <v>164.93438869099657</v>
      </c>
      <c r="T16" s="59">
        <f t="shared" si="34"/>
        <v>112.28641356594233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331.70904815163294</v>
      </c>
      <c r="AN16" s="59">
        <f ca="1">AVERAGE(OFFSET($AM$3,0,0,'Données projet'!$E$10+1,1))-AVERAGE(OFFSET($H$3,0,0,'Données projet'!$E$10+1,1))</f>
        <v>273.81843612193632</v>
      </c>
      <c r="AO16" s="59">
        <f t="shared" si="36"/>
        <v>241.86405419073208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10.16068376068376</v>
      </c>
      <c r="BD16" s="12">
        <f>IF('Données projet'!$A$88&gt;35,BD15+BC16-BL15,IF(A16&lt;'Données projet'!$A$88,$BA$205^A16,IF(A16='Données projet'!$A$88,'Données projet'!$B$88,BD15+BC16-BL15)))</f>
        <v>43.033613759729988</v>
      </c>
      <c r="BE16" s="13">
        <f>BD16*VLOOKUP('Données projet'!$B$11,Paramètres!$A$1:$I$89,3,0)*VLOOKUP('Données projet'!$B$11,Paramètres!$A$1:$I$89,5,0)</f>
        <v>24.055790091689062</v>
      </c>
      <c r="BF16" s="13">
        <f t="shared" si="37"/>
        <v>7.6559259813080898</v>
      </c>
      <c r="BG16" s="20">
        <f t="shared" si="7"/>
        <v>55.231238827136707</v>
      </c>
      <c r="BH16" s="59">
        <f t="shared" si="8"/>
        <v>348.56457216046999</v>
      </c>
      <c r="BI16" s="59">
        <f ca="1">AVERAGE(OFFSET($BH$3,0,0,'Données projet'!$E$11+1,1))-AVERAGE(OFFSET($H$3,0,0,'Données projet'!$E$11+1,1))</f>
        <v>271.42245454555501</v>
      </c>
      <c r="BJ16" s="59">
        <f t="shared" si="38"/>
        <v>362.63944425429077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24.333333333333332</v>
      </c>
      <c r="BY16" s="12">
        <f>IF('Données projet'!$A$114&gt;35,BY15+BX16-CG15,IF(A16&lt;'Données projet'!$A$114,$BV$205^A16,IF(A16='Données projet'!$A$114,'Données projet'!$B$114,BY15+BX16-CG15)))</f>
        <v>119.33333333333334</v>
      </c>
      <c r="BZ16" s="13">
        <f>BY16*VLOOKUP('Données projet'!$B$12,Paramètres!$A$1:$I$89,3,0)*VLOOKUP('Données projet'!$B$12,Paramètres!$A$1:$I$89,5,0)</f>
        <v>65.156000000000006</v>
      </c>
      <c r="CA16" s="13">
        <f t="shared" si="39"/>
        <v>18.465547360043153</v>
      </c>
      <c r="CB16" s="20">
        <f t="shared" si="10"/>
        <v>145.64086165207519</v>
      </c>
      <c r="CC16" s="59">
        <f t="shared" si="11"/>
        <v>438.97419498540853</v>
      </c>
      <c r="CD16" s="59">
        <f ca="1">AVERAGE(OFFSET($CC$3,0,0,'Données projet'!$E$12+1,1))-AVERAGE(OFFSET($H$3,0,0,'Données projet'!$E$12+1,1))</f>
        <v>154.35821558431712</v>
      </c>
      <c r="CE16" s="59">
        <f t="shared" si="40"/>
        <v>263.86720460501306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6.1892072600937311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6.1892072600937311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0.6</v>
      </c>
      <c r="CT16" s="12">
        <f>IF('Données projet'!$A$140&gt;35,CT15+CS16-DB15,IF(A16&lt;'Données projet'!$A$140,$CQ$205^A16,IF(A16='Données projet'!$A$140,'Données projet'!$B$140,CT15+CS16-DB15)))</f>
        <v>6.7144458364886441</v>
      </c>
      <c r="CU16" s="17">
        <f>CT16*VLOOKUP('Données projet'!$B$13,Paramètres!$A$1:$I$89,3,0)*VLOOKUP('Données projet'!$B$13,Paramètres!$A$1:$I$89,5,0)</f>
        <v>5.3420131075103656</v>
      </c>
      <c r="CV16" s="13">
        <f t="shared" si="41"/>
        <v>2.0255928626720379</v>
      </c>
      <c r="CW16" s="20">
        <f t="shared" si="13"/>
        <v>12.831913731401018</v>
      </c>
      <c r="CX16" s="59">
        <f t="shared" si="14"/>
        <v>306.16524706473433</v>
      </c>
      <c r="CY16" s="59">
        <f ca="1">AVERAGE(OFFSET($CX$3,0,0,'Données projet'!$E$13+1,1))-AVERAGE(OFFSET($H$3,0,0,'Données projet'!$E$13+1,1))</f>
        <v>157.25319335691853</v>
      </c>
      <c r="CZ16" s="59">
        <f t="shared" si="42"/>
        <v>159.50903492442171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7.4</v>
      </c>
      <c r="DO16" s="12">
        <f>IF('Données projet'!$A$166&gt;35,DO15+DN16-DW15,IF(A16&lt;'Données projet'!$A$166,$DL$205^A16,IF(A16='Données projet'!$A$166,'Données projet'!$B$166,DO15+DN16-DW15)))</f>
        <v>45.199999999999996</v>
      </c>
      <c r="DP16" s="17">
        <f>DO16*VLOOKUP('Données projet'!$B$14,Paramètres!$A$1:$I$89,3,0)*VLOOKUP('Données projet'!$B$14,Paramètres!$A$1:$I$89,5,0)</f>
        <v>39.486720000000005</v>
      </c>
      <c r="DQ16" s="13">
        <f t="shared" si="43"/>
        <v>11.862499896265861</v>
      </c>
      <c r="DR16" s="20">
        <f t="shared" si="16"/>
        <v>89.433224652663043</v>
      </c>
      <c r="DS16" s="59">
        <f t="shared" si="17"/>
        <v>382.76655798599637</v>
      </c>
      <c r="DT16" s="59">
        <f ca="1">AVERAGE(OFFSET($DS$3,0,0,'Données projet'!$E$14+1,1))-AVERAGE(OFFSET($H$3,0,0,'Données projet'!$E$14+1,1))</f>
        <v>229.5312221178919</v>
      </c>
      <c r="DU16" s="59">
        <f t="shared" si="44"/>
        <v>218.1982095871906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2.9235042735042733</v>
      </c>
      <c r="EJ16" s="12">
        <f>IF('Données projet'!$A$192&gt;35,EJ15+EI16-ER15,IF(A16&lt;'Données projet'!$A$192,$EG$205^A16,IF(A16='Données projet'!$A$192,'Données projet'!$B$192,EJ15+EI16-ER15)))</f>
        <v>6.9498830208148057</v>
      </c>
      <c r="EK16" s="17">
        <f>EJ16*VLOOKUP('Données projet'!$B$15,Paramètres!$A$1:$I$89,3,0)*VLOOKUP('Données projet'!$B$15,Paramètres!$A$1:$I$89,5,0)</f>
        <v>6.2882541572332364</v>
      </c>
      <c r="EL16" s="13">
        <f t="shared" si="45"/>
        <v>2.3395549462651668</v>
      </c>
      <c r="EM16" s="20">
        <f t="shared" si="19"/>
        <v>15.026767521926386</v>
      </c>
      <c r="EN16" s="59">
        <f t="shared" si="20"/>
        <v>308.3601008552597</v>
      </c>
      <c r="EO16" s="59">
        <f ca="1">AVERAGE(OFFSET($EN$3,0,0,'Données projet'!$E$15+1,1))-AVERAGE(OFFSET($H$3,0,0,'Données projet'!$E$15+1,1))</f>
        <v>204.39656982394689</v>
      </c>
      <c r="EP16" s="59">
        <f t="shared" si="46"/>
        <v>134.95704640904546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3.1262820512820513</v>
      </c>
      <c r="FE16" s="12">
        <f>IF('Données projet'!$A$218&gt;35,FE15+FD16-FM15,IF(A16&lt;'Données projet'!$A$218,$FB$205^A16,IF(A16='Données projet'!$A$218,'Données projet'!$B$218,FE15+FD16-FM15)))</f>
        <v>7.1548095584765914</v>
      </c>
      <c r="FF16" s="17">
        <f>FE16*VLOOKUP('Données projet'!$B$16,Paramètres!$A$1:$I$89,3,0)*VLOOKUP('Données projet'!$B$16,Paramètres!$A$1:$I$89,5,0)</f>
        <v>6.1388266011729167</v>
      </c>
      <c r="FG16" s="13">
        <f t="shared" si="47"/>
        <v>2.2903628702176824</v>
      </c>
      <c r="FH16" s="20">
        <f t="shared" si="22"/>
        <v>14.680838329338625</v>
      </c>
      <c r="FI16" s="59">
        <f t="shared" si="23"/>
        <v>308.01417166267191</v>
      </c>
      <c r="FJ16" s="59">
        <f ca="1">AVERAGE(OFFSET($FI$3,0,0,'Données projet'!$E$16+1,1))-AVERAGE(OFFSET($H$3,0,0,'Données projet'!$E$16+1,1))</f>
        <v>199.60585215726968</v>
      </c>
      <c r="FK16" s="59">
        <f t="shared" si="48"/>
        <v>137.37366750114404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4.9084615384615384</v>
      </c>
      <c r="N17" s="13">
        <f>IF('Données projet'!$A$36&gt;35,N16+M17-V16,IF(A17&lt;'Données projet'!$A$36,$K$205^A17,IF(A17='Données projet'!$A$36,'Données projet'!$B$36,N16+M17-V16)))</f>
        <v>10.27458845259182</v>
      </c>
      <c r="O17" s="13">
        <f>N17*VLOOKUP('Données projet'!$B$9,Paramètres!$A$1:$I$89,3,0)*VLOOKUP('Données projet'!$B$9,Paramètres!$A$1:$I$89,5,0)</f>
        <v>4.8085073958129714</v>
      </c>
      <c r="P17" s="13">
        <f t="shared" si="33"/>
        <v>1.8457647839586531</v>
      </c>
      <c r="Q17" s="20">
        <f t="shared" si="2"/>
        <v>11.589524046435578</v>
      </c>
      <c r="R17" s="59">
        <f t="shared" si="0"/>
        <v>304.92285737976891</v>
      </c>
      <c r="S17" s="59">
        <f ca="1">AVERAGE(OFFSET($R$3,0,0,'Données projet'!$E$9+1,1))-AVERAGE(OFFSET($H$3,0,0,'Données projet'!$E$9+1,1))</f>
        <v>164.93438869099657</v>
      </c>
      <c r="T17" s="59">
        <f t="shared" si="34"/>
        <v>112.28641356594233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342.51173498532353</v>
      </c>
      <c r="AN17" s="59">
        <f ca="1">AVERAGE(OFFSET($AM$3,0,0,'Données projet'!$E$10+1,1))-AVERAGE(OFFSET($H$3,0,0,'Données projet'!$E$10+1,1))</f>
        <v>273.81843612193632</v>
      </c>
      <c r="AO17" s="59">
        <f t="shared" si="36"/>
        <v>241.86405419073208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10.16068376068376</v>
      </c>
      <c r="BD17" s="12">
        <f>IF('Données projet'!$A$88&gt;35,BD16+BC17-BL16,IF(A17&lt;'Données projet'!$A$88,$BA$205^A17,IF(A17='Données projet'!$A$88,'Données projet'!$B$88,BD16+BC17-BL16)))</f>
        <v>57.475841973982881</v>
      </c>
      <c r="BE17" s="13">
        <f>BD17*VLOOKUP('Données projet'!$B$11,Paramètres!$A$1:$I$89,3,0)*VLOOKUP('Données projet'!$B$11,Paramètres!$A$1:$I$89,5,0)</f>
        <v>32.128995663456436</v>
      </c>
      <c r="BF17" s="13">
        <f t="shared" si="37"/>
        <v>9.8865868664217604</v>
      </c>
      <c r="BG17" s="20">
        <f t="shared" si="7"/>
        <v>73.177139572871184</v>
      </c>
      <c r="BH17" s="59">
        <f t="shared" si="8"/>
        <v>366.51047290620448</v>
      </c>
      <c r="BI17" s="59">
        <f ca="1">AVERAGE(OFFSET($BH$3,0,0,'Données projet'!$E$11+1,1))-AVERAGE(OFFSET($H$3,0,0,'Données projet'!$E$11+1,1))</f>
        <v>271.42245454555501</v>
      </c>
      <c r="BJ17" s="59">
        <f t="shared" si="38"/>
        <v>362.63944425429077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24.333333333333332</v>
      </c>
      <c r="BY17" s="12">
        <f>IF('Données projet'!$A$114&gt;35,BY16+BX17-CG16,IF(A17&lt;'Données projet'!$A$114,$BV$205^A17,IF(A17='Données projet'!$A$114,'Données projet'!$B$114,BY16+BX17-CG16)))</f>
        <v>143.66666666666669</v>
      </c>
      <c r="BZ17" s="13">
        <f>BY17*VLOOKUP('Données projet'!$B$12,Paramètres!$A$1:$I$89,3,0)*VLOOKUP('Données projet'!$B$12,Paramètres!$A$1:$I$89,5,0)</f>
        <v>78.442000000000007</v>
      </c>
      <c r="CA17" s="13">
        <f t="shared" si="39"/>
        <v>21.755810093736013</v>
      </c>
      <c r="CB17" s="20">
        <f t="shared" si="10"/>
        <v>174.5111859132569</v>
      </c>
      <c r="CC17" s="59">
        <f t="shared" si="11"/>
        <v>467.84451924659021</v>
      </c>
      <c r="CD17" s="59">
        <f ca="1">AVERAGE(OFFSET($CC$3,0,0,'Données projet'!$E$12+1,1))-AVERAGE(OFFSET($H$3,0,0,'Données projet'!$E$12+1,1))</f>
        <v>154.35821558431712</v>
      </c>
      <c r="CE17" s="59">
        <f t="shared" si="40"/>
        <v>263.86720460501306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6.0199630620902038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6.0199630620902038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0.6</v>
      </c>
      <c r="CT17" s="12">
        <f>IF('Données projet'!$A$140&gt;35,CT16+CS17-DB16,IF(A17&lt;'Données projet'!$A$140,$CQ$205^A17,IF(A17='Données projet'!$A$140,'Données projet'!$B$140,CT16+CS17-DB16)))</f>
        <v>7.7736743261084582</v>
      </c>
      <c r="CU17" s="17">
        <f>CT17*VLOOKUP('Données projet'!$B$13,Paramètres!$A$1:$I$89,3,0)*VLOOKUP('Données projet'!$B$13,Paramètres!$A$1:$I$89,5,0)</f>
        <v>6.1847352938518894</v>
      </c>
      <c r="CV17" s="13">
        <f t="shared" si="41"/>
        <v>2.3054908529548683</v>
      </c>
      <c r="CW17" s="20">
        <f t="shared" si="13"/>
        <v>14.787143872355102</v>
      </c>
      <c r="CX17" s="59">
        <f t="shared" si="14"/>
        <v>308.12047720568842</v>
      </c>
      <c r="CY17" s="59">
        <f ca="1">AVERAGE(OFFSET($CX$3,0,0,'Données projet'!$E$13+1,1))-AVERAGE(OFFSET($H$3,0,0,'Données projet'!$E$13+1,1))</f>
        <v>157.25319335691853</v>
      </c>
      <c r="CZ17" s="59">
        <f t="shared" si="42"/>
        <v>159.50903492442171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7.4</v>
      </c>
      <c r="DO17" s="12">
        <f>IF('Données projet'!$A$166&gt;35,DO16+DN17-DW16,IF(A17&lt;'Données projet'!$A$166,$DL$205^A17,IF(A17='Données projet'!$A$166,'Données projet'!$B$166,DO16+DN17-DW16)))</f>
        <v>52.599999999999994</v>
      </c>
      <c r="DP17" s="17">
        <f>DO17*VLOOKUP('Données projet'!$B$14,Paramètres!$A$1:$I$89,3,0)*VLOOKUP('Données projet'!$B$14,Paramètres!$A$1:$I$89,5,0)</f>
        <v>45.951360000000001</v>
      </c>
      <c r="DQ17" s="13">
        <f t="shared" si="43"/>
        <v>13.563098137964777</v>
      </c>
      <c r="DR17" s="20">
        <f t="shared" si="16"/>
        <v>103.65434792362198</v>
      </c>
      <c r="DS17" s="59">
        <f t="shared" si="17"/>
        <v>396.98768125695528</v>
      </c>
      <c r="DT17" s="59">
        <f ca="1">AVERAGE(OFFSET($DS$3,0,0,'Données projet'!$E$14+1,1))-AVERAGE(OFFSET($H$3,0,0,'Données projet'!$E$14+1,1))</f>
        <v>229.5312221178919</v>
      </c>
      <c r="DU17" s="59">
        <f t="shared" si="44"/>
        <v>218.1982095871906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2.9235042735042733</v>
      </c>
      <c r="EJ17" s="12">
        <f>IF('Données projet'!$A$192&gt;35,EJ16+EI17-ER16,IF(A17&lt;'Données projet'!$A$192,$EG$205^A17,IF(A17='Données projet'!$A$192,'Données projet'!$B$192,EJ16+EI17-ER16)))</f>
        <v>8.0676118326430668</v>
      </c>
      <c r="EK17" s="17">
        <f>EJ17*VLOOKUP('Données projet'!$B$15,Paramètres!$A$1:$I$89,3,0)*VLOOKUP('Données projet'!$B$15,Paramètres!$A$1:$I$89,5,0)</f>
        <v>7.2995751861754465</v>
      </c>
      <c r="EL17" s="13">
        <f t="shared" si="45"/>
        <v>2.6690813581776105</v>
      </c>
      <c r="EM17" s="20">
        <f t="shared" si="19"/>
        <v>17.362076814748239</v>
      </c>
      <c r="EN17" s="59">
        <f t="shared" si="20"/>
        <v>310.69541014808158</v>
      </c>
      <c r="EO17" s="59">
        <f ca="1">AVERAGE(OFFSET($EN$3,0,0,'Données projet'!$E$15+1,1))-AVERAGE(OFFSET($H$3,0,0,'Données projet'!$E$15+1,1))</f>
        <v>204.39656982394689</v>
      </c>
      <c r="EP17" s="59">
        <f t="shared" si="46"/>
        <v>134.95704640904546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3.1262820512820513</v>
      </c>
      <c r="FE17" s="12">
        <f>IF('Données projet'!$A$218&gt;35,FE16+FD17-FM16,IF(A17&lt;'Données projet'!$A$218,$FB$205^A17,IF(A17='Données projet'!$A$218,'Données projet'!$B$218,FE16+FD17-FM16)))</f>
        <v>8.3240828141840559</v>
      </c>
      <c r="FF17" s="17">
        <f>FE17*VLOOKUP('Données projet'!$B$16,Paramètres!$A$1:$I$89,3,0)*VLOOKUP('Données projet'!$B$16,Paramètres!$A$1:$I$89,5,0)</f>
        <v>7.1420630545699204</v>
      </c>
      <c r="FG17" s="13">
        <f t="shared" si="47"/>
        <v>2.6181267536564485</v>
      </c>
      <c r="FH17" s="20">
        <f t="shared" si="22"/>
        <v>16.998997249327591</v>
      </c>
      <c r="FI17" s="59">
        <f t="shared" si="23"/>
        <v>310.33233058266092</v>
      </c>
      <c r="FJ17" s="59">
        <f ca="1">AVERAGE(OFFSET($FI$3,0,0,'Données projet'!$E$16+1,1))-AVERAGE(OFFSET($H$3,0,0,'Données projet'!$E$16+1,1))</f>
        <v>199.60585215726968</v>
      </c>
      <c r="FK17" s="59">
        <f t="shared" si="48"/>
        <v>137.37366750114404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4.9084615384615384</v>
      </c>
      <c r="N18" s="13">
        <f>IF('Données projet'!$A$36&gt;35,N17+M18-V17,IF(A18&lt;'Données projet'!$A$36,$K$205^A18,IF(A18='Données projet'!$A$36,'Données projet'!$B$36,N17+M18-V17)))</f>
        <v>12.134819576485119</v>
      </c>
      <c r="O18" s="13">
        <f>N18*VLOOKUP('Données projet'!$B$9,Paramètres!$A$1:$I$89,3,0)*VLOOKUP('Données projet'!$B$9,Paramètres!$A$1:$I$89,5,0)</f>
        <v>5.6790955617950356</v>
      </c>
      <c r="P18" s="13">
        <f t="shared" si="33"/>
        <v>2.1381252647550886</v>
      </c>
      <c r="Q18" s="20">
        <f t="shared" si="2"/>
        <v>13.614992939574798</v>
      </c>
      <c r="R18" s="59">
        <f t="shared" si="0"/>
        <v>306.9483262729081</v>
      </c>
      <c r="S18" s="59">
        <f ca="1">AVERAGE(OFFSET($R$3,0,0,'Données projet'!$E$9+1,1))-AVERAGE(OFFSET($H$3,0,0,'Données projet'!$E$9+1,1))</f>
        <v>164.93438869099657</v>
      </c>
      <c r="T18" s="59">
        <f t="shared" si="34"/>
        <v>112.28641356594233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356.36562801666247</v>
      </c>
      <c r="AN18" s="59">
        <f ca="1">AVERAGE(OFFSET($AM$3,0,0,'Données projet'!$E$10+1,1))-AVERAGE(OFFSET($H$3,0,0,'Données projet'!$E$10+1,1))</f>
        <v>273.81843612193632</v>
      </c>
      <c r="AO18" s="59">
        <f t="shared" si="36"/>
        <v>241.86405419073208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10.16068376068376</v>
      </c>
      <c r="BD18" s="12">
        <f>IF('Données projet'!$A$88&gt;35,BD17+BC18-BL17,IF(A18&lt;'Données projet'!$A$88,$BA$205^A18,IF(A18='Données projet'!$A$88,'Données projet'!$B$88,BD17+BC18-BL17)))</f>
        <v>76.764931457129379</v>
      </c>
      <c r="BE18" s="13">
        <f>BD18*VLOOKUP('Données projet'!$B$11,Paramètres!$A$1:$I$89,3,0)*VLOOKUP('Données projet'!$B$11,Paramètres!$A$1:$I$89,5,0)</f>
        <v>42.911596684535326</v>
      </c>
      <c r="BF18" s="13">
        <f t="shared" si="37"/>
        <v>12.767181932785956</v>
      </c>
      <c r="BG18" s="20">
        <f t="shared" si="7"/>
        <v>96.97387275850123</v>
      </c>
      <c r="BH18" s="59">
        <f t="shared" si="8"/>
        <v>390.30720609183453</v>
      </c>
      <c r="BI18" s="59">
        <f ca="1">AVERAGE(OFFSET($BH$3,0,0,'Données projet'!$E$11+1,1))-AVERAGE(OFFSET($H$3,0,0,'Données projet'!$E$11+1,1))</f>
        <v>271.42245454555501</v>
      </c>
      <c r="BJ18" s="59">
        <f t="shared" si="38"/>
        <v>362.63944425429077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168</v>
      </c>
      <c r="BW18" s="12">
        <f>VLOOKUP(A18,'Données projet'!$A$113:$I$133,9,0)</f>
        <v>24.333333333333332</v>
      </c>
      <c r="BX18" s="12">
        <f t="array" ref="BX18">INDEX(BW:BW,MIN(IF(ISNUMBER(BW18:BW214),ROW(BW18:BW214),"")))</f>
        <v>24.333333333333332</v>
      </c>
      <c r="BY18" s="12">
        <f>IF('Données projet'!$A$114&gt;35,BY17+BX18-CG17,IF(A18&lt;'Données projet'!$A$114,$BV$205^A18,IF(A18='Données projet'!$A$114,'Données projet'!$B$114,BY17+BX18-CG17)))</f>
        <v>168.00000000000003</v>
      </c>
      <c r="BZ18" s="13">
        <f>BY18*VLOOKUP('Données projet'!$B$12,Paramètres!$A$1:$I$89,3,0)*VLOOKUP('Données projet'!$B$12,Paramètres!$A$1:$I$89,5,0)</f>
        <v>91.728000000000009</v>
      </c>
      <c r="CA18" s="13">
        <f t="shared" si="39"/>
        <v>24.981514582386563</v>
      </c>
      <c r="CB18" s="20">
        <f t="shared" si="10"/>
        <v>203.26907123098991</v>
      </c>
      <c r="CC18" s="59">
        <f t="shared" si="11"/>
        <v>496.60240456432325</v>
      </c>
      <c r="CD18" s="59">
        <f ca="1">AVERAGE(OFFSET($CC$3,0,0,'Données projet'!$E$12+1,1))-AVERAGE(OFFSET($H$3,0,0,'Données projet'!$E$12+1,1))</f>
        <v>154.35821558431712</v>
      </c>
      <c r="CE18" s="59">
        <f t="shared" si="40"/>
        <v>263.86720460501306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47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0.48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22.131311444789212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22.131311444789212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9</v>
      </c>
      <c r="CR18" s="12">
        <f>VLOOKUP(A18,'Données projet'!$A$139:$I$159,9,0)</f>
        <v>0.6</v>
      </c>
      <c r="CS18" s="12">
        <f t="array" ref="CS18">INDEX(CR:CR,MIN(IF(ISNUMBER(CR18:CR214),ROW(CR18:CR214),"")))</f>
        <v>0.6</v>
      </c>
      <c r="CT18" s="12">
        <f>IF('Données projet'!$A$140&gt;35,CT17+CS18-DB17,IF(A18&lt;'Données projet'!$A$140,$CQ$205^A18,IF(A18='Données projet'!$A$140,'Données projet'!$B$140,CT17+CS18-DB17)))</f>
        <v>9</v>
      </c>
      <c r="CU18" s="17">
        <f>CT18*VLOOKUP('Données projet'!$B$13,Paramètres!$A$1:$I$89,3,0)*VLOOKUP('Données projet'!$B$13,Paramètres!$A$1:$I$89,5,0)</f>
        <v>7.1604000000000001</v>
      </c>
      <c r="CV18" s="13">
        <f t="shared" si="41"/>
        <v>2.624065364274125</v>
      </c>
      <c r="CW18" s="20">
        <f t="shared" si="13"/>
        <v>17.041277176110768</v>
      </c>
      <c r="CX18" s="59">
        <f t="shared" si="14"/>
        <v>310.3746105094441</v>
      </c>
      <c r="CY18" s="59">
        <f ca="1">AVERAGE(OFFSET($CX$3,0,0,'Données projet'!$E$13+1,1))-AVERAGE(OFFSET($H$3,0,0,'Données projet'!$E$13+1,1))</f>
        <v>157.25319335691853</v>
      </c>
      <c r="CZ18" s="59">
        <f t="shared" si="42"/>
        <v>159.50903492442171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60</v>
      </c>
      <c r="DM18" s="12">
        <f>VLOOKUP(A18,'Données projet'!$A$165:$I$185,9,0)</f>
        <v>7.4</v>
      </c>
      <c r="DN18" s="12">
        <f t="array" ref="DN18">INDEX(DM:DM,MIN(IF(ISNUMBER(DM18:DM214),ROW(DM18:DM214),"")))</f>
        <v>7.4</v>
      </c>
      <c r="DO18" s="12">
        <f>IF('Données projet'!$A$166&gt;35,DO17+DN18-DW17,IF(A18&lt;'Données projet'!$A$166,$DL$205^A18,IF(A18='Données projet'!$A$166,'Données projet'!$B$166,DO17+DN18-DW17)))</f>
        <v>59.999999999999993</v>
      </c>
      <c r="DP18" s="17">
        <f>DO18*VLOOKUP('Données projet'!$B$14,Paramètres!$A$1:$I$89,3,0)*VLOOKUP('Données projet'!$B$14,Paramètres!$A$1:$I$89,5,0)</f>
        <v>52.416000000000004</v>
      </c>
      <c r="DQ18" s="13">
        <f t="shared" si="43"/>
        <v>15.235978301273029</v>
      </c>
      <c r="DR18" s="20">
        <f t="shared" si="16"/>
        <v>117.82719554138386</v>
      </c>
      <c r="DS18" s="59">
        <f t="shared" si="17"/>
        <v>411.16052887471716</v>
      </c>
      <c r="DT18" s="59">
        <f ca="1">AVERAGE(OFFSET($DS$3,0,0,'Données projet'!$E$14+1,1))-AVERAGE(OFFSET($H$3,0,0,'Données projet'!$E$14+1,1))</f>
        <v>229.5312221178919</v>
      </c>
      <c r="DU18" s="59">
        <f t="shared" si="44"/>
        <v>218.1982095871906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2.9235042735042733</v>
      </c>
      <c r="EJ18" s="12">
        <f>IF('Données projet'!$A$192&gt;35,EJ17+EI18-ER17,IF(A18&lt;'Données projet'!$A$192,$EG$205^A18,IF(A18='Données projet'!$A$192,'Données projet'!$B$192,EJ17+EI18-ER17)))</f>
        <v>9.3651016121091022</v>
      </c>
      <c r="EK18" s="17">
        <f>EJ18*VLOOKUP('Données projet'!$B$15,Paramètres!$A$1:$I$89,3,0)*VLOOKUP('Données projet'!$B$15,Paramètres!$A$1:$I$89,5,0)</f>
        <v>8.4735439386363147</v>
      </c>
      <c r="EL18" s="13">
        <f t="shared" si="45"/>
        <v>3.045021578973337</v>
      </c>
      <c r="EM18" s="20">
        <f t="shared" si="19"/>
        <v>20.06150160983681</v>
      </c>
      <c r="EN18" s="59">
        <f t="shared" si="20"/>
        <v>313.39483494317011</v>
      </c>
      <c r="EO18" s="59">
        <f ca="1">AVERAGE(OFFSET($EN$3,0,0,'Données projet'!$E$15+1,1))-AVERAGE(OFFSET($H$3,0,0,'Données projet'!$E$15+1,1))</f>
        <v>204.39656982394689</v>
      </c>
      <c r="EP18" s="59">
        <f t="shared" si="46"/>
        <v>134.95704640904546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3.1262820512820513</v>
      </c>
      <c r="FE18" s="12">
        <f>IF('Données projet'!$A$218&gt;35,FE17+FD18-FM17,IF(A18&lt;'Données projet'!$A$218,$FB$205^A18,IF(A18='Données projet'!$A$218,'Données projet'!$B$218,FE17+FD18-FM17)))</f>
        <v>9.6844443071588504</v>
      </c>
      <c r="FF18" s="17">
        <f>FE18*VLOOKUP('Données projet'!$B$16,Paramètres!$A$1:$I$89,3,0)*VLOOKUP('Données projet'!$B$16,Paramètres!$A$1:$I$89,5,0)</f>
        <v>8.3092532155422951</v>
      </c>
      <c r="FG18" s="13">
        <f t="shared" si="47"/>
        <v>2.9927955029938897</v>
      </c>
      <c r="FH18" s="20">
        <f t="shared" si="22"/>
        <v>19.684401518117188</v>
      </c>
      <c r="FI18" s="59">
        <f t="shared" si="23"/>
        <v>313.01773485145048</v>
      </c>
      <c r="FJ18" s="59">
        <f ca="1">AVERAGE(OFFSET($FI$3,0,0,'Données projet'!$E$16+1,1))-AVERAGE(OFFSET($H$3,0,0,'Données projet'!$E$16+1,1))</f>
        <v>199.60585215726968</v>
      </c>
      <c r="FK18" s="59">
        <f t="shared" si="48"/>
        <v>137.37366750114404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4.9084615384615384</v>
      </c>
      <c r="N19" s="13">
        <f>IF('Données projet'!$A$36&gt;35,N18+M19-V18,IF(A19&lt;'Données projet'!$A$36,$K$205^A19,IF(A19='Données projet'!$A$36,'Données projet'!$B$36,N18+M19-V18)))</f>
        <v>14.331848602335111</v>
      </c>
      <c r="O19" s="13">
        <f>N19*VLOOKUP('Données projet'!$B$9,Paramètres!$A$1:$I$89,3,0)*VLOOKUP('Données projet'!$B$9,Paramètres!$A$1:$I$89,5,0)</f>
        <v>6.7073051458928319</v>
      </c>
      <c r="P19" s="13">
        <f t="shared" si="33"/>
        <v>2.4767942738506736</v>
      </c>
      <c r="Q19" s="20">
        <f t="shared" si="2"/>
        <v>15.995639822719939</v>
      </c>
      <c r="R19" s="59">
        <f t="shared" si="0"/>
        <v>309.32897315605328</v>
      </c>
      <c r="S19" s="59">
        <f ca="1">AVERAGE(OFFSET($R$3,0,0,'Données projet'!$E$9+1,1))-AVERAGE(OFFSET($H$3,0,0,'Données projet'!$E$9+1,1))</f>
        <v>164.93438869099657</v>
      </c>
      <c r="T19" s="59">
        <f t="shared" si="34"/>
        <v>112.28641356594233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374.13522393344454</v>
      </c>
      <c r="AN19" s="59">
        <f ca="1">AVERAGE(OFFSET($AM$3,0,0,'Données projet'!$E$10+1,1))-AVERAGE(OFFSET($H$3,0,0,'Données projet'!$E$10+1,1))</f>
        <v>273.81843612193632</v>
      </c>
      <c r="AO19" s="59">
        <f t="shared" si="36"/>
        <v>241.86405419073208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10.16068376068376</v>
      </c>
      <c r="BD19" s="12">
        <f>IF('Données projet'!$A$88&gt;35,BD18+BC19-BL18,IF(A19&lt;'Données projet'!$A$88,$BA$205^A19,IF(A19='Données projet'!$A$88,'Données projet'!$B$88,BD18+BC19-BL18)))</f>
        <v>102.52750545673157</v>
      </c>
      <c r="BE19" s="13">
        <f>BD19*VLOOKUP('Données projet'!$B$11,Paramètres!$A$1:$I$89,3,0)*VLOOKUP('Données projet'!$B$11,Paramètres!$A$1:$I$89,5,0)</f>
        <v>57.312875550312953</v>
      </c>
      <c r="BF19" s="13">
        <f t="shared" si="37"/>
        <v>16.487078574959277</v>
      </c>
      <c r="BG19" s="20">
        <f t="shared" si="7"/>
        <v>128.53492010151578</v>
      </c>
      <c r="BH19" s="59">
        <f t="shared" si="8"/>
        <v>421.86825343484907</v>
      </c>
      <c r="BI19" s="59">
        <f ca="1">AVERAGE(OFFSET($BH$3,0,0,'Données projet'!$E$11+1,1))-AVERAGE(OFFSET($H$3,0,0,'Données projet'!$E$11+1,1))</f>
        <v>271.42245454555501</v>
      </c>
      <c r="BJ19" s="59">
        <f t="shared" si="38"/>
        <v>362.63944425429077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21.333333333333332</v>
      </c>
      <c r="BY19" s="12">
        <f>IF('Données projet'!$A$114&gt;35,BY18+BX19-CG18,IF(A19&lt;'Données projet'!$A$114,$BV$205^A19,IF(A19='Données projet'!$A$114,'Données projet'!$B$114,BY18+BX19-CG18)))</f>
        <v>142.33333333333337</v>
      </c>
      <c r="BZ19" s="13">
        <f>BY19*VLOOKUP('Données projet'!$B$12,Paramètres!$A$1:$I$89,3,0)*VLOOKUP('Données projet'!$B$12,Paramètres!$A$1:$I$89,5,0)</f>
        <v>77.714000000000027</v>
      </c>
      <c r="CA19" s="13">
        <f t="shared" si="39"/>
        <v>21.577305655991772</v>
      </c>
      <c r="CB19" s="20">
        <f t="shared" si="10"/>
        <v>172.93235735085239</v>
      </c>
      <c r="CC19" s="59">
        <f t="shared" si="11"/>
        <v>466.2656906841857</v>
      </c>
      <c r="CD19" s="59">
        <f ca="1">AVERAGE(OFFSET($CC$3,0,0,'Données projet'!$E$12+1,1))-AVERAGE(OFFSET($H$3,0,0,'Données projet'!$E$12+1,1))</f>
        <v>154.35821558431712</v>
      </c>
      <c r="CE19" s="59">
        <f t="shared" si="40"/>
        <v>263.86720460501306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21.526129569496362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21.526129569496362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18.600000000000001</v>
      </c>
      <c r="CU19" s="17">
        <f>CT19*VLOOKUP('Données projet'!$B$13,Paramètres!$A$1:$I$89,3,0)*VLOOKUP('Données projet'!$B$13,Paramètres!$A$1:$I$89,5,0)</f>
        <v>14.798160000000001</v>
      </c>
      <c r="CV19" s="13">
        <f t="shared" si="41"/>
        <v>4.9836508114679425</v>
      </c>
      <c r="CW19" s="20">
        <f t="shared" si="13"/>
        <v>34.453320496639996</v>
      </c>
      <c r="CX19" s="59">
        <f t="shared" si="14"/>
        <v>327.78665382997332</v>
      </c>
      <c r="CY19" s="59">
        <f ca="1">AVERAGE(OFFSET($CX$3,0,0,'Données projet'!$E$13+1,1))-AVERAGE(OFFSET($H$3,0,0,'Données projet'!$E$13+1,1))</f>
        <v>157.25319335691853</v>
      </c>
      <c r="CZ19" s="59">
        <f t="shared" si="42"/>
        <v>159.50903492442171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69.599999999999994</v>
      </c>
      <c r="DP19" s="17">
        <f>DO19*VLOOKUP('Données projet'!$B$14,Paramètres!$A$1:$I$89,3,0)*VLOOKUP('Données projet'!$B$14,Paramètres!$A$1:$I$89,5,0)</f>
        <v>60.80256</v>
      </c>
      <c r="DQ19" s="13">
        <f t="shared" si="43"/>
        <v>17.371024177726472</v>
      </c>
      <c r="DR19" s="20">
        <f t="shared" si="16"/>
        <v>136.15232577620694</v>
      </c>
      <c r="DS19" s="59">
        <f t="shared" si="17"/>
        <v>429.48565910954028</v>
      </c>
      <c r="DT19" s="59">
        <f ca="1">AVERAGE(OFFSET($DS$3,0,0,'Données projet'!$E$14+1,1))-AVERAGE(OFFSET($H$3,0,0,'Données projet'!$E$14+1,1))</f>
        <v>229.5312221178919</v>
      </c>
      <c r="DU19" s="59">
        <f t="shared" si="44"/>
        <v>218.1982095871906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2.9235042735042733</v>
      </c>
      <c r="EJ19" s="12">
        <f>IF('Données projet'!$A$192&gt;35,EJ18+EI19-ER18,IF(A19&lt;'Données projet'!$A$192,$EG$205^A19,IF(A19='Données projet'!$A$192,'Données projet'!$B$192,EJ18+EI19-ER18)))</f>
        <v>10.87126277571476</v>
      </c>
      <c r="EK19" s="17">
        <f>EJ19*VLOOKUP('Données projet'!$B$15,Paramètres!$A$1:$I$89,3,0)*VLOOKUP('Données projet'!$B$15,Paramètres!$A$1:$I$89,5,0)</f>
        <v>9.8363185594667133</v>
      </c>
      <c r="EL19" s="13">
        <f t="shared" si="45"/>
        <v>3.4739129955724146</v>
      </c>
      <c r="EM19" s="20">
        <f t="shared" si="19"/>
        <v>23.181986625026479</v>
      </c>
      <c r="EN19" s="59">
        <f t="shared" si="20"/>
        <v>316.51531995835978</v>
      </c>
      <c r="EO19" s="59">
        <f ca="1">AVERAGE(OFFSET($EN$3,0,0,'Données projet'!$E$15+1,1))-AVERAGE(OFFSET($H$3,0,0,'Données projet'!$E$15+1,1))</f>
        <v>204.39656982394689</v>
      </c>
      <c r="EP19" s="59">
        <f t="shared" si="46"/>
        <v>134.95704640904546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3.1262820512820513</v>
      </c>
      <c r="FE19" s="12">
        <f>IF('Données projet'!$A$218&gt;35,FE18+FD19-FM18,IF(A19&lt;'Données projet'!$A$218,$FB$205^A19,IF(A19='Données projet'!$A$218,'Données projet'!$B$218,FE18+FD19-FM18)))</f>
        <v>11.2671225926114</v>
      </c>
      <c r="FF19" s="17">
        <f>FE19*VLOOKUP('Données projet'!$B$16,Paramètres!$A$1:$I$89,3,0)*VLOOKUP('Données projet'!$B$16,Paramètres!$A$1:$I$89,5,0)</f>
        <v>9.6671911844605827</v>
      </c>
      <c r="FG19" s="13">
        <f t="shared" si="47"/>
        <v>3.4210814698835499</v>
      </c>
      <c r="FH19" s="20">
        <f t="shared" si="22"/>
        <v>22.795408206316029</v>
      </c>
      <c r="FI19" s="59">
        <f t="shared" si="23"/>
        <v>316.12874153964935</v>
      </c>
      <c r="FJ19" s="59">
        <f ca="1">AVERAGE(OFFSET($FI$3,0,0,'Données projet'!$E$16+1,1))-AVERAGE(OFFSET($H$3,0,0,'Données projet'!$E$16+1,1))</f>
        <v>199.60585215726968</v>
      </c>
      <c r="FK19" s="59">
        <f t="shared" si="48"/>
        <v>137.37366750114404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4.9084615384615384</v>
      </c>
      <c r="N20" s="13">
        <f>IF('Données projet'!$A$36&gt;35,N19+M20-V19,IF(A20&lt;'Données projet'!$A$36,$K$205^A20,IF(A20='Données projet'!$A$36,'Données projet'!$B$36,N19+M20-V19)))</f>
        <v>16.926653343761537</v>
      </c>
      <c r="O20" s="13">
        <f>N20*VLOOKUP('Données projet'!$B$9,Paramètres!$A$1:$I$89,3,0)*VLOOKUP('Données projet'!$B$9,Paramètres!$A$1:$I$89,5,0)</f>
        <v>7.9216737648803992</v>
      </c>
      <c r="P20" s="13">
        <f t="shared" si="33"/>
        <v>2.8691068648319642</v>
      </c>
      <c r="Q20" s="20">
        <f t="shared" si="2"/>
        <v>18.793942930082366</v>
      </c>
      <c r="R20" s="59">
        <f t="shared" si="0"/>
        <v>312.12727626341569</v>
      </c>
      <c r="S20" s="59">
        <f ca="1">AVERAGE(OFFSET($R$3,0,0,'Données projet'!$E$9+1,1))-AVERAGE(OFFSET($H$3,0,0,'Données projet'!$E$9+1,1))</f>
        <v>164.93438869099657</v>
      </c>
      <c r="T20" s="59">
        <f t="shared" si="34"/>
        <v>112.28641356594233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396.93065741732249</v>
      </c>
      <c r="AN20" s="59">
        <f ca="1">AVERAGE(OFFSET($AM$3,0,0,'Données projet'!$E$10+1,1))-AVERAGE(OFFSET($H$3,0,0,'Données projet'!$E$10+1,1))</f>
        <v>273.81843612193632</v>
      </c>
      <c r="AO20" s="59">
        <f t="shared" si="36"/>
        <v>241.86405419073208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10.16068376068376</v>
      </c>
      <c r="BD20" s="12">
        <f>IF('Données projet'!$A$88&gt;35,BD19+BC20-BL19,IF(A20&lt;'Données projet'!$A$88,$BA$205^A20,IF(A20='Données projet'!$A$88,'Données projet'!$B$88,BD19+BC20-BL19)))</f>
        <v>136.93608755517039</v>
      </c>
      <c r="BE20" s="13">
        <f>BD20*VLOOKUP('Données projet'!$B$11,Paramètres!$A$1:$I$89,3,0)*VLOOKUP('Données projet'!$B$11,Paramètres!$A$1:$I$89,5,0)</f>
        <v>76.547272943340246</v>
      </c>
      <c r="BF20" s="13">
        <f t="shared" si="37"/>
        <v>21.290819020824138</v>
      </c>
      <c r="BG20" s="20">
        <f t="shared" si="7"/>
        <v>170.40134350425296</v>
      </c>
      <c r="BH20" s="59">
        <f t="shared" si="8"/>
        <v>463.73467683758628</v>
      </c>
      <c r="BI20" s="59">
        <f ca="1">AVERAGE(OFFSET($BH$3,0,0,'Données projet'!$E$11+1,1))-AVERAGE(OFFSET($H$3,0,0,'Données projet'!$E$11+1,1))</f>
        <v>271.42245454555501</v>
      </c>
      <c r="BJ20" s="59">
        <f t="shared" si="38"/>
        <v>362.63944425429077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21.333333333333332</v>
      </c>
      <c r="BY20" s="12">
        <f>IF('Données projet'!$A$114&gt;35,BY19+BX20-CG19,IF(A20&lt;'Données projet'!$A$114,$BV$205^A20,IF(A20='Données projet'!$A$114,'Données projet'!$B$114,BY19+BX20-CG19)))</f>
        <v>163.66666666666671</v>
      </c>
      <c r="BZ20" s="13">
        <f>BY20*VLOOKUP('Données projet'!$B$12,Paramètres!$A$1:$I$89,3,0)*VLOOKUP('Données projet'!$B$12,Paramètres!$A$1:$I$89,5,0)</f>
        <v>89.362000000000037</v>
      </c>
      <c r="CA20" s="13">
        <f t="shared" si="39"/>
        <v>24.411291106060958</v>
      </c>
      <c r="CB20" s="20">
        <f t="shared" si="10"/>
        <v>198.15514867638956</v>
      </c>
      <c r="CC20" s="59">
        <f t="shared" si="11"/>
        <v>491.48848200972287</v>
      </c>
      <c r="CD20" s="59">
        <f ca="1">AVERAGE(OFFSET($CC$3,0,0,'Données projet'!$E$12+1,1))-AVERAGE(OFFSET($H$3,0,0,'Données projet'!$E$12+1,1))</f>
        <v>154.35821558431712</v>
      </c>
      <c r="CE20" s="59">
        <f t="shared" si="40"/>
        <v>263.86720460501306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20.937496424408529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20.937496424408529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28.200000000000003</v>
      </c>
      <c r="CU20" s="17">
        <f>CT20*VLOOKUP('Données projet'!$B$13,Paramètres!$A$1:$I$89,3,0)*VLOOKUP('Données projet'!$B$13,Paramètres!$A$1:$I$89,5,0)</f>
        <v>22.435920000000003</v>
      </c>
      <c r="CV20" s="13">
        <f t="shared" si="41"/>
        <v>7.1985674727914821</v>
      </c>
      <c r="CW20" s="20">
        <f t="shared" si="13"/>
        <v>51.613399015111831</v>
      </c>
      <c r="CX20" s="59">
        <f t="shared" si="14"/>
        <v>344.94673234844515</v>
      </c>
      <c r="CY20" s="59">
        <f ca="1">AVERAGE(OFFSET($CX$3,0,0,'Données projet'!$E$13+1,1))-AVERAGE(OFFSET($H$3,0,0,'Données projet'!$E$13+1,1))</f>
        <v>157.25319335691853</v>
      </c>
      <c r="CZ20" s="59">
        <f t="shared" si="42"/>
        <v>159.50903492442171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79.199999999999989</v>
      </c>
      <c r="DP20" s="17">
        <f>DO20*VLOOKUP('Données projet'!$B$14,Paramètres!$A$1:$I$89,3,0)*VLOOKUP('Données projet'!$B$14,Paramètres!$A$1:$I$89,5,0)</f>
        <v>69.189120000000003</v>
      </c>
      <c r="DQ20" s="13">
        <f t="shared" si="43"/>
        <v>19.471951138068807</v>
      </c>
      <c r="DR20" s="20">
        <f t="shared" si="16"/>
        <v>154.41803223213648</v>
      </c>
      <c r="DS20" s="59">
        <f t="shared" si="17"/>
        <v>447.75136556546977</v>
      </c>
      <c r="DT20" s="59">
        <f ca="1">AVERAGE(OFFSET($DS$3,0,0,'Données projet'!$E$14+1,1))-AVERAGE(OFFSET($H$3,0,0,'Données projet'!$E$14+1,1))</f>
        <v>229.5312221178919</v>
      </c>
      <c r="DU20" s="59">
        <f t="shared" si="44"/>
        <v>218.1982095871906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2.9235042735042733</v>
      </c>
      <c r="EJ20" s="12">
        <f>IF('Données projet'!$A$192&gt;35,EJ19+EI20-ER19,IF(A20&lt;'Données projet'!$A$192,$EG$205^A20,IF(A20='Données projet'!$A$192,'Données projet'!$B$192,EJ19+EI20-ER19)))</f>
        <v>12.619655315413629</v>
      </c>
      <c r="EK20" s="17">
        <f>EJ20*VLOOKUP('Données projet'!$B$15,Paramètres!$A$1:$I$89,3,0)*VLOOKUP('Données projet'!$B$15,Paramètres!$A$1:$I$89,5,0)</f>
        <v>11.418264129386252</v>
      </c>
      <c r="EL20" s="13">
        <f t="shared" si="45"/>
        <v>3.9632137861156949</v>
      </c>
      <c r="EM20" s="20">
        <f t="shared" si="19"/>
        <v>26.789407369499227</v>
      </c>
      <c r="EN20" s="59">
        <f t="shared" si="20"/>
        <v>320.12274070283252</v>
      </c>
      <c r="EO20" s="59">
        <f ca="1">AVERAGE(OFFSET($EN$3,0,0,'Données projet'!$E$15+1,1))-AVERAGE(OFFSET($H$3,0,0,'Données projet'!$E$15+1,1))</f>
        <v>204.39656982394689</v>
      </c>
      <c r="EP20" s="59">
        <f t="shared" si="46"/>
        <v>134.95704640904546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3.1262820512820513</v>
      </c>
      <c r="FE20" s="12">
        <f>IF('Données projet'!$A$218&gt;35,FE19+FD20-FM19,IF(A20&lt;'Données projet'!$A$218,$FB$205^A20,IF(A20='Données projet'!$A$218,'Données projet'!$B$218,FE19+FD20-FM19)))</f>
        <v>13.108449745856127</v>
      </c>
      <c r="FF20" s="17">
        <f>FE20*VLOOKUP('Données projet'!$B$16,Paramètres!$A$1:$I$89,3,0)*VLOOKUP('Données projet'!$B$16,Paramètres!$A$1:$I$89,5,0)</f>
        <v>11.247049881944559</v>
      </c>
      <c r="FG20" s="13">
        <f t="shared" si="47"/>
        <v>3.9106575814727416</v>
      </c>
      <c r="FH20" s="20">
        <f t="shared" si="22"/>
        <v>26.399673832118463</v>
      </c>
      <c r="FI20" s="59">
        <f t="shared" si="23"/>
        <v>319.7330071654518</v>
      </c>
      <c r="FJ20" s="59">
        <f ca="1">AVERAGE(OFFSET($FI$3,0,0,'Données projet'!$E$16+1,1))-AVERAGE(OFFSET($H$3,0,0,'Données projet'!$E$16+1,1))</f>
        <v>199.60585215726968</v>
      </c>
      <c r="FK20" s="59">
        <f t="shared" si="48"/>
        <v>137.37366750114404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4.9084615384615384</v>
      </c>
      <c r="N21" s="13">
        <f>IF('Données projet'!$A$36&gt;35,N20+M21-V20,IF(A21&lt;'Données projet'!$A$36,$K$205^A21,IF(A21='Données projet'!$A$36,'Données projet'!$B$36,N20+M21-V20)))</f>
        <v>19.991251747746755</v>
      </c>
      <c r="O21" s="13">
        <f>N21*VLOOKUP('Données projet'!$B$9,Paramètres!$A$1:$I$89,3,0)*VLOOKUP('Données projet'!$B$9,Paramètres!$A$1:$I$89,5,0)</f>
        <v>9.3559058179454802</v>
      </c>
      <c r="P21" s="13">
        <f t="shared" si="33"/>
        <v>3.3235599293549551</v>
      </c>
      <c r="Q21" s="20">
        <f t="shared" si="2"/>
        <v>22.083402843214927</v>
      </c>
      <c r="R21" s="59">
        <f t="shared" si="0"/>
        <v>315.41673617654823</v>
      </c>
      <c r="S21" s="59">
        <f ca="1">AVERAGE(OFFSET($R$3,0,0,'Données projet'!$E$9+1,1))-AVERAGE(OFFSET($H$3,0,0,'Données projet'!$E$9+1,1))</f>
        <v>164.93438869099657</v>
      </c>
      <c r="T21" s="59">
        <f t="shared" si="34"/>
        <v>112.28641356594233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426.17767879021477</v>
      </c>
      <c r="AN21" s="59">
        <f ca="1">AVERAGE(OFFSET($AM$3,0,0,'Données projet'!$E$10+1,1))-AVERAGE(OFFSET($H$3,0,0,'Données projet'!$E$10+1,1))</f>
        <v>273.81843612193632</v>
      </c>
      <c r="AO21" s="59">
        <f t="shared" si="36"/>
        <v>241.86405419073208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182.89230769230767</v>
      </c>
      <c r="BB21" s="12">
        <f>VLOOKUP(A21,'Données projet'!$A$87:$I$107,9,0)</f>
        <v>10.16068376068376</v>
      </c>
      <c r="BC21" s="12">
        <f t="array" ref="BC21">INDEX(BB:BB,MIN(IF(ISNUMBER(BB21:BB217),ROW(BB21:BB217),"")))</f>
        <v>10.16068376068376</v>
      </c>
      <c r="BD21" s="12">
        <f>IF('Données projet'!$A$88&gt;35,BD20+BC21-BL20,IF(A21&lt;'Données projet'!$A$88,$BA$205^A21,IF(A21='Données projet'!$A$88,'Données projet'!$B$88,BD20+BC21-BL20)))</f>
        <v>182.89230769230767</v>
      </c>
      <c r="BE21" s="13">
        <f>BD21*VLOOKUP('Données projet'!$B$11,Paramètres!$A$1:$I$89,3,0)*VLOOKUP('Données projet'!$B$11,Paramètres!$A$1:$I$89,5,0)</f>
        <v>102.23679999999999</v>
      </c>
      <c r="BF21" s="13">
        <f t="shared" si="37"/>
        <v>27.494196289326943</v>
      </c>
      <c r="BG21" s="20">
        <f t="shared" si="7"/>
        <v>225.9481518705777</v>
      </c>
      <c r="BH21" s="59">
        <f t="shared" si="8"/>
        <v>519.28148520391096</v>
      </c>
      <c r="BI21" s="59">
        <f ca="1">AVERAGE(OFFSET($BH$3,0,0,'Données projet'!$E$11+1,1))-AVERAGE(OFFSET($H$3,0,0,'Données projet'!$E$11+1,1))</f>
        <v>271.42245454555501</v>
      </c>
      <c r="BJ21" s="59">
        <f t="shared" si="38"/>
        <v>362.63944425429077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69.284615384615378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0.30800000000000005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15.762109241455983</v>
      </c>
      <c r="BR21" s="21">
        <f>EXP(-LN(2)/2)*BR20+(1-EXP(-LN(2)/2))/(LN(2)/2)*BL21*BO21*VLOOKUP('Données projet'!$B$11,Paramètres!$A$1:$I$89,3,0)*0.475*44/12</f>
        <v>19.294646846829099</v>
      </c>
      <c r="BS21" s="22">
        <f t="shared" si="9"/>
        <v>35.056756088285084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>
        <f>VLOOKUP(A21,'Données projet'!$A$113:$I$133,2,0)</f>
        <v>185</v>
      </c>
      <c r="BW21" s="12">
        <f>VLOOKUP(A21,'Données projet'!$A$113:$I$133,9,0)</f>
        <v>21.333333333333332</v>
      </c>
      <c r="BX21" s="12">
        <f t="array" ref="BX21">INDEX(BW:BW,MIN(IF(ISNUMBER(BW21:BW217),ROW(BW21:BW217),"")))</f>
        <v>21.333333333333332</v>
      </c>
      <c r="BY21" s="12">
        <f>IF('Données projet'!$A$114&gt;35,BY20+BX21-CG20,IF(A21&lt;'Données projet'!$A$114,$BV$205^A21,IF(A21='Données projet'!$A$114,'Données projet'!$B$114,BY20+BX21-CG20)))</f>
        <v>185.00000000000006</v>
      </c>
      <c r="BZ21" s="13">
        <f>BY21*VLOOKUP('Données projet'!$B$12,Paramètres!$A$1:$I$89,3,0)*VLOOKUP('Données projet'!$B$12,Paramètres!$A$1:$I$89,5,0)</f>
        <v>101.01000000000002</v>
      </c>
      <c r="CA21" s="13">
        <f t="shared" si="39"/>
        <v>27.202475209169602</v>
      </c>
      <c r="CB21" s="20">
        <f t="shared" si="10"/>
        <v>223.30339432263705</v>
      </c>
      <c r="CC21" s="59">
        <f t="shared" si="11"/>
        <v>516.63672765597039</v>
      </c>
      <c r="CD21" s="59">
        <f ca="1">AVERAGE(OFFSET($CC$3,0,0,'Données projet'!$E$12+1,1))-AVERAGE(OFFSET($H$3,0,0,'Données projet'!$E$12+1,1))</f>
        <v>154.35821558431712</v>
      </c>
      <c r="CE21" s="59">
        <f t="shared" si="40"/>
        <v>263.86720460501306</v>
      </c>
      <c r="CF21" s="15">
        <f>IF(ISNA(VLOOKUP(A21,'Données projet'!$A$113:$I$133,3,0)),0,VLOOKUP(A21,'Données projet'!$A$113:$I$133,3,0))</f>
        <v>3</v>
      </c>
      <c r="CG21" s="15">
        <f>IF(ISNA(VLOOKUP(A21,'Données projet'!$A$113:$I$133,4,0)),0,VLOOKUP(A21,'Données projet'!$A$113:$I$133,4,0))</f>
        <v>61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0.48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41.489083737706416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41.489083737706416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37.800000000000004</v>
      </c>
      <c r="CU21" s="17">
        <f>CT21*VLOOKUP('Données projet'!$B$13,Paramètres!$A$1:$I$89,3,0)*VLOOKUP('Données projet'!$B$13,Paramètres!$A$1:$I$89,5,0)</f>
        <v>30.073680000000003</v>
      </c>
      <c r="CV21" s="13">
        <f t="shared" si="41"/>
        <v>9.3256201513302699</v>
      </c>
      <c r="CW21" s="20">
        <f t="shared" si="13"/>
        <v>68.620447763566887</v>
      </c>
      <c r="CX21" s="59">
        <f t="shared" si="14"/>
        <v>361.95378109690023</v>
      </c>
      <c r="CY21" s="59">
        <f ca="1">AVERAGE(OFFSET($CX$3,0,0,'Données projet'!$E$13+1,1))-AVERAGE(OFFSET($H$3,0,0,'Données projet'!$E$13+1,1))</f>
        <v>157.25319335691853</v>
      </c>
      <c r="CZ21" s="59">
        <f t="shared" si="42"/>
        <v>159.50903492442171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88.799999999999983</v>
      </c>
      <c r="DP21" s="17">
        <f>DO21*VLOOKUP('Données projet'!$B$14,Paramètres!$A$1:$I$89,3,0)*VLOOKUP('Données projet'!$B$14,Paramètres!$A$1:$I$89,5,0)</f>
        <v>77.575679999999991</v>
      </c>
      <c r="DQ21" s="13">
        <f t="shared" si="43"/>
        <v>21.543367858551072</v>
      </c>
      <c r="DR21" s="20">
        <f t="shared" si="16"/>
        <v>172.63234168697639</v>
      </c>
      <c r="DS21" s="59">
        <f t="shared" si="17"/>
        <v>465.96567502030973</v>
      </c>
      <c r="DT21" s="59">
        <f ca="1">AVERAGE(OFFSET($DS$3,0,0,'Données projet'!$E$14+1,1))-AVERAGE(OFFSET($H$3,0,0,'Données projet'!$E$14+1,1))</f>
        <v>229.5312221178919</v>
      </c>
      <c r="DU21" s="59">
        <f t="shared" si="44"/>
        <v>218.1982095871906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2.9235042735042733</v>
      </c>
      <c r="EJ21" s="12">
        <f>IF('Données projet'!$A$192&gt;35,EJ20+EI21-ER20,IF(A21&lt;'Données projet'!$A$192,$EG$205^A21,IF(A21='Données projet'!$A$192,'Données projet'!$B$192,EJ20+EI21-ER20)))</f>
        <v>14.649236575865659</v>
      </c>
      <c r="EK21" s="17">
        <f>EJ21*VLOOKUP('Données projet'!$B$15,Paramètres!$A$1:$I$89,3,0)*VLOOKUP('Données projet'!$B$15,Paramètres!$A$1:$I$89,5,0)</f>
        <v>13.254629253843246</v>
      </c>
      <c r="EL21" s="13">
        <f t="shared" si="45"/>
        <v>4.5214326134467182</v>
      </c>
      <c r="EM21" s="20">
        <f t="shared" si="19"/>
        <v>30.959974418863357</v>
      </c>
      <c r="EN21" s="59">
        <f t="shared" si="20"/>
        <v>324.29330775219665</v>
      </c>
      <c r="EO21" s="59">
        <f ca="1">AVERAGE(OFFSET($EN$3,0,0,'Données projet'!$E$15+1,1))-AVERAGE(OFFSET($H$3,0,0,'Données projet'!$E$15+1,1))</f>
        <v>204.39656982394689</v>
      </c>
      <c r="EP21" s="59">
        <f t="shared" si="46"/>
        <v>134.95704640904546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3.1262820512820513</v>
      </c>
      <c r="FE21" s="12">
        <f>IF('Données projet'!$A$218&gt;35,FE20+FD21-FM20,IF(A21&lt;'Données projet'!$A$218,$FB$205^A21,IF(A21='Données projet'!$A$218,'Données projet'!$B$218,FE20+FD21-FM20)))</f>
        <v>15.250695404017069</v>
      </c>
      <c r="FF21" s="17">
        <f>FE21*VLOOKUP('Données projet'!$B$16,Paramètres!$A$1:$I$89,3,0)*VLOOKUP('Données projet'!$B$16,Paramètres!$A$1:$I$89,5,0)</f>
        <v>13.085096656646648</v>
      </c>
      <c r="FG21" s="13">
        <f t="shared" si="47"/>
        <v>4.4702948041897441</v>
      </c>
      <c r="FH21" s="20">
        <f t="shared" si="22"/>
        <v>30.575640127623384</v>
      </c>
      <c r="FI21" s="59">
        <f t="shared" si="23"/>
        <v>323.9089734609567</v>
      </c>
      <c r="FJ21" s="59">
        <f ca="1">AVERAGE(OFFSET($FI$3,0,0,'Données projet'!$E$16+1,1))-AVERAGE(OFFSET($H$3,0,0,'Données projet'!$E$16+1,1))</f>
        <v>199.60585215726968</v>
      </c>
      <c r="FK21" s="59">
        <f t="shared" si="48"/>
        <v>137.37366750114404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4.9084615384615384</v>
      </c>
      <c r="N22" s="13">
        <f>IF('Données projet'!$A$36&gt;35,N21+M22-V21,IF(A22&lt;'Données projet'!$A$36,$K$205^A22,IF(A22='Données projet'!$A$36,'Données projet'!$B$36,N21+M22-V21)))</f>
        <v>23.610700728923604</v>
      </c>
      <c r="O22" s="13">
        <f>N22*VLOOKUP('Données projet'!$B$9,Paramètres!$A$1:$I$89,3,0)*VLOOKUP('Données projet'!$B$9,Paramètres!$A$1:$I$89,5,0)</f>
        <v>11.049807941136248</v>
      </c>
      <c r="P22" s="13">
        <f t="shared" si="33"/>
        <v>3.8499962268435248</v>
      </c>
      <c r="Q22" s="20">
        <f t="shared" si="2"/>
        <v>25.950492259231435</v>
      </c>
      <c r="R22" s="59">
        <f t="shared" si="0"/>
        <v>319.28382559256477</v>
      </c>
      <c r="S22" s="59">
        <f ca="1">AVERAGE(OFFSET($R$3,0,0,'Données projet'!$E$9+1,1))-AVERAGE(OFFSET($H$3,0,0,'Données projet'!$E$9+1,1))</f>
        <v>164.93438869099657</v>
      </c>
      <c r="T22" s="59">
        <f t="shared" si="34"/>
        <v>112.28641356594233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463.70761417047311</v>
      </c>
      <c r="AN22" s="59">
        <f ca="1">AVERAGE(OFFSET($AM$3,0,0,'Données projet'!$E$10+1,1))-AVERAGE(OFFSET($H$3,0,0,'Données projet'!$E$10+1,1))</f>
        <v>273.81843612193632</v>
      </c>
      <c r="AO22" s="59">
        <f t="shared" si="36"/>
        <v>241.86405419073208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20.658974358974358</v>
      </c>
      <c r="BD22" s="12">
        <f>IF('Données projet'!$A$88&gt;35,BD21+BC22-BL21,IF(A22&lt;'Données projet'!$A$88,$BA$205^A22,IF(A22='Données projet'!$A$88,'Données projet'!$B$88,BD21+BC22-BL21)))</f>
        <v>134.26666666666665</v>
      </c>
      <c r="BE22" s="13">
        <f>BD22*VLOOKUP('Données projet'!$B$11,Paramètres!$A$1:$I$89,3,0)*VLOOKUP('Données projet'!$B$11,Paramètres!$A$1:$I$89,5,0)</f>
        <v>75.055066666666661</v>
      </c>
      <c r="BF22" s="13">
        <f t="shared" si="37"/>
        <v>20.923669242672773</v>
      </c>
      <c r="BG22" s="20">
        <f t="shared" si="7"/>
        <v>167.1629650420995</v>
      </c>
      <c r="BH22" s="59">
        <f t="shared" si="8"/>
        <v>460.49629837543284</v>
      </c>
      <c r="BI22" s="59">
        <f ca="1">AVERAGE(OFFSET($BH$3,0,0,'Données projet'!$E$11+1,1))-AVERAGE(OFFSET($H$3,0,0,'Données projet'!$E$11+1,1))</f>
        <v>271.42245454555501</v>
      </c>
      <c r="BJ22" s="59">
        <f t="shared" si="38"/>
        <v>362.63944425429077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15.33109353535507</v>
      </c>
      <c r="BR22" s="21">
        <f>EXP(-LN(2)/2)*BR21+(1-EXP(-LN(2)/2))/(LN(2)/2)*BL22*BO22*VLOOKUP('Données projet'!$B$11,Paramètres!$A$1:$I$89,3,0)*0.475*44/12</f>
        <v>13.643375625992494</v>
      </c>
      <c r="BS22" s="22">
        <f t="shared" si="9"/>
        <v>28.974469161347564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19.166666666666668</v>
      </c>
      <c r="BY22" s="12">
        <f>IF('Données projet'!$A$114&gt;35,BY21+BX22-CG21,IF(A22&lt;'Données projet'!$A$114,$BV$205^A22,IF(A22='Données projet'!$A$114,'Données projet'!$B$114,BY21+BX22-CG21)))</f>
        <v>143.16666666666671</v>
      </c>
      <c r="BZ22" s="13">
        <f>BY22*VLOOKUP('Données projet'!$B$12,Paramètres!$A$1:$I$89,3,0)*VLOOKUP('Données projet'!$B$12,Paramètres!$A$1:$I$89,5,0)</f>
        <v>78.169000000000025</v>
      </c>
      <c r="CA22" s="13">
        <f t="shared" si="39"/>
        <v>21.688893622970639</v>
      </c>
      <c r="CB22" s="20">
        <f t="shared" si="10"/>
        <v>173.9191647266739</v>
      </c>
      <c r="CC22" s="59">
        <f t="shared" si="11"/>
        <v>467.25249806000721</v>
      </c>
      <c r="CD22" s="59">
        <f ca="1">AVERAGE(OFFSET($CC$3,0,0,'Données projet'!$E$12+1,1))-AVERAGE(OFFSET($H$3,0,0,'Données projet'!$E$12+1,1))</f>
        <v>154.35821558431712</v>
      </c>
      <c r="CE22" s="59">
        <f t="shared" si="40"/>
        <v>263.86720460501306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40.354562561082744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40.354562561082744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47.400000000000006</v>
      </c>
      <c r="CU22" s="17">
        <f>CT22*VLOOKUP('Données projet'!$B$13,Paramètres!$A$1:$I$89,3,0)*VLOOKUP('Données projet'!$B$13,Paramètres!$A$1:$I$89,5,0)</f>
        <v>37.711440000000003</v>
      </c>
      <c r="CV22" s="13">
        <f t="shared" si="41"/>
        <v>11.389999638070119</v>
      </c>
      <c r="CW22" s="20">
        <f t="shared" si="13"/>
        <v>85.518340702972125</v>
      </c>
      <c r="CX22" s="59">
        <f t="shared" si="14"/>
        <v>378.85167403630544</v>
      </c>
      <c r="CY22" s="59">
        <f ca="1">AVERAGE(OFFSET($CX$3,0,0,'Données projet'!$E$13+1,1))-AVERAGE(OFFSET($H$3,0,0,'Données projet'!$E$13+1,1))</f>
        <v>157.25319335691853</v>
      </c>
      <c r="CZ22" s="59">
        <f t="shared" si="42"/>
        <v>159.50903492442171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98.399999999999977</v>
      </c>
      <c r="DP22" s="17">
        <f>DO22*VLOOKUP('Données projet'!$B$14,Paramètres!$A$1:$I$89,3,0)*VLOOKUP('Données projet'!$B$14,Paramètres!$A$1:$I$89,5,0)</f>
        <v>85.962239999999994</v>
      </c>
      <c r="DQ22" s="13">
        <f t="shared" si="43"/>
        <v>23.588828321049387</v>
      </c>
      <c r="DR22" s="20">
        <f t="shared" si="16"/>
        <v>190.80144399249434</v>
      </c>
      <c r="DS22" s="59">
        <f t="shared" si="17"/>
        <v>484.13477732582766</v>
      </c>
      <c r="DT22" s="59">
        <f ca="1">AVERAGE(OFFSET($DS$3,0,0,'Données projet'!$E$14+1,1))-AVERAGE(OFFSET($H$3,0,0,'Données projet'!$E$14+1,1))</f>
        <v>229.5312221178919</v>
      </c>
      <c r="DU22" s="59">
        <f t="shared" si="44"/>
        <v>218.1982095871906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2.9235042735042733</v>
      </c>
      <c r="EJ22" s="12">
        <f>IF('Données projet'!$A$192&gt;35,EJ21+EI22-ER21,IF(A22&lt;'Données projet'!$A$192,$EG$205^A22,IF(A22='Données projet'!$A$192,'Données projet'!$B$192,EJ21+EI22-ER21)))</f>
        <v>17.005229294461625</v>
      </c>
      <c r="EK22" s="17">
        <f>EJ22*VLOOKUP('Données projet'!$B$15,Paramètres!$A$1:$I$89,3,0)*VLOOKUP('Données projet'!$B$15,Paramètres!$A$1:$I$89,5,0)</f>
        <v>15.386331465628878</v>
      </c>
      <c r="EL22" s="13">
        <f t="shared" si="45"/>
        <v>5.1582765859259734</v>
      </c>
      <c r="EM22" s="20">
        <f t="shared" si="19"/>
        <v>35.781859023124703</v>
      </c>
      <c r="EN22" s="59">
        <f t="shared" si="20"/>
        <v>329.11519235645801</v>
      </c>
      <c r="EO22" s="59">
        <f ca="1">AVERAGE(OFFSET($EN$3,0,0,'Données projet'!$E$15+1,1))-AVERAGE(OFFSET($H$3,0,0,'Données projet'!$E$15+1,1))</f>
        <v>204.39656982394689</v>
      </c>
      <c r="EP22" s="59">
        <f t="shared" si="46"/>
        <v>134.95704640904546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3.1262820512820513</v>
      </c>
      <c r="FE22" s="12">
        <f>IF('Données projet'!$A$218&gt;35,FE21+FD22-FM21,IF(A22&lt;'Données projet'!$A$218,$FB$205^A22,IF(A22='Données projet'!$A$218,'Données projet'!$B$218,FE21+FD22-FM21)))</f>
        <v>17.743037110824812</v>
      </c>
      <c r="FF22" s="17">
        <f>FE22*VLOOKUP('Données projet'!$B$16,Paramètres!$A$1:$I$89,3,0)*VLOOKUP('Données projet'!$B$16,Paramètres!$A$1:$I$89,5,0)</f>
        <v>15.223525841087689</v>
      </c>
      <c r="FG22" s="13">
        <f t="shared" si="47"/>
        <v>5.1100192793765569</v>
      </c>
      <c r="FH22" s="20">
        <f t="shared" si="22"/>
        <v>35.414257751475219</v>
      </c>
      <c r="FI22" s="59">
        <f t="shared" si="23"/>
        <v>328.74759108480851</v>
      </c>
      <c r="FJ22" s="59">
        <f ca="1">AVERAGE(OFFSET($FI$3,0,0,'Données projet'!$E$16+1,1))-AVERAGE(OFFSET($H$3,0,0,'Données projet'!$E$16+1,1))</f>
        <v>199.60585215726968</v>
      </c>
      <c r="FK22" s="59">
        <f t="shared" si="48"/>
        <v>137.37366750114404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4.9084615384615384</v>
      </c>
      <c r="N23" s="13">
        <f>IF('Données projet'!$A$36&gt;35,N22+M23-V22,IF(A23&lt;'Données projet'!$A$36,$K$205^A23,IF(A23='Données projet'!$A$36,'Données projet'!$B$36,N22+M23-V22)))</f>
        <v>27.885456896095882</v>
      </c>
      <c r="O23" s="13">
        <f>N23*VLOOKUP('Données projet'!$B$9,Paramètres!$A$1:$I$89,3,0)*VLOOKUP('Données projet'!$B$9,Paramètres!$A$1:$I$89,5,0)</f>
        <v>13.050393827372874</v>
      </c>
      <c r="P23" s="13">
        <f t="shared" si="33"/>
        <v>4.459817563628576</v>
      </c>
      <c r="Q23" s="20">
        <f t="shared" si="2"/>
        <v>30.49695150599419</v>
      </c>
      <c r="R23" s="59">
        <f t="shared" si="0"/>
        <v>323.83028483932753</v>
      </c>
      <c r="S23" s="59">
        <f ca="1">AVERAGE(OFFSET($R$3,0,0,'Données projet'!$E$9+1,1))-AVERAGE(OFFSET($H$3,0,0,'Données projet'!$E$9+1,1))</f>
        <v>164.93438869099657</v>
      </c>
      <c r="T23" s="59">
        <f t="shared" si="34"/>
        <v>112.28641356594233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423.57293470145942</v>
      </c>
      <c r="AN23" s="59">
        <f ca="1">AVERAGE(OFFSET($AM$3,0,0,'Données projet'!$E$10+1,1))-AVERAGE(OFFSET($H$3,0,0,'Données projet'!$E$10+1,1))</f>
        <v>273.81843612193632</v>
      </c>
      <c r="AO23" s="59">
        <f t="shared" si="36"/>
        <v>241.86405419073208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20.658974358974358</v>
      </c>
      <c r="BD23" s="12">
        <f>IF('Données projet'!$A$88&gt;35,BD22+BC23-BL22,IF(A23&lt;'Données projet'!$A$88,$BA$205^A23,IF(A23='Données projet'!$A$88,'Données projet'!$B$88,BD22+BC23-BL22)))</f>
        <v>154.925641025641</v>
      </c>
      <c r="BE23" s="13">
        <f>BD23*VLOOKUP('Données projet'!$B$11,Paramètres!$A$1:$I$89,3,0)*VLOOKUP('Données projet'!$B$11,Paramètres!$A$1:$I$89,5,0)</f>
        <v>86.603433333333314</v>
      </c>
      <c r="BF23" s="13">
        <f t="shared" si="37"/>
        <v>23.744229853900279</v>
      </c>
      <c r="BG23" s="20">
        <f t="shared" si="7"/>
        <v>192.18884671776516</v>
      </c>
      <c r="BH23" s="59">
        <f t="shared" si="8"/>
        <v>485.52218005109847</v>
      </c>
      <c r="BI23" s="59">
        <f ca="1">AVERAGE(OFFSET($BH$3,0,0,'Données projet'!$E$11+1,1))-AVERAGE(OFFSET($H$3,0,0,'Données projet'!$E$11+1,1))</f>
        <v>271.42245454555501</v>
      </c>
      <c r="BJ23" s="59">
        <f t="shared" si="38"/>
        <v>362.63944425429077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14.911863976403616</v>
      </c>
      <c r="BR23" s="21">
        <f>EXP(-LN(2)/2)*BR22+(1-EXP(-LN(2)/2))/(LN(2)/2)*BL23*BO23*VLOOKUP('Données projet'!$B$11,Paramètres!$A$1:$I$89,3,0)*0.475*44/12</f>
        <v>9.6473234234145515</v>
      </c>
      <c r="BS23" s="22">
        <f t="shared" si="9"/>
        <v>24.559187399818168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19.166666666666668</v>
      </c>
      <c r="BY23" s="12">
        <f>IF('Données projet'!$A$114&gt;35,BY22+BX23-CG22,IF(A23&lt;'Données projet'!$A$114,$BV$205^A23,IF(A23='Données projet'!$A$114,'Données projet'!$B$114,BY22+BX23-CG22)))</f>
        <v>162.33333333333337</v>
      </c>
      <c r="BZ23" s="13">
        <f>BY23*VLOOKUP('Données projet'!$B$12,Paramètres!$A$1:$I$89,3,0)*VLOOKUP('Données projet'!$B$12,Paramètres!$A$1:$I$89,5,0)</f>
        <v>88.634000000000015</v>
      </c>
      <c r="CA23" s="13">
        <f t="shared" si="39"/>
        <v>24.235486014796273</v>
      </c>
      <c r="CB23" s="20">
        <f t="shared" si="10"/>
        <v>196.58102147577017</v>
      </c>
      <c r="CC23" s="59">
        <f t="shared" si="11"/>
        <v>489.91435480910349</v>
      </c>
      <c r="CD23" s="59">
        <f ca="1">AVERAGE(OFFSET($CC$3,0,0,'Données projet'!$E$12+1,1))-AVERAGE(OFFSET($H$3,0,0,'Données projet'!$E$12+1,1))</f>
        <v>154.35821558431712</v>
      </c>
      <c r="CE23" s="59">
        <f t="shared" si="40"/>
        <v>263.86720460501306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39.251064925695722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39.251064925695722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57.000000000000007</v>
      </c>
      <c r="CU23" s="17">
        <f>CT23*VLOOKUP('Données projet'!$B$13,Paramètres!$A$1:$I$89,3,0)*VLOOKUP('Données projet'!$B$13,Paramètres!$A$1:$I$89,5,0)</f>
        <v>45.34920000000001</v>
      </c>
      <c r="CV23" s="13">
        <f t="shared" si="41"/>
        <v>13.405931317559235</v>
      </c>
      <c r="CW23" s="20">
        <f t="shared" si="13"/>
        <v>102.33185371141569</v>
      </c>
      <c r="CX23" s="59">
        <f t="shared" si="14"/>
        <v>395.66518704474902</v>
      </c>
      <c r="CY23" s="59">
        <f ca="1">AVERAGE(OFFSET($CX$3,0,0,'Données projet'!$E$13+1,1))-AVERAGE(OFFSET($H$3,0,0,'Données projet'!$E$13+1,1))</f>
        <v>157.25319335691853</v>
      </c>
      <c r="CZ23" s="59">
        <f t="shared" si="42"/>
        <v>159.50903492442171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108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107.99999999999997</v>
      </c>
      <c r="DP23" s="17">
        <f>DO23*VLOOKUP('Données projet'!$B$14,Paramètres!$A$1:$I$89,3,0)*VLOOKUP('Données projet'!$B$14,Paramètres!$A$1:$I$89,5,0)</f>
        <v>94.348799999999983</v>
      </c>
      <c r="DQ23" s="13">
        <f t="shared" si="43"/>
        <v>25.611153022386461</v>
      </c>
      <c r="DR23" s="20">
        <f t="shared" si="16"/>
        <v>208.9302515139897</v>
      </c>
      <c r="DS23" s="59">
        <f t="shared" si="17"/>
        <v>502.26358484732305</v>
      </c>
      <c r="DT23" s="59">
        <f ca="1">AVERAGE(OFFSET($DS$3,0,0,'Données projet'!$E$14+1,1))-AVERAGE(OFFSET($H$3,0,0,'Données projet'!$E$14+1,1))</f>
        <v>229.5312221178919</v>
      </c>
      <c r="DU23" s="59">
        <f t="shared" si="44"/>
        <v>218.1982095871906</v>
      </c>
      <c r="DV23" s="15">
        <f>IF(ISNA(VLOOKUP(A23,'Données projet'!$A$165:$I$185,3,0)),0,VLOOKUP(A23,'Données projet'!$A$165:$I$185,3,0))</f>
        <v>1</v>
      </c>
      <c r="DW23" s="15" t="str">
        <f>IF(ISNA(VLOOKUP(A23,'Données projet'!$A$165:$I$185,4,0)),0,VLOOKUP(A23,'Données projet'!$A$165:$I$185,4,0))</f>
        <v>41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2.9235042735042733</v>
      </c>
      <c r="EJ23" s="12">
        <f>IF('Données projet'!$A$192&gt;35,EJ22+EI23-ER22,IF(A23&lt;'Données projet'!$A$192,$EG$205^A23,IF(A23='Données projet'!$A$192,'Données projet'!$B$192,EJ22+EI23-ER22)))</f>
        <v>19.740129245617538</v>
      </c>
      <c r="EK23" s="17">
        <f>EJ23*VLOOKUP('Données projet'!$B$15,Paramètres!$A$1:$I$89,3,0)*VLOOKUP('Données projet'!$B$15,Paramètres!$A$1:$I$89,5,0)</f>
        <v>17.860868941434749</v>
      </c>
      <c r="EL23" s="13">
        <f t="shared" si="45"/>
        <v>5.8848200585320249</v>
      </c>
      <c r="EM23" s="20">
        <f t="shared" si="19"/>
        <v>41.357075008275459</v>
      </c>
      <c r="EN23" s="59">
        <f t="shared" si="20"/>
        <v>334.69040834160876</v>
      </c>
      <c r="EO23" s="59">
        <f ca="1">AVERAGE(OFFSET($EN$3,0,0,'Données projet'!$E$15+1,1))-AVERAGE(OFFSET($H$3,0,0,'Données projet'!$E$15+1,1))</f>
        <v>204.39656982394689</v>
      </c>
      <c r="EP23" s="59">
        <f t="shared" si="46"/>
        <v>134.95704640904546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3.1262820512820513</v>
      </c>
      <c r="FE23" s="12">
        <f>IF('Données projet'!$A$218&gt;35,FE22+FD23-FM22,IF(A23&lt;'Données projet'!$A$218,$FB$205^A23,IF(A23='Données projet'!$A$218,'Données projet'!$B$218,FE22+FD23-FM22)))</f>
        <v>20.642689239808924</v>
      </c>
      <c r="FF23" s="17">
        <f>FE23*VLOOKUP('Données projet'!$B$16,Paramètres!$A$1:$I$89,3,0)*VLOOKUP('Données projet'!$B$16,Paramètres!$A$1:$I$89,5,0)</f>
        <v>17.711427367756059</v>
      </c>
      <c r="FG23" s="13">
        <f t="shared" si="47"/>
        <v>5.841291945919675</v>
      </c>
      <c r="FH23" s="20">
        <f t="shared" si="22"/>
        <v>41.020986137985233</v>
      </c>
      <c r="FI23" s="59">
        <f t="shared" si="23"/>
        <v>334.35431947131855</v>
      </c>
      <c r="FJ23" s="59">
        <f ca="1">AVERAGE(OFFSET($FI$3,0,0,'Données projet'!$E$16+1,1))-AVERAGE(OFFSET($H$3,0,0,'Données projet'!$E$16+1,1))</f>
        <v>199.60585215726968</v>
      </c>
      <c r="FK23" s="59">
        <f t="shared" si="48"/>
        <v>137.37366750114404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4.9084615384615384</v>
      </c>
      <c r="N24" s="13">
        <f>IF('Données projet'!$A$36&gt;35,N23+M24-V23,IF(A24&lt;'Données projet'!$A$36,$K$205^A24,IF(A24='Données projet'!$A$36,'Données projet'!$B$36,N23+M24-V23)))</f>
        <v>32.934164692174789</v>
      </c>
      <c r="O24" s="13">
        <f>N24*VLOOKUP('Données projet'!$B$9,Paramètres!$A$1:$I$89,3,0)*VLOOKUP('Données projet'!$B$9,Paramètres!$A$1:$I$89,5,0)</f>
        <v>15.413189075937803</v>
      </c>
      <c r="P24" s="13">
        <f t="shared" si="33"/>
        <v>5.166231738662507</v>
      </c>
      <c r="Q24" s="20">
        <f t="shared" si="2"/>
        <v>35.842491252095542</v>
      </c>
      <c r="R24" s="59">
        <f t="shared" si="0"/>
        <v>329.17582458542887</v>
      </c>
      <c r="S24" s="59">
        <f ca="1">AVERAGE(OFFSET($R$3,0,0,'Données projet'!$E$9+1,1))-AVERAGE(OFFSET($H$3,0,0,'Données projet'!$E$9+1,1))</f>
        <v>164.93438869099657</v>
      </c>
      <c r="T24" s="59">
        <f t="shared" si="34"/>
        <v>112.28641356594233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444.03769910908363</v>
      </c>
      <c r="AN24" s="59">
        <f ca="1">AVERAGE(OFFSET($AM$3,0,0,'Données projet'!$E$10+1,1))-AVERAGE(OFFSET($H$3,0,0,'Données projet'!$E$10+1,1))</f>
        <v>273.81843612193632</v>
      </c>
      <c r="AO24" s="59">
        <f t="shared" si="36"/>
        <v>241.86405419073208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20.658974358974358</v>
      </c>
      <c r="BD24" s="12">
        <f>IF('Données projet'!$A$88&gt;35,BD23+BC24-BL23,IF(A24&lt;'Données projet'!$A$88,$BA$205^A24,IF(A24='Données projet'!$A$88,'Données projet'!$B$88,BD23+BC24-BL23)))</f>
        <v>175.58461538461535</v>
      </c>
      <c r="BE24" s="13">
        <f>BD24*VLOOKUP('Données projet'!$B$11,Paramètres!$A$1:$I$89,3,0)*VLOOKUP('Données projet'!$B$11,Paramètres!$A$1:$I$89,5,0)</f>
        <v>98.15179999999998</v>
      </c>
      <c r="BF24" s="13">
        <f t="shared" si="37"/>
        <v>26.52121247620833</v>
      </c>
      <c r="BG24" s="20">
        <f t="shared" si="7"/>
        <v>217.13883006272945</v>
      </c>
      <c r="BH24" s="59">
        <f t="shared" si="8"/>
        <v>510.4721633960628</v>
      </c>
      <c r="BI24" s="59">
        <f ca="1">AVERAGE(OFFSET($BH$3,0,0,'Données projet'!$E$11+1,1))-AVERAGE(OFFSET($H$3,0,0,'Données projet'!$E$11+1,1))</f>
        <v>271.42245454555501</v>
      </c>
      <c r="BJ24" s="59">
        <f t="shared" si="38"/>
        <v>362.63944425429077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14.504098271788013</v>
      </c>
      <c r="BR24" s="21">
        <f>EXP(-LN(2)/2)*BR23+(1-EXP(-LN(2)/2))/(LN(2)/2)*BL24*BO24*VLOOKUP('Données projet'!$B$11,Paramètres!$A$1:$I$89,3,0)*0.475*44/12</f>
        <v>6.8216878129962479</v>
      </c>
      <c r="BS24" s="22">
        <f t="shared" si="9"/>
        <v>21.325786084784262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19.166666666666668</v>
      </c>
      <c r="BY24" s="12">
        <f>IF('Données projet'!$A$114&gt;35,BY23+BX24-CG23,IF(A24&lt;'Données projet'!$A$114,$BV$205^A24,IF(A24='Données projet'!$A$114,'Données projet'!$B$114,BY23+BX24-CG23)))</f>
        <v>181.50000000000003</v>
      </c>
      <c r="BZ24" s="13">
        <f>BY24*VLOOKUP('Données projet'!$B$12,Paramètres!$A$1:$I$89,3,0)*VLOOKUP('Données projet'!$B$12,Paramètres!$A$1:$I$89,5,0)</f>
        <v>99.099000000000004</v>
      </c>
      <c r="CA24" s="13">
        <f t="shared" si="39"/>
        <v>26.747233784597075</v>
      </c>
      <c r="CB24" s="20">
        <f t="shared" si="10"/>
        <v>219.18219050817322</v>
      </c>
      <c r="CC24" s="59">
        <f t="shared" si="11"/>
        <v>512.51552384150659</v>
      </c>
      <c r="CD24" s="59">
        <f ca="1">AVERAGE(OFFSET($CC$3,0,0,'Données projet'!$E$12+1,1))-AVERAGE(OFFSET($H$3,0,0,'Données projet'!$E$12+1,1))</f>
        <v>154.35821558431712</v>
      </c>
      <c r="CE24" s="59">
        <f t="shared" si="40"/>
        <v>263.86720460501306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38.177742491178776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38.177742491178776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</v>
      </c>
      <c r="CT24" s="12">
        <f>IF('Données projet'!$A$140&gt;35,CT23+CS24-DB23,IF(A24&lt;'Données projet'!$A$140,$CQ$205^A24,IF(A24='Données projet'!$A$140,'Données projet'!$B$140,CT23+CS24-DB23)))</f>
        <v>46</v>
      </c>
      <c r="CU24" s="17">
        <f>CT24*VLOOKUP('Données projet'!$B$13,Paramètres!$A$1:$I$89,3,0)*VLOOKUP('Données projet'!$B$13,Paramètres!$A$1:$I$89,5,0)</f>
        <v>36.5976</v>
      </c>
      <c r="CV24" s="13">
        <f t="shared" si="41"/>
        <v>11.092227993821965</v>
      </c>
      <c r="CW24" s="20">
        <f t="shared" si="13"/>
        <v>83.059783755906594</v>
      </c>
      <c r="CX24" s="59">
        <f t="shared" si="14"/>
        <v>376.39311708923992</v>
      </c>
      <c r="CY24" s="59">
        <f ca="1">AVERAGE(OFFSET($CX$3,0,0,'Données projet'!$E$13+1,1))-AVERAGE(OFFSET($H$3,0,0,'Données projet'!$E$13+1,1))</f>
        <v>157.25319335691853</v>
      </c>
      <c r="CZ24" s="59">
        <f t="shared" si="42"/>
        <v>159.50903492442171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9.1999999999999993</v>
      </c>
      <c r="DO24" s="12">
        <f>IF('Données projet'!$A$166&gt;35,DO23+DN24-DW23,IF(A24&lt;'Données projet'!$A$166,$DL$205^A24,IF(A24='Données projet'!$A$166,'Données projet'!$B$166,DO23+DN24-DW23)))</f>
        <v>76.199999999999974</v>
      </c>
      <c r="DP24" s="17">
        <f>DO24*VLOOKUP('Données projet'!$B$14,Paramètres!$A$1:$I$89,3,0)*VLOOKUP('Données projet'!$B$14,Paramètres!$A$1:$I$89,5,0)</f>
        <v>66.568319999999986</v>
      </c>
      <c r="DQ24" s="13">
        <f t="shared" si="43"/>
        <v>18.818773418977681</v>
      </c>
      <c r="DR24" s="20">
        <f t="shared" si="16"/>
        <v>148.71585437138609</v>
      </c>
      <c r="DS24" s="59">
        <f t="shared" si="17"/>
        <v>442.04918770471943</v>
      </c>
      <c r="DT24" s="59">
        <f ca="1">AVERAGE(OFFSET($DS$3,0,0,'Données projet'!$E$14+1,1))-AVERAGE(OFFSET($H$3,0,0,'Données projet'!$E$14+1,1))</f>
        <v>229.5312221178919</v>
      </c>
      <c r="DU24" s="59">
        <f t="shared" si="44"/>
        <v>218.1982095871906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2.9235042735042733</v>
      </c>
      <c r="EJ24" s="12">
        <f>IF('Données projet'!$A$192&gt;35,EJ23+EI24-ER23,IF(A24&lt;'Données projet'!$A$192,$EG$205^A24,IF(A24='Données projet'!$A$192,'Données projet'!$B$192,EJ23+EI24-ER23)))</f>
        <v>22.91487494147438</v>
      </c>
      <c r="EK24" s="17">
        <f>EJ24*VLOOKUP('Données projet'!$B$15,Paramètres!$A$1:$I$89,3,0)*VLOOKUP('Données projet'!$B$15,Paramètres!$A$1:$I$89,5,0)</f>
        <v>20.733378847046019</v>
      </c>
      <c r="EL24" s="13">
        <f t="shared" si="45"/>
        <v>6.713697209604776</v>
      </c>
      <c r="EM24" s="20">
        <f t="shared" si="19"/>
        <v>47.803657465333458</v>
      </c>
      <c r="EN24" s="59">
        <f t="shared" si="20"/>
        <v>341.13699079866677</v>
      </c>
      <c r="EO24" s="59">
        <f ca="1">AVERAGE(OFFSET($EN$3,0,0,'Données projet'!$E$15+1,1))-AVERAGE(OFFSET($H$3,0,0,'Données projet'!$E$15+1,1))</f>
        <v>204.39656982394689</v>
      </c>
      <c r="EP24" s="59">
        <f t="shared" si="46"/>
        <v>134.95704640904546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3.1262820512820513</v>
      </c>
      <c r="FE24" s="12">
        <f>IF('Données projet'!$A$218&gt;35,FE23+FD24-FM23,IF(A24&lt;'Données projet'!$A$218,$FB$205^A24,IF(A24='Données projet'!$A$218,'Données projet'!$B$218,FE23+FD24-FM23)))</f>
        <v>24.016216411526976</v>
      </c>
      <c r="FF24" s="17">
        <f>FE24*VLOOKUP('Données projet'!$B$16,Paramètres!$A$1:$I$89,3,0)*VLOOKUP('Données projet'!$B$16,Paramètres!$A$1:$I$89,5,0)</f>
        <v>20.605913681090151</v>
      </c>
      <c r="FG24" s="13">
        <f t="shared" si="47"/>
        <v>6.6772138678954125</v>
      </c>
      <c r="FH24" s="20">
        <f t="shared" si="22"/>
        <v>47.518113814483179</v>
      </c>
      <c r="FI24" s="59">
        <f t="shared" si="23"/>
        <v>340.85144714781649</v>
      </c>
      <c r="FJ24" s="59">
        <f ca="1">AVERAGE(OFFSET($FI$3,0,0,'Données projet'!$E$16+1,1))-AVERAGE(OFFSET($H$3,0,0,'Données projet'!$E$16+1,1))</f>
        <v>199.60585215726968</v>
      </c>
      <c r="FK24" s="59">
        <f t="shared" si="48"/>
        <v>137.37366750114404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4.9084615384615384</v>
      </c>
      <c r="N25" s="13">
        <f>IF('Données projet'!$A$36&gt;35,N24+M25-V24,IF(A25&lt;'Données projet'!$A$36,$K$205^A25,IF(A25='Données projet'!$A$36,'Données projet'!$B$36,N24+M25-V24)))</f>
        <v>38.896949331432715</v>
      </c>
      <c r="O25" s="13">
        <f>N25*VLOOKUP('Données projet'!$B$9,Paramètres!$A$1:$I$89,3,0)*VLOOKUP('Données projet'!$B$9,Paramètres!$A$1:$I$89,5,0)</f>
        <v>18.20377228711051</v>
      </c>
      <c r="P25" s="13">
        <f t="shared" si="33"/>
        <v>5.9845386042761088</v>
      </c>
      <c r="Q25" s="20">
        <f t="shared" si="2"/>
        <v>42.127974802498365</v>
      </c>
      <c r="R25" s="59">
        <f t="shared" si="0"/>
        <v>335.4613081358317</v>
      </c>
      <c r="S25" s="59">
        <f ca="1">AVERAGE(OFFSET($R$3,0,0,'Données projet'!$E$9+1,1))-AVERAGE(OFFSET($H$3,0,0,'Données projet'!$E$9+1,1))</f>
        <v>164.93438869099657</v>
      </c>
      <c r="T25" s="59">
        <f t="shared" si="34"/>
        <v>112.28641356594233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464.43616743233019</v>
      </c>
      <c r="AN25" s="59">
        <f ca="1">AVERAGE(OFFSET($AM$3,0,0,'Données projet'!$E$10+1,1))-AVERAGE(OFFSET($H$3,0,0,'Données projet'!$E$10+1,1))</f>
        <v>273.81843612193632</v>
      </c>
      <c r="AO25" s="59">
        <f t="shared" si="36"/>
        <v>241.86405419073208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20.658974358974358</v>
      </c>
      <c r="BD25" s="12">
        <f>IF('Données projet'!$A$88&gt;35,BD24+BC25-BL24,IF(A25&lt;'Données projet'!$A$88,$BA$205^A25,IF(A25='Données projet'!$A$88,'Données projet'!$B$88,BD24+BC25-BL24)))</f>
        <v>196.24358974358969</v>
      </c>
      <c r="BE25" s="13">
        <f>BD25*VLOOKUP('Données projet'!$B$11,Paramètres!$A$1:$I$89,3,0)*VLOOKUP('Données projet'!$B$11,Paramètres!$A$1:$I$89,5,0)</f>
        <v>109.70016666666663</v>
      </c>
      <c r="BF25" s="13">
        <f t="shared" si="37"/>
        <v>29.260330282475415</v>
      </c>
      <c r="BG25" s="20">
        <f t="shared" si="7"/>
        <v>242.02286551975575</v>
      </c>
      <c r="BH25" s="59">
        <f t="shared" si="8"/>
        <v>535.35619885308904</v>
      </c>
      <c r="BI25" s="59">
        <f ca="1">AVERAGE(OFFSET($BH$3,0,0,'Données projet'!$E$11+1,1))-AVERAGE(OFFSET($H$3,0,0,'Données projet'!$E$11+1,1))</f>
        <v>271.42245454555501</v>
      </c>
      <c r="BJ25" s="59">
        <f t="shared" si="38"/>
        <v>362.63944425429077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14.107482941808591</v>
      </c>
      <c r="BR25" s="21">
        <f>EXP(-LN(2)/2)*BR24+(1-EXP(-LN(2)/2))/(LN(2)/2)*BL25*BO25*VLOOKUP('Données projet'!$B$11,Paramètres!$A$1:$I$89,3,0)*0.475*44/12</f>
        <v>4.8236617117072758</v>
      </c>
      <c r="BS25" s="22">
        <f t="shared" si="9"/>
        <v>18.931144653515865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19.166666666666668</v>
      </c>
      <c r="BY25" s="12">
        <f>IF('Données projet'!$A$114&gt;35,BY24+BX25-CG24,IF(A25&lt;'Données projet'!$A$114,$BV$205^A25,IF(A25='Données projet'!$A$114,'Données projet'!$B$114,BY24+BX25-CG24)))</f>
        <v>200.66666666666669</v>
      </c>
      <c r="BZ25" s="13">
        <f>BY25*VLOOKUP('Données projet'!$B$12,Paramètres!$A$1:$I$89,3,0)*VLOOKUP('Données projet'!$B$12,Paramètres!$A$1:$I$89,5,0)</f>
        <v>109.56400000000001</v>
      </c>
      <c r="CA25" s="13">
        <f t="shared" si="39"/>
        <v>29.228235839881371</v>
      </c>
      <c r="CB25" s="20">
        <f t="shared" si="10"/>
        <v>241.72981075446003</v>
      </c>
      <c r="CC25" s="59">
        <f t="shared" si="11"/>
        <v>535.06314408779338</v>
      </c>
      <c r="CD25" s="59">
        <f ca="1">AVERAGE(OFFSET($CC$3,0,0,'Données projet'!$E$12+1,1))-AVERAGE(OFFSET($H$3,0,0,'Données projet'!$E$12+1,1))</f>
        <v>154.35821558431712</v>
      </c>
      <c r="CE25" s="59">
        <f t="shared" si="40"/>
        <v>263.86720460501306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37.133770115077269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37.133770115077269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</v>
      </c>
      <c r="CT25" s="12">
        <f>IF('Données projet'!$A$140&gt;35,CT24+CS25-DB24,IF(A25&lt;'Données projet'!$A$140,$CQ$205^A25,IF(A25='Données projet'!$A$140,'Données projet'!$B$140,CT24+CS25-DB24)))</f>
        <v>56</v>
      </c>
      <c r="CU25" s="17">
        <f>CT25*VLOOKUP('Données projet'!$B$13,Paramètres!$A$1:$I$89,3,0)*VLOOKUP('Données projet'!$B$13,Paramètres!$A$1:$I$89,5,0)</f>
        <v>44.553600000000003</v>
      </c>
      <c r="CV25" s="13">
        <f t="shared" si="41"/>
        <v>13.197902274122358</v>
      </c>
      <c r="CW25" s="20">
        <f t="shared" si="13"/>
        <v>100.5838664607631</v>
      </c>
      <c r="CX25" s="59">
        <f t="shared" si="14"/>
        <v>393.9171997940964</v>
      </c>
      <c r="CY25" s="59">
        <f ca="1">AVERAGE(OFFSET($CX$3,0,0,'Données projet'!$E$13+1,1))-AVERAGE(OFFSET($H$3,0,0,'Données projet'!$E$13+1,1))</f>
        <v>157.25319335691853</v>
      </c>
      <c r="CZ25" s="59">
        <f t="shared" si="42"/>
        <v>159.50903492442171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9.1999999999999993</v>
      </c>
      <c r="DO25" s="12">
        <f>IF('Données projet'!$A$166&gt;35,DO24+DN25-DW24,IF(A25&lt;'Données projet'!$A$166,$DL$205^A25,IF(A25='Données projet'!$A$166,'Données projet'!$B$166,DO24+DN25-DW24)))</f>
        <v>85.399999999999977</v>
      </c>
      <c r="DP25" s="17">
        <f>DO25*VLOOKUP('Données projet'!$B$14,Paramètres!$A$1:$I$89,3,0)*VLOOKUP('Données projet'!$B$14,Paramètres!$A$1:$I$89,5,0)</f>
        <v>74.605439999999987</v>
      </c>
      <c r="DQ25" s="13">
        <f t="shared" si="43"/>
        <v>20.81287496517584</v>
      </c>
      <c r="DR25" s="20">
        <f t="shared" si="16"/>
        <v>166.18689856434787</v>
      </c>
      <c r="DS25" s="59">
        <f t="shared" si="17"/>
        <v>459.52023189768119</v>
      </c>
      <c r="DT25" s="59">
        <f ca="1">AVERAGE(OFFSET($DS$3,0,0,'Données projet'!$E$14+1,1))-AVERAGE(OFFSET($H$3,0,0,'Données projet'!$E$14+1,1))</f>
        <v>229.5312221178919</v>
      </c>
      <c r="DU25" s="59">
        <f t="shared" si="44"/>
        <v>218.1982095871906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2.9235042735042733</v>
      </c>
      <c r="EJ25" s="12">
        <f>IF('Données projet'!$A$192&gt;35,EJ24+EI25-ER24,IF(A25&lt;'Données projet'!$A$192,$EG$205^A25,IF(A25='Données projet'!$A$192,'Données projet'!$B$192,EJ24+EI25-ER24)))</f>
        <v>26.600205452048144</v>
      </c>
      <c r="EK25" s="17">
        <f>EJ25*VLOOKUP('Données projet'!$B$15,Paramètres!$A$1:$I$89,3,0)*VLOOKUP('Données projet'!$B$15,Paramètres!$A$1:$I$89,5,0)</f>
        <v>24.06786589301316</v>
      </c>
      <c r="EL25" s="13">
        <f t="shared" si="45"/>
        <v>7.6593217420310804</v>
      </c>
      <c r="EM25" s="20">
        <f t="shared" si="19"/>
        <v>55.258185131035383</v>
      </c>
      <c r="EN25" s="59">
        <f t="shared" si="20"/>
        <v>348.59151846436868</v>
      </c>
      <c r="EO25" s="59">
        <f ca="1">AVERAGE(OFFSET($EN$3,0,0,'Données projet'!$E$15+1,1))-AVERAGE(OFFSET($H$3,0,0,'Données projet'!$E$15+1,1))</f>
        <v>204.39656982394689</v>
      </c>
      <c r="EP25" s="59">
        <f t="shared" si="46"/>
        <v>134.95704640904546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3.1262820512820513</v>
      </c>
      <c r="FE25" s="12">
        <f>IF('Données projet'!$A$218&gt;35,FE24+FD25-FM24,IF(A25&lt;'Données projet'!$A$218,$FB$205^A25,IF(A25='Données projet'!$A$218,'Données projet'!$B$218,FE24+FD25-FM24)))</f>
        <v>27.941061555729576</v>
      </c>
      <c r="FF25" s="17">
        <f>FE25*VLOOKUP('Données projet'!$B$16,Paramètres!$A$1:$I$89,3,0)*VLOOKUP('Données projet'!$B$16,Paramètres!$A$1:$I$89,5,0)</f>
        <v>23.973430814815977</v>
      </c>
      <c r="FG25" s="13">
        <f t="shared" si="47"/>
        <v>7.6327609457628478</v>
      </c>
      <c r="FH25" s="20">
        <f t="shared" si="22"/>
        <v>55.047450649674779</v>
      </c>
      <c r="FI25" s="59">
        <f t="shared" si="23"/>
        <v>348.38078398300809</v>
      </c>
      <c r="FJ25" s="59">
        <f ca="1">AVERAGE(OFFSET($FI$3,0,0,'Données projet'!$E$16+1,1))-AVERAGE(OFFSET($H$3,0,0,'Données projet'!$E$16+1,1))</f>
        <v>199.60585215726968</v>
      </c>
      <c r="FK25" s="59">
        <f t="shared" si="48"/>
        <v>137.37366750114404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4.9084615384615384</v>
      </c>
      <c r="N26" s="13">
        <f>IF('Données projet'!$A$36&gt;35,N25+M26-V25,IF(A26&lt;'Données projet'!$A$36,$K$205^A26,IF(A26='Données projet'!$A$36,'Données projet'!$B$36,N25+M26-V25)))</f>
        <v>45.939305928458197</v>
      </c>
      <c r="O26" s="13">
        <f>N26*VLOOKUP('Données projet'!$B$9,Paramètres!$A$1:$I$89,3,0)*VLOOKUP('Données projet'!$B$9,Paramètres!$A$1:$I$89,5,0)</f>
        <v>21.499595174518436</v>
      </c>
      <c r="P26" s="13">
        <f t="shared" si="33"/>
        <v>6.9324614376170377</v>
      </c>
      <c r="Q26" s="20">
        <f t="shared" si="2"/>
        <v>49.51916526613595</v>
      </c>
      <c r="R26" s="59">
        <f t="shared" si="0"/>
        <v>342.85249859946924</v>
      </c>
      <c r="S26" s="59">
        <f ca="1">AVERAGE(OFFSET($R$3,0,0,'Données projet'!$E$9+1,1))-AVERAGE(OFFSET($H$3,0,0,'Données projet'!$E$9+1,1))</f>
        <v>164.93438869099657</v>
      </c>
      <c r="T26" s="59">
        <f t="shared" si="34"/>
        <v>112.28641356594233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484.77736319864221</v>
      </c>
      <c r="AN26" s="59">
        <f ca="1">AVERAGE(OFFSET($AM$3,0,0,'Données projet'!$E$10+1,1))-AVERAGE(OFFSET($H$3,0,0,'Données projet'!$E$10+1,1))</f>
        <v>273.81843612193632</v>
      </c>
      <c r="AO26" s="59">
        <f t="shared" si="36"/>
        <v>241.86405419073208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20.658974358974358</v>
      </c>
      <c r="BD26" s="12">
        <f>IF('Données projet'!$A$88&gt;35,BD25+BC26-BL25,IF(A26&lt;'Données projet'!$A$88,$BA$205^A26,IF(A26='Données projet'!$A$88,'Données projet'!$B$88,BD25+BC26-BL25)))</f>
        <v>216.90256410256404</v>
      </c>
      <c r="BE26" s="13">
        <f>BD26*VLOOKUP('Données projet'!$B$11,Paramètres!$A$1:$I$89,3,0)*VLOOKUP('Données projet'!$B$11,Paramètres!$A$1:$I$89,5,0)</f>
        <v>121.2485333333333</v>
      </c>
      <c r="BF26" s="13">
        <f t="shared" si="37"/>
        <v>31.966023537079113</v>
      </c>
      <c r="BG26" s="20">
        <f t="shared" si="7"/>
        <v>266.84868654930165</v>
      </c>
      <c r="BH26" s="59">
        <f t="shared" si="8"/>
        <v>560.1820198826349</v>
      </c>
      <c r="BI26" s="59">
        <f ca="1">AVERAGE(OFFSET($BH$3,0,0,'Données projet'!$E$11+1,1))-AVERAGE(OFFSET($H$3,0,0,'Données projet'!$E$11+1,1))</f>
        <v>271.42245454555501</v>
      </c>
      <c r="BJ26" s="59">
        <f t="shared" si="38"/>
        <v>362.63944425429077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13.72171307888455</v>
      </c>
      <c r="BR26" s="21">
        <f>EXP(-LN(2)/2)*BR25+(1-EXP(-LN(2)/2))/(LN(2)/2)*BL26*BO26*VLOOKUP('Données projet'!$B$11,Paramètres!$A$1:$I$89,3,0)*0.475*44/12</f>
        <v>3.410843906498124</v>
      </c>
      <c r="BS26" s="22">
        <f t="shared" si="9"/>
        <v>17.132556985382674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19.166666666666668</v>
      </c>
      <c r="BY26" s="12">
        <f>IF('Données projet'!$A$114&gt;35,BY25+BX26-CG25,IF(A26&lt;'Données projet'!$A$114,$BV$205^A26,IF(A26='Données projet'!$A$114,'Données projet'!$B$114,BY25+BX26-CG25)))</f>
        <v>219.83333333333334</v>
      </c>
      <c r="BZ26" s="13">
        <f>BY26*VLOOKUP('Données projet'!$B$12,Paramètres!$A$1:$I$89,3,0)*VLOOKUP('Données projet'!$B$12,Paramètres!$A$1:$I$89,5,0)</f>
        <v>120.029</v>
      </c>
      <c r="CA26" s="13">
        <f t="shared" si="39"/>
        <v>31.68176297276506</v>
      </c>
      <c r="CB26" s="20">
        <f t="shared" si="10"/>
        <v>264.22957884423249</v>
      </c>
      <c r="CC26" s="59">
        <f t="shared" si="11"/>
        <v>557.56291217756575</v>
      </c>
      <c r="CD26" s="59">
        <f ca="1">AVERAGE(OFFSET($CC$3,0,0,'Données projet'!$E$12+1,1))-AVERAGE(OFFSET($H$3,0,0,'Données projet'!$E$12+1,1))</f>
        <v>154.35821558431712</v>
      </c>
      <c r="CE26" s="59">
        <f t="shared" si="40"/>
        <v>263.86720460501306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36.11834521850038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36.11834521850038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</v>
      </c>
      <c r="CT26" s="12">
        <f>IF('Données projet'!$A$140&gt;35,CT25+CS26-DB25,IF(A26&lt;'Données projet'!$A$140,$CQ$205^A26,IF(A26='Données projet'!$A$140,'Données projet'!$B$140,CT25+CS26-DB25)))</f>
        <v>66</v>
      </c>
      <c r="CU26" s="17">
        <f>CT26*VLOOKUP('Données projet'!$B$13,Paramètres!$A$1:$I$89,3,0)*VLOOKUP('Données projet'!$B$13,Paramètres!$A$1:$I$89,5,0)</f>
        <v>52.509600000000006</v>
      </c>
      <c r="CV26" s="13">
        <f t="shared" si="41"/>
        <v>15.260016001659478</v>
      </c>
      <c r="CW26" s="20">
        <f t="shared" si="13"/>
        <v>118.03208120289027</v>
      </c>
      <c r="CX26" s="59">
        <f t="shared" si="14"/>
        <v>411.36541453622357</v>
      </c>
      <c r="CY26" s="59">
        <f ca="1">AVERAGE(OFFSET($CX$3,0,0,'Données projet'!$E$13+1,1))-AVERAGE(OFFSET($H$3,0,0,'Données projet'!$E$13+1,1))</f>
        <v>157.25319335691853</v>
      </c>
      <c r="CZ26" s="59">
        <f t="shared" si="42"/>
        <v>159.50903492442171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9.1999999999999993</v>
      </c>
      <c r="DO26" s="12">
        <f>IF('Données projet'!$A$166&gt;35,DO25+DN26-DW25,IF(A26&lt;'Données projet'!$A$166,$DL$205^A26,IF(A26='Données projet'!$A$166,'Données projet'!$B$166,DO25+DN26-DW25)))</f>
        <v>94.59999999999998</v>
      </c>
      <c r="DP26" s="17">
        <f>DO26*VLOOKUP('Données projet'!$B$14,Paramètres!$A$1:$I$89,3,0)*VLOOKUP('Données projet'!$B$14,Paramètres!$A$1:$I$89,5,0)</f>
        <v>82.642559999999989</v>
      </c>
      <c r="DQ26" s="13">
        <f t="shared" si="43"/>
        <v>22.782076653086197</v>
      </c>
      <c r="DR26" s="20">
        <f t="shared" si="16"/>
        <v>183.6145755041251</v>
      </c>
      <c r="DS26" s="59">
        <f t="shared" si="17"/>
        <v>476.94790883745839</v>
      </c>
      <c r="DT26" s="59">
        <f ca="1">AVERAGE(OFFSET($DS$3,0,0,'Données projet'!$E$14+1,1))-AVERAGE(OFFSET($H$3,0,0,'Données projet'!$E$14+1,1))</f>
        <v>229.5312221178919</v>
      </c>
      <c r="DU26" s="59">
        <f t="shared" si="44"/>
        <v>218.1982095871906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2.9235042735042733</v>
      </c>
      <c r="EJ26" s="12">
        <f>IF('Données projet'!$A$192&gt;35,EJ25+EI26-ER25,IF(A26&lt;'Données projet'!$A$192,$EG$205^A26,IF(A26='Données projet'!$A$192,'Données projet'!$B$192,EJ25+EI26-ER25)))</f>
        <v>30.878236599516239</v>
      </c>
      <c r="EK26" s="17">
        <f>EJ26*VLOOKUP('Données projet'!$B$15,Paramètres!$A$1:$I$89,3,0)*VLOOKUP('Données projet'!$B$15,Paramètres!$A$1:$I$89,5,0)</f>
        <v>27.938628475242293</v>
      </c>
      <c r="EL26" s="13">
        <f t="shared" si="45"/>
        <v>8.7381375293515138</v>
      </c>
      <c r="EM26" s="20">
        <f t="shared" si="19"/>
        <v>63.878700791334211</v>
      </c>
      <c r="EN26" s="59">
        <f t="shared" si="20"/>
        <v>357.21203412466753</v>
      </c>
      <c r="EO26" s="59">
        <f ca="1">AVERAGE(OFFSET($EN$3,0,0,'Données projet'!$E$15+1,1))-AVERAGE(OFFSET($H$3,0,0,'Données projet'!$E$15+1,1))</f>
        <v>204.39656982394689</v>
      </c>
      <c r="EP26" s="59">
        <f t="shared" si="46"/>
        <v>134.95704640904546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3.1262820512820513</v>
      </c>
      <c r="FE26" s="12">
        <f>IF('Données projet'!$A$218&gt;35,FE25+FD26-FM25,IF(A26&lt;'Données projet'!$A$218,$FB$205^A26,IF(A26='Données projet'!$A$218,'Données projet'!$B$218,FE25+FD26-FM25)))</f>
        <v>32.507323696765077</v>
      </c>
      <c r="FF26" s="17">
        <f>FE26*VLOOKUP('Données projet'!$B$16,Paramètres!$A$1:$I$89,3,0)*VLOOKUP('Données projet'!$B$16,Paramètres!$A$1:$I$89,5,0)</f>
        <v>27.891283731824441</v>
      </c>
      <c r="FG26" s="13">
        <f t="shared" si="47"/>
        <v>8.725052216056282</v>
      </c>
      <c r="FH26" s="20">
        <f t="shared" si="22"/>
        <v>63.773451775892255</v>
      </c>
      <c r="FI26" s="59">
        <f t="shared" si="23"/>
        <v>357.1067851092256</v>
      </c>
      <c r="FJ26" s="59">
        <f ca="1">AVERAGE(OFFSET($FI$3,0,0,'Données projet'!$E$16+1,1))-AVERAGE(OFFSET($H$3,0,0,'Données projet'!$E$16+1,1))</f>
        <v>199.60585215726968</v>
      </c>
      <c r="FK26" s="59">
        <f t="shared" si="48"/>
        <v>137.37366750114404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4.9084615384615384</v>
      </c>
      <c r="N27" s="13">
        <f>IF('Données projet'!$A$36&gt;35,N26+M27-V26,IF(A27&lt;'Données projet'!$A$36,$K$205^A27,IF(A27='Données projet'!$A$36,'Données projet'!$B$36,N26+M27-V26)))</f>
        <v>54.256692760299323</v>
      </c>
      <c r="O27" s="13">
        <f>N27*VLOOKUP('Données projet'!$B$9,Paramètres!$A$1:$I$89,3,0)*VLOOKUP('Données projet'!$B$9,Paramètres!$A$1:$I$89,5,0)</f>
        <v>25.392132211820083</v>
      </c>
      <c r="P27" s="13">
        <f t="shared" si="33"/>
        <v>8.0305307997692346</v>
      </c>
      <c r="Q27" s="20">
        <f t="shared" si="2"/>
        <v>58.211138078518069</v>
      </c>
      <c r="R27" s="59">
        <f t="shared" si="0"/>
        <v>351.54447141185136</v>
      </c>
      <c r="S27" s="59">
        <f ca="1">AVERAGE(OFFSET($R$3,0,0,'Données projet'!$E$9+1,1))-AVERAGE(OFFSET($H$3,0,0,'Données projet'!$E$9+1,1))</f>
        <v>164.93438869099657</v>
      </c>
      <c r="T27" s="59">
        <f t="shared" si="34"/>
        <v>112.28641356594233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505.06823078019431</v>
      </c>
      <c r="AN27" s="59">
        <f ca="1">AVERAGE(OFFSET($AM$3,0,0,'Données projet'!$E$10+1,1))-AVERAGE(OFFSET($H$3,0,0,'Données projet'!$E$10+1,1))</f>
        <v>273.81843612193632</v>
      </c>
      <c r="AO27" s="59">
        <f t="shared" si="36"/>
        <v>241.86405419073208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237.56153846153845</v>
      </c>
      <c r="BB27" s="12">
        <f>VLOOKUP(A27,'Données projet'!$A$87:$I$107,9,0)</f>
        <v>20.658974358974358</v>
      </c>
      <c r="BC27" s="12">
        <f t="array" ref="BC27">INDEX(BB:BB,MIN(IF(ISNUMBER(BB27:BB223),ROW(BB27:BB223),"")))</f>
        <v>20.658974358974358</v>
      </c>
      <c r="BD27" s="12">
        <f>IF('Données projet'!$A$88&gt;35,BD26+BC27-BL26,IF(A27&lt;'Données projet'!$A$88,$BA$205^A27,IF(A27='Données projet'!$A$88,'Données projet'!$B$88,BD26+BC27-BL26)))</f>
        <v>237.56153846153839</v>
      </c>
      <c r="BE27" s="13">
        <f>BD27*VLOOKUP('Données projet'!$B$11,Paramètres!$A$1:$I$89,3,0)*VLOOKUP('Données projet'!$B$11,Paramètres!$A$1:$I$89,5,0)</f>
        <v>132.79689999999997</v>
      </c>
      <c r="BF27" s="13">
        <f t="shared" si="37"/>
        <v>34.641837967861036</v>
      </c>
      <c r="BG27" s="20">
        <f t="shared" si="7"/>
        <v>291.62246862735793</v>
      </c>
      <c r="BH27" s="59">
        <f t="shared" si="8"/>
        <v>584.95580196069125</v>
      </c>
      <c r="BI27" s="59">
        <f ca="1">AVERAGE(OFFSET($BH$3,0,0,'Données projet'!$E$11+1,1))-AVERAGE(OFFSET($H$3,0,0,'Données projet'!$E$11+1,1))</f>
        <v>271.42245454555501</v>
      </c>
      <c r="BJ27" s="59">
        <f t="shared" si="38"/>
        <v>362.63944425429077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42.661538461538463</v>
      </c>
      <c r="BM27" s="16">
        <f>IF(ISNA(VLOOKUP(A27,'Données projet'!$A$87:$I$107,5,0)),0%,VLOOKUP(A27,'Données projet'!$A$87:$I$107,5,0)*VLOOKUP('Données projet'!$B$11,Paramètres!$A$1:$I$89,7,0))</f>
        <v>0.38500000000000001</v>
      </c>
      <c r="BN27" s="16">
        <f>IF(ISNA(VLOOKUP(A27,'Données projet'!$A$87:$I$107,6,0)),0%,VLOOKUP(A27,'Données projet'!$A$87:$I$107,6,0)*VLOOKUP('Données projet'!$B$11,Paramètres!$A$1:$I$89,7,0))</f>
        <v>9.240000000000001E-2</v>
      </c>
      <c r="BO27" s="16">
        <f>IF(ISNA(VLOOKUP(A27,'Données projet'!$A$87:$I$107,7,0)),0%,VLOOKUP(A27,'Données projet'!$A$87:$I$107,7,0))</f>
        <v>0.13200000000000001</v>
      </c>
      <c r="BP27" s="21">
        <f>EXP(-LN(2)/35)*BP26+(1-EXP(-LN(2)/35))/(LN(2)/35)*BL27*BM27*VLOOKUP('Données projet'!$B$11,Paramètres!$A$1:$I$89,3,0)*0.475*44/12</f>
        <v>12.179722870865961</v>
      </c>
      <c r="BQ27" s="21">
        <f>EXP(-LN(2)/25)*BQ26+(1-EXP(-LN(2)/25))/(LN(2)/25)*Calculateur!BL27*Calculateur!BN27*VLOOKUP('Données projet'!$B$11,Paramètres!$A$1:$I$89,3,0)*0.475*44/12</f>
        <v>16.25811611180935</v>
      </c>
      <c r="BR27" s="21">
        <f>EXP(-LN(2)/2)*BR26+(1-EXP(-LN(2)/2))/(LN(2)/2)*BL27*BO27*VLOOKUP('Données projet'!$B$11,Paramètres!$A$1:$I$89,3,0)*0.475*44/12</f>
        <v>5.9759957746672558</v>
      </c>
      <c r="BS27" s="22">
        <f t="shared" si="9"/>
        <v>34.413834757342563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>
        <f>VLOOKUP(A27,'Données projet'!$A$113:$I$133,2,0)</f>
        <v>239</v>
      </c>
      <c r="BW27" s="12">
        <f>VLOOKUP(A27,'Données projet'!$A$113:$I$133,9,0)</f>
        <v>19.166666666666668</v>
      </c>
      <c r="BX27" s="12">
        <f t="array" ref="BX27">INDEX(BW:BW,MIN(IF(ISNUMBER(BW27:BW223),ROW(BW27:BW223),"")))</f>
        <v>19.166666666666668</v>
      </c>
      <c r="BY27" s="12">
        <f>IF('Données projet'!$A$114&gt;35,BY26+BX27-CG26,IF(A27&lt;'Données projet'!$A$114,$BV$205^A27,IF(A27='Données projet'!$A$114,'Données projet'!$B$114,BY26+BX27-CG26)))</f>
        <v>239</v>
      </c>
      <c r="BZ27" s="13">
        <f>BY27*VLOOKUP('Données projet'!$B$12,Paramètres!$A$1:$I$89,3,0)*VLOOKUP('Données projet'!$B$12,Paramètres!$A$1:$I$89,5,0)</f>
        <v>130.494</v>
      </c>
      <c r="CA27" s="13">
        <f t="shared" si="39"/>
        <v>34.110483018610772</v>
      </c>
      <c r="CB27" s="20">
        <f t="shared" si="10"/>
        <v>286.68614125741374</v>
      </c>
      <c r="CC27" s="59">
        <f t="shared" si="11"/>
        <v>580.019474590747</v>
      </c>
      <c r="CD27" s="59">
        <f ca="1">AVERAGE(OFFSET($CC$3,0,0,'Données projet'!$E$12+1,1))-AVERAGE(OFFSET($H$3,0,0,'Données projet'!$E$12+1,1))</f>
        <v>154.35821558431712</v>
      </c>
      <c r="CE27" s="59">
        <f t="shared" si="40"/>
        <v>263.86720460501306</v>
      </c>
      <c r="CF27" s="15">
        <f>IF(ISNA(VLOOKUP(A27,'Données projet'!$A$113:$I$133,3,0)),0,VLOOKUP(A27,'Données projet'!$A$113:$I$133,3,0))</f>
        <v>4</v>
      </c>
      <c r="CG27" s="15">
        <f>IF(ISNA(VLOOKUP(A27,'Données projet'!$A$113:$I$133,4,0)),0,VLOOKUP(A27,'Données projet'!$A$113:$I$133,4,0))</f>
        <v>84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0.48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64.219645158342004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64.219645158342004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</v>
      </c>
      <c r="CT27" s="12">
        <f>IF('Données projet'!$A$140&gt;35,CT26+CS27-DB26,IF(A27&lt;'Données projet'!$A$140,$CQ$205^A27,IF(A27='Données projet'!$A$140,'Données projet'!$B$140,CT26+CS27-DB26)))</f>
        <v>76</v>
      </c>
      <c r="CU27" s="17">
        <f>CT27*VLOOKUP('Données projet'!$B$13,Paramètres!$A$1:$I$89,3,0)*VLOOKUP('Données projet'!$B$13,Paramètres!$A$1:$I$89,5,0)</f>
        <v>60.465600000000002</v>
      </c>
      <c r="CV27" s="13">
        <f t="shared" si="41"/>
        <v>17.28593428824821</v>
      </c>
      <c r="CW27" s="20">
        <f t="shared" si="13"/>
        <v>135.41725555203229</v>
      </c>
      <c r="CX27" s="59">
        <f t="shared" si="14"/>
        <v>428.75058888536557</v>
      </c>
      <c r="CY27" s="59">
        <f ca="1">AVERAGE(OFFSET($CX$3,0,0,'Données projet'!$E$13+1,1))-AVERAGE(OFFSET($H$3,0,0,'Données projet'!$E$13+1,1))</f>
        <v>157.25319335691853</v>
      </c>
      <c r="CZ27" s="59">
        <f t="shared" si="42"/>
        <v>159.50903492442171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9.1999999999999993</v>
      </c>
      <c r="DO27" s="12">
        <f>IF('Données projet'!$A$166&gt;35,DO26+DN27-DW26,IF(A27&lt;'Données projet'!$A$166,$DL$205^A27,IF(A27='Données projet'!$A$166,'Données projet'!$B$166,DO26+DN27-DW26)))</f>
        <v>103.79999999999998</v>
      </c>
      <c r="DP27" s="17">
        <f>DO27*VLOOKUP('Données projet'!$B$14,Paramètres!$A$1:$I$89,3,0)*VLOOKUP('Données projet'!$B$14,Paramètres!$A$1:$I$89,5,0)</f>
        <v>90.679679999999991</v>
      </c>
      <c r="DQ27" s="13">
        <f t="shared" si="43"/>
        <v>24.729075596681458</v>
      </c>
      <c r="DR27" s="20">
        <f t="shared" si="16"/>
        <v>201.00358266422018</v>
      </c>
      <c r="DS27" s="59">
        <f t="shared" si="17"/>
        <v>494.33691599755349</v>
      </c>
      <c r="DT27" s="59">
        <f ca="1">AVERAGE(OFFSET($DS$3,0,0,'Données projet'!$E$14+1,1))-AVERAGE(OFFSET($H$3,0,0,'Données projet'!$E$14+1,1))</f>
        <v>229.5312221178919</v>
      </c>
      <c r="DU27" s="59">
        <f t="shared" si="44"/>
        <v>218.1982095871906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2.9235042735042733</v>
      </c>
      <c r="EJ27" s="12">
        <f>IF('Données projet'!$A$192&gt;35,EJ26+EI27-ER26,IF(A27&lt;'Données projet'!$A$192,$EG$205^A27,IF(A27='Données projet'!$A$192,'Données projet'!$B$192,EJ26+EI27-ER26)))</f>
        <v>35.844290647096855</v>
      </c>
      <c r="EK27" s="17">
        <f>EJ27*VLOOKUP('Données projet'!$B$15,Paramètres!$A$1:$I$89,3,0)*VLOOKUP('Données projet'!$B$15,Paramètres!$A$1:$I$89,5,0)</f>
        <v>32.431914177493233</v>
      </c>
      <c r="EL27" s="13">
        <f t="shared" si="45"/>
        <v>9.9689045653817558</v>
      </c>
      <c r="EM27" s="20">
        <f t="shared" si="19"/>
        <v>73.848092643840616</v>
      </c>
      <c r="EN27" s="59">
        <f t="shared" si="20"/>
        <v>367.18142597717394</v>
      </c>
      <c r="EO27" s="59">
        <f ca="1">AVERAGE(OFFSET($EN$3,0,0,'Données projet'!$E$15+1,1))-AVERAGE(OFFSET($H$3,0,0,'Données projet'!$E$15+1,1))</f>
        <v>204.39656982394689</v>
      </c>
      <c r="EP27" s="59">
        <f t="shared" si="46"/>
        <v>134.95704640904546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3.1262820512820513</v>
      </c>
      <c r="FE27" s="12">
        <f>IF('Données projet'!$A$218&gt;35,FE26+FD27-FM26,IF(A27&lt;'Données projet'!$A$218,$FB$205^A27,IF(A27='Données projet'!$A$218,'Données projet'!$B$218,FE26+FD27-FM26)))</f>
        <v>37.819826273192291</v>
      </c>
      <c r="FF27" s="17">
        <f>FE27*VLOOKUP('Données projet'!$B$16,Paramètres!$A$1:$I$89,3,0)*VLOOKUP('Données projet'!$B$16,Paramètres!$A$1:$I$89,5,0)</f>
        <v>32.449410942398991</v>
      </c>
      <c r="FG27" s="13">
        <f t="shared" si="47"/>
        <v>9.9736565462814042</v>
      </c>
      <c r="FH27" s="20">
        <f t="shared" si="22"/>
        <v>73.886842542785018</v>
      </c>
      <c r="FI27" s="59">
        <f t="shared" si="23"/>
        <v>367.22017587611833</v>
      </c>
      <c r="FJ27" s="59">
        <f ca="1">AVERAGE(OFFSET($FI$3,0,0,'Données projet'!$E$16+1,1))-AVERAGE(OFFSET($H$3,0,0,'Données projet'!$E$16+1,1))</f>
        <v>199.60585215726968</v>
      </c>
      <c r="FK27" s="59">
        <f t="shared" si="48"/>
        <v>137.37366750114404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4.9084615384615384</v>
      </c>
      <c r="N28" s="13">
        <f>IF('Données projet'!$A$36&gt;35,N27+M28-V27,IF(A28&lt;'Données projet'!$A$36,$K$205^A28,IF(A28='Données projet'!$A$36,'Données projet'!$B$36,N27+M28-V27)))</f>
        <v>64.079956146266369</v>
      </c>
      <c r="O28" s="13">
        <f>N28*VLOOKUP('Données projet'!$B$9,Paramètres!$A$1:$I$89,3,0)*VLOOKUP('Données projet'!$B$9,Paramètres!$A$1:$I$89,5,0)</f>
        <v>29.98941947645266</v>
      </c>
      <c r="P28" s="13">
        <f t="shared" si="33"/>
        <v>9.3025291963556676</v>
      </c>
      <c r="Q28" s="20">
        <f t="shared" si="2"/>
        <v>68.433477271807831</v>
      </c>
      <c r="R28" s="59">
        <f t="shared" si="0"/>
        <v>361.76681060514113</v>
      </c>
      <c r="S28" s="59">
        <f ca="1">AVERAGE(OFFSET($R$3,0,0,'Données projet'!$E$9+1,1))-AVERAGE(OFFSET($H$3,0,0,'Données projet'!$E$9+1,1))</f>
        <v>164.93438869099657</v>
      </c>
      <c r="T28" s="59">
        <f t="shared" si="34"/>
        <v>112.28641356594233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473.51875769401289</v>
      </c>
      <c r="AN28" s="59">
        <f ca="1">AVERAGE(OFFSET($AM$3,0,0,'Données projet'!$E$10+1,1))-AVERAGE(OFFSET($H$3,0,0,'Données projet'!$E$10+1,1))</f>
        <v>273.81843612193632</v>
      </c>
      <c r="AO28" s="59">
        <f t="shared" si="36"/>
        <v>241.86405419073208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22.828205128205127</v>
      </c>
      <c r="BD28" s="12">
        <f>IF('Données projet'!$A$88&gt;35,BD27+BC28-BL27,IF(A28&lt;'Données projet'!$A$88,$BA$205^A28,IF(A28='Données projet'!$A$88,'Données projet'!$B$88,BD27+BC28-BL27)))</f>
        <v>217.72820512820502</v>
      </c>
      <c r="BE28" s="13">
        <f>BD28*VLOOKUP('Données projet'!$B$11,Paramètres!$A$1:$I$89,3,0)*VLOOKUP('Données projet'!$B$11,Paramètres!$A$1:$I$89,5,0)</f>
        <v>121.71006666666661</v>
      </c>
      <c r="BF28" s="13">
        <f t="shared" si="37"/>
        <v>32.073515207801002</v>
      </c>
      <c r="BG28" s="20">
        <f t="shared" si="7"/>
        <v>267.83973843136442</v>
      </c>
      <c r="BH28" s="59">
        <f t="shared" si="8"/>
        <v>561.17307176469774</v>
      </c>
      <c r="BI28" s="59">
        <f ca="1">AVERAGE(OFFSET($BH$3,0,0,'Données projet'!$E$11+1,1))-AVERAGE(OFFSET($H$3,0,0,'Données projet'!$E$11+1,1))</f>
        <v>271.42245454555501</v>
      </c>
      <c r="BJ28" s="59">
        <f t="shared" si="38"/>
        <v>362.63944425429077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11.940885934265687</v>
      </c>
      <c r="BQ28" s="21">
        <f>EXP(-LN(2)/25)*BQ27+(1-EXP(-LN(2)/25))/(LN(2)/25)*Calculateur!BL28*Calculateur!BN28*VLOOKUP('Données projet'!$B$11,Paramètres!$A$1:$I$89,3,0)*0.475*44/12</f>
        <v>15.813537071754755</v>
      </c>
      <c r="BR28" s="21">
        <f>EXP(-LN(2)/2)*BR27+(1-EXP(-LN(2)/2))/(LN(2)/2)*BL28*BO28*VLOOKUP('Données projet'!$B$11,Paramètres!$A$1:$I$89,3,0)*0.475*44/12</f>
        <v>4.2256671366093723</v>
      </c>
      <c r="BS28" s="22">
        <f t="shared" si="9"/>
        <v>31.980090142629813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16.666666666666668</v>
      </c>
      <c r="BY28" s="12">
        <f>IF('Données projet'!$A$114&gt;35,BY27+BX28-CG27,IF(A28&lt;'Données projet'!$A$114,$BV$205^A28,IF(A28='Données projet'!$A$114,'Données projet'!$B$114,BY27+BX28-CG27)))</f>
        <v>171.66666666666666</v>
      </c>
      <c r="BZ28" s="13">
        <f>BY28*VLOOKUP('Données projet'!$B$12,Paramètres!$A$1:$I$89,3,0)*VLOOKUP('Données projet'!$B$12,Paramètres!$A$1:$I$89,5,0)</f>
        <v>93.72999999999999</v>
      </c>
      <c r="CA28" s="13">
        <f t="shared" si="39"/>
        <v>25.462674063925309</v>
      </c>
      <c r="CB28" s="20">
        <f t="shared" si="10"/>
        <v>207.59390732800321</v>
      </c>
      <c r="CC28" s="59">
        <f t="shared" si="11"/>
        <v>500.92724066133655</v>
      </c>
      <c r="CD28" s="59">
        <f ca="1">AVERAGE(OFFSET($CC$3,0,0,'Données projet'!$E$12+1,1))-AVERAGE(OFFSET($H$3,0,0,'Données projet'!$E$12+1,1))</f>
        <v>154.35821558431712</v>
      </c>
      <c r="CE28" s="59">
        <f t="shared" si="40"/>
        <v>263.86720460501306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62.463555584322776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62.463555584322776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86</v>
      </c>
      <c r="CR28" s="12">
        <f>VLOOKUP(A28,'Données projet'!$A$139:$I$159,9,0)</f>
        <v>10</v>
      </c>
      <c r="CS28" s="12">
        <f t="array" ref="CS28">INDEX(CR:CR,MIN(IF(ISNUMBER(CR28:CR224),ROW(CR28:CR224),"")))</f>
        <v>10</v>
      </c>
      <c r="CT28" s="12">
        <f>IF('Données projet'!$A$140&gt;35,CT27+CS28-DB27,IF(A28&lt;'Données projet'!$A$140,$CQ$205^A28,IF(A28='Données projet'!$A$140,'Données projet'!$B$140,CT27+CS28-DB27)))</f>
        <v>86</v>
      </c>
      <c r="CU28" s="17">
        <f>CT28*VLOOKUP('Données projet'!$B$13,Paramètres!$A$1:$I$89,3,0)*VLOOKUP('Données projet'!$B$13,Paramètres!$A$1:$I$89,5,0)</f>
        <v>68.421599999999998</v>
      </c>
      <c r="CV28" s="13">
        <f t="shared" si="41"/>
        <v>19.280966457164443</v>
      </c>
      <c r="CW28" s="20">
        <f t="shared" si="13"/>
        <v>152.74863657956141</v>
      </c>
      <c r="CX28" s="59">
        <f t="shared" si="14"/>
        <v>446.08196991289469</v>
      </c>
      <c r="CY28" s="59">
        <f ca="1">AVERAGE(OFFSET($CX$3,0,0,'Données projet'!$E$13+1,1))-AVERAGE(OFFSET($H$3,0,0,'Données projet'!$E$13+1,1))</f>
        <v>157.25319335691853</v>
      </c>
      <c r="CZ28" s="59">
        <f t="shared" si="42"/>
        <v>159.50903492442171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113</v>
      </c>
      <c r="DM28" s="12">
        <f>VLOOKUP(A28,'Données projet'!$A$165:$I$185,9,0)</f>
        <v>9.1999999999999993</v>
      </c>
      <c r="DN28" s="12">
        <f t="array" ref="DN28">INDEX(DM:DM,MIN(IF(ISNUMBER(DM28:DM224),ROW(DM28:DM224),"")))</f>
        <v>9.1999999999999993</v>
      </c>
      <c r="DO28" s="12">
        <f>IF('Données projet'!$A$166&gt;35,DO27+DN28-DW27,IF(A28&lt;'Données projet'!$A$166,$DL$205^A28,IF(A28='Données projet'!$A$166,'Données projet'!$B$166,DO27+DN28-DW27)))</f>
        <v>112.99999999999999</v>
      </c>
      <c r="DP28" s="17">
        <f>DO28*VLOOKUP('Données projet'!$B$14,Paramètres!$A$1:$I$89,3,0)*VLOOKUP('Données projet'!$B$14,Paramètres!$A$1:$I$89,5,0)</f>
        <v>98.716800000000006</v>
      </c>
      <c r="DQ28" s="13">
        <f t="shared" si="43"/>
        <v>26.656063438447475</v>
      </c>
      <c r="DR28" s="20">
        <f t="shared" si="16"/>
        <v>218.35773715529604</v>
      </c>
      <c r="DS28" s="59">
        <f t="shared" si="17"/>
        <v>511.69107048862935</v>
      </c>
      <c r="DT28" s="59">
        <f ca="1">AVERAGE(OFFSET($DS$3,0,0,'Données projet'!$E$14+1,1))-AVERAGE(OFFSET($H$3,0,0,'Données projet'!$E$14+1,1))</f>
        <v>229.5312221178919</v>
      </c>
      <c r="DU28" s="59">
        <f t="shared" si="44"/>
        <v>218.1982095871906</v>
      </c>
      <c r="DV28" s="15">
        <f>IF(ISNA(VLOOKUP(A28,'Données projet'!$A$165:$I$185,3,0)),0,VLOOKUP(A28,'Données projet'!$A$165:$I$185,3,0))</f>
        <v>2</v>
      </c>
      <c r="DW28" s="15" t="str">
        <f>IF(ISNA(VLOOKUP(A28,'Données projet'!$A$165:$I$185,4,0)),0,VLOOKUP(A28,'Données projet'!$A$165:$I$185,4,0))</f>
        <v>23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2.9235042735042733</v>
      </c>
      <c r="EJ28" s="12">
        <f>IF('Données projet'!$A$192&gt;35,EJ27+EI28-ER27,IF(A28&lt;'Données projet'!$A$192,$EG$205^A28,IF(A28='Données projet'!$A$192,'Données projet'!$B$192,EJ27+EI28-ER27)))</f>
        <v>41.609020251295185</v>
      </c>
      <c r="EK28" s="17">
        <f>EJ28*VLOOKUP('Données projet'!$B$15,Paramètres!$A$1:$I$89,3,0)*VLOOKUP('Données projet'!$B$15,Paramètres!$A$1:$I$89,5,0)</f>
        <v>37.647841523371881</v>
      </c>
      <c r="EL28" s="13">
        <f t="shared" si="45"/>
        <v>11.373025189850091</v>
      </c>
      <c r="EM28" s="20">
        <f t="shared" si="19"/>
        <v>85.37800952552827</v>
      </c>
      <c r="EN28" s="59">
        <f t="shared" si="20"/>
        <v>378.7113428588616</v>
      </c>
      <c r="EO28" s="59">
        <f ca="1">AVERAGE(OFFSET($EN$3,0,0,'Données projet'!$E$15+1,1))-AVERAGE(OFFSET($H$3,0,0,'Données projet'!$E$15+1,1))</f>
        <v>204.39656982394689</v>
      </c>
      <c r="EP28" s="59">
        <f t="shared" si="46"/>
        <v>134.95704640904546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3.1262820512820513</v>
      </c>
      <c r="FE28" s="12">
        <f>IF('Données projet'!$A$218&gt;35,FE27+FD28-FM27,IF(A28&lt;'Données projet'!$A$218,$FB$205^A28,IF(A28='Données projet'!$A$218,'Données projet'!$B$218,FE27+FD28-FM27)))</f>
        <v>44.000523472093278</v>
      </c>
      <c r="FF28" s="17">
        <f>FE28*VLOOKUP('Données projet'!$B$16,Paramètres!$A$1:$I$89,3,0)*VLOOKUP('Données projet'!$B$16,Paramètres!$A$1:$I$89,5,0)</f>
        <v>37.75244913905604</v>
      </c>
      <c r="FG28" s="13">
        <f t="shared" si="47"/>
        <v>11.400943219586136</v>
      </c>
      <c r="FH28" s="20">
        <f t="shared" si="22"/>
        <v>85.608825024635124</v>
      </c>
      <c r="FI28" s="59">
        <f t="shared" si="23"/>
        <v>378.94215835796842</v>
      </c>
      <c r="FJ28" s="59">
        <f ca="1">AVERAGE(OFFSET($FI$3,0,0,'Données projet'!$E$16+1,1))-AVERAGE(OFFSET($H$3,0,0,'Données projet'!$E$16+1,1))</f>
        <v>199.60585215726968</v>
      </c>
      <c r="FK28" s="59">
        <f t="shared" si="48"/>
        <v>137.37366750114404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4.9084615384615384</v>
      </c>
      <c r="N29" s="13">
        <f>IF('Données projet'!$A$36&gt;35,N28+M29-V28,IF(A29&lt;'Données projet'!$A$36,$K$205^A29,IF(A29='Données projet'!$A$36,'Données projet'!$B$36,N28+M29-V28)))</f>
        <v>75.681737511137769</v>
      </c>
      <c r="O29" s="13">
        <f>N29*VLOOKUP('Données projet'!$B$9,Paramètres!$A$1:$I$89,3,0)*VLOOKUP('Données projet'!$B$9,Paramètres!$A$1:$I$89,5,0)</f>
        <v>35.419053155212474</v>
      </c>
      <c r="P29" s="13">
        <f t="shared" si="33"/>
        <v>10.776006170294048</v>
      </c>
      <c r="Q29" s="20">
        <f t="shared" si="2"/>
        <v>80.456394991923858</v>
      </c>
      <c r="R29" s="59">
        <f t="shared" si="0"/>
        <v>373.78972832525716</v>
      </c>
      <c r="S29" s="59">
        <f ca="1">AVERAGE(OFFSET($R$3,0,0,'Données projet'!$E$9+1,1))-AVERAGE(OFFSET($H$3,0,0,'Données projet'!$E$9+1,1))</f>
        <v>164.93438869099657</v>
      </c>
      <c r="T29" s="59">
        <f t="shared" si="34"/>
        <v>112.28641356594233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494.25100923194668</v>
      </c>
      <c r="AN29" s="59">
        <f ca="1">AVERAGE(OFFSET($AM$3,0,0,'Données projet'!$E$10+1,1))-AVERAGE(OFFSET($H$3,0,0,'Données projet'!$E$10+1,1))</f>
        <v>273.81843612193632</v>
      </c>
      <c r="AO29" s="59">
        <f t="shared" si="36"/>
        <v>241.86405419073208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22.828205128205127</v>
      </c>
      <c r="BD29" s="12">
        <f>IF('Données projet'!$A$88&gt;35,BD28+BC29-BL28,IF(A29&lt;'Données projet'!$A$88,$BA$205^A29,IF(A29='Données projet'!$A$88,'Données projet'!$B$88,BD28+BC29-BL28)))</f>
        <v>240.55641025641015</v>
      </c>
      <c r="BE29" s="13">
        <f>BD29*VLOOKUP('Données projet'!$B$11,Paramètres!$A$1:$I$89,3,0)*VLOOKUP('Données projet'!$B$11,Paramètres!$A$1:$I$89,5,0)</f>
        <v>134.47103333333328</v>
      </c>
      <c r="BF29" s="13">
        <f t="shared" si="37"/>
        <v>35.027441907439481</v>
      </c>
      <c r="BG29" s="20">
        <f t="shared" si="7"/>
        <v>295.20984437767919</v>
      </c>
      <c r="BH29" s="59">
        <f t="shared" si="8"/>
        <v>588.5431777110125</v>
      </c>
      <c r="BI29" s="59">
        <f ca="1">AVERAGE(OFFSET($BH$3,0,0,'Données projet'!$E$11+1,1))-AVERAGE(OFFSET($H$3,0,0,'Données projet'!$E$11+1,1))</f>
        <v>271.42245454555501</v>
      </c>
      <c r="BJ29" s="59">
        <f t="shared" si="38"/>
        <v>362.63944425429077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11.706732444315998</v>
      </c>
      <c r="BQ29" s="21">
        <f>EXP(-LN(2)/25)*BQ28+(1-EXP(-LN(2)/25))/(LN(2)/25)*Calculateur!BL29*Calculateur!BN29*VLOOKUP('Données projet'!$B$11,Paramètres!$A$1:$I$89,3,0)*0.475*44/12</f>
        <v>15.38111506892985</v>
      </c>
      <c r="BR29" s="21">
        <f>EXP(-LN(2)/2)*BR28+(1-EXP(-LN(2)/2))/(LN(2)/2)*BL29*BO29*VLOOKUP('Données projet'!$B$11,Paramètres!$A$1:$I$89,3,0)*0.475*44/12</f>
        <v>2.9879978873336284</v>
      </c>
      <c r="BS29" s="22">
        <f t="shared" si="9"/>
        <v>30.075845400579475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16.666666666666668</v>
      </c>
      <c r="BY29" s="12">
        <f>IF('Données projet'!$A$114&gt;35,BY28+BX29-CG28,IF(A29&lt;'Données projet'!$A$114,$BV$205^A29,IF(A29='Données projet'!$A$114,'Données projet'!$B$114,BY28+BX29-CG28)))</f>
        <v>188.33333333333331</v>
      </c>
      <c r="BZ29" s="13">
        <f>BY29*VLOOKUP('Données projet'!$B$12,Paramètres!$A$1:$I$89,3,0)*VLOOKUP('Données projet'!$B$12,Paramètres!$A$1:$I$89,5,0)</f>
        <v>102.83</v>
      </c>
      <c r="CA29" s="13">
        <f t="shared" si="39"/>
        <v>27.635107084401234</v>
      </c>
      <c r="CB29" s="20">
        <f t="shared" si="10"/>
        <v>227.22672817199881</v>
      </c>
      <c r="CC29" s="59">
        <f t="shared" si="11"/>
        <v>520.5600615053321</v>
      </c>
      <c r="CD29" s="59">
        <f ca="1">AVERAGE(OFFSET($CC$3,0,0,'Données projet'!$E$12+1,1))-AVERAGE(OFFSET($H$3,0,0,'Données projet'!$E$12+1,1))</f>
        <v>154.35821558431712</v>
      </c>
      <c r="CE29" s="59">
        <f t="shared" si="40"/>
        <v>263.86720460501306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60.755486372053845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60.755486372053845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9.8000000000000007</v>
      </c>
      <c r="CT29" s="12">
        <f>IF('Données projet'!$A$140&gt;35,CT28+CS29-DB28,IF(A29&lt;'Données projet'!$A$140,$CQ$205^A29,IF(A29='Données projet'!$A$140,'Données projet'!$B$140,CT28+CS29-DB28)))</f>
        <v>74.8</v>
      </c>
      <c r="CU29" s="17">
        <f>CT29*VLOOKUP('Données projet'!$B$13,Paramètres!$A$1:$I$89,3,0)*VLOOKUP('Données projet'!$B$13,Paramètres!$A$1:$I$89,5,0)</f>
        <v>59.510879999999993</v>
      </c>
      <c r="CV29" s="13">
        <f t="shared" si="41"/>
        <v>17.044545279241799</v>
      </c>
      <c r="CW29" s="20">
        <f t="shared" si="13"/>
        <v>133.33403236134612</v>
      </c>
      <c r="CX29" s="59">
        <f t="shared" si="14"/>
        <v>426.66736569467946</v>
      </c>
      <c r="CY29" s="59">
        <f ca="1">AVERAGE(OFFSET($CX$3,0,0,'Données projet'!$E$13+1,1))-AVERAGE(OFFSET($H$3,0,0,'Données projet'!$E$13+1,1))</f>
        <v>157.25319335691853</v>
      </c>
      <c r="CZ29" s="59">
        <f t="shared" si="42"/>
        <v>159.50903492442171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</v>
      </c>
      <c r="DO29" s="12">
        <f>IF('Données projet'!$A$166&gt;35,DO28+DN29-DW28,IF(A29&lt;'Données projet'!$A$166,$DL$205^A29,IF(A29='Données projet'!$A$166,'Données projet'!$B$166,DO28+DN29-DW28)))</f>
        <v>98.999999999999986</v>
      </c>
      <c r="DP29" s="17">
        <f>DO29*VLOOKUP('Données projet'!$B$14,Paramètres!$A$1:$I$89,3,0)*VLOOKUP('Données projet'!$B$14,Paramètres!$A$1:$I$89,5,0)</f>
        <v>86.486400000000003</v>
      </c>
      <c r="DQ29" s="13">
        <f t="shared" si="43"/>
        <v>23.715875325195146</v>
      </c>
      <c r="DR29" s="20">
        <f t="shared" si="16"/>
        <v>191.93562952471487</v>
      </c>
      <c r="DS29" s="59">
        <f t="shared" si="17"/>
        <v>485.26896285804821</v>
      </c>
      <c r="DT29" s="59">
        <f ca="1">AVERAGE(OFFSET($DS$3,0,0,'Données projet'!$E$14+1,1))-AVERAGE(OFFSET($H$3,0,0,'Données projet'!$E$14+1,1))</f>
        <v>229.5312221178919</v>
      </c>
      <c r="DU29" s="59">
        <f t="shared" si="44"/>
        <v>218.1982095871906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2.9235042735042733</v>
      </c>
      <c r="EJ29" s="12">
        <f>IF('Données projet'!$A$192&gt;35,EJ28+EI29-ER28,IF(A29&lt;'Données projet'!$A$192,$EG$205^A29,IF(A29='Données projet'!$A$192,'Données projet'!$B$192,EJ28+EI29-ER28)))</f>
        <v>48.30087400300993</v>
      </c>
      <c r="EK29" s="17">
        <f>EJ29*VLOOKUP('Données projet'!$B$15,Paramètres!$A$1:$I$89,3,0)*VLOOKUP('Données projet'!$B$15,Paramètres!$A$1:$I$89,5,0)</f>
        <v>43.702630797923383</v>
      </c>
      <c r="EL29" s="13">
        <f t="shared" si="45"/>
        <v>12.974916262929579</v>
      </c>
      <c r="EM29" s="20">
        <f t="shared" si="19"/>
        <v>98.71339446431891</v>
      </c>
      <c r="EN29" s="59">
        <f t="shared" si="20"/>
        <v>392.04672779765224</v>
      </c>
      <c r="EO29" s="59">
        <f ca="1">AVERAGE(OFFSET($EN$3,0,0,'Données projet'!$E$15+1,1))-AVERAGE(OFFSET($H$3,0,0,'Données projet'!$E$15+1,1))</f>
        <v>204.39656982394689</v>
      </c>
      <c r="EP29" s="59">
        <f t="shared" si="46"/>
        <v>134.95704640904546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3.1262820512820513</v>
      </c>
      <c r="FE29" s="12">
        <f>IF('Données projet'!$A$218&gt;35,FE28+FD29-FM28,IF(A29&lt;'Données projet'!$A$218,$FB$205^A29,IF(A29='Données projet'!$A$218,'Données projet'!$B$218,FE28+FD29-FM28)))</f>
        <v>51.191299818067982</v>
      </c>
      <c r="FF29" s="17">
        <f>FE29*VLOOKUP('Données projet'!$B$16,Paramètres!$A$1:$I$89,3,0)*VLOOKUP('Données projet'!$B$16,Paramètres!$A$1:$I$89,5,0)</f>
        <v>43.922135243902332</v>
      </c>
      <c r="FG29" s="13">
        <f t="shared" si="47"/>
        <v>13.032482690081164</v>
      </c>
      <c r="FH29" s="20">
        <f t="shared" si="22"/>
        <v>99.195959568354581</v>
      </c>
      <c r="FI29" s="59">
        <f t="shared" si="23"/>
        <v>392.52929290168788</v>
      </c>
      <c r="FJ29" s="59">
        <f ca="1">AVERAGE(OFFSET($FI$3,0,0,'Données projet'!$E$16+1,1))-AVERAGE(OFFSET($H$3,0,0,'Données projet'!$E$16+1,1))</f>
        <v>199.60585215726968</v>
      </c>
      <c r="FK29" s="59">
        <f t="shared" si="48"/>
        <v>137.37366750114404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4.9084615384615384</v>
      </c>
      <c r="N30" s="13">
        <f>IF('Données projet'!$A$36&gt;35,N29+M30-V29,IF(A30&lt;'Données projet'!$A$36,$K$205^A30,IF(A30='Données projet'!$A$36,'Données projet'!$B$36,N29+M30-V29)))</f>
        <v>89.384040457688172</v>
      </c>
      <c r="O30" s="13">
        <f>N30*VLOOKUP('Données projet'!$B$9,Paramètres!$A$1:$I$89,3,0)*VLOOKUP('Données projet'!$B$9,Paramètres!$A$1:$I$89,5,0)</f>
        <v>41.831730934198063</v>
      </c>
      <c r="P30" s="13">
        <f t="shared" si="33"/>
        <v>12.482874982828019</v>
      </c>
      <c r="Q30" s="20">
        <f t="shared" si="2"/>
        <v>94.597938638820423</v>
      </c>
      <c r="R30" s="59">
        <f t="shared" si="0"/>
        <v>387.93127197215375</v>
      </c>
      <c r="S30" s="59">
        <f ca="1">AVERAGE(OFFSET($R$3,0,0,'Données projet'!$E$9+1,1))-AVERAGE(OFFSET($H$3,0,0,'Données projet'!$E$9+1,1))</f>
        <v>164.93438869099657</v>
      </c>
      <c r="T30" s="59">
        <f t="shared" si="34"/>
        <v>112.28641356594233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514.93368285721635</v>
      </c>
      <c r="AN30" s="59">
        <f ca="1">AVERAGE(OFFSET($AM$3,0,0,'Données projet'!$E$10+1,1))-AVERAGE(OFFSET($H$3,0,0,'Données projet'!$E$10+1,1))</f>
        <v>273.81843612193632</v>
      </c>
      <c r="AO30" s="59">
        <f t="shared" si="36"/>
        <v>241.86405419073208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22.828205128205127</v>
      </c>
      <c r="BD30" s="12">
        <f>IF('Données projet'!$A$88&gt;35,BD29+BC30-BL29,IF(A30&lt;'Données projet'!$A$88,$BA$205^A30,IF(A30='Données projet'!$A$88,'Données projet'!$B$88,BD29+BC30-BL29)))</f>
        <v>263.38461538461524</v>
      </c>
      <c r="BE30" s="13">
        <f>BD30*VLOOKUP('Données projet'!$B$11,Paramètres!$A$1:$I$89,3,0)*VLOOKUP('Données projet'!$B$11,Paramètres!$A$1:$I$89,5,0)</f>
        <v>147.23199999999994</v>
      </c>
      <c r="BF30" s="13">
        <f t="shared" si="37"/>
        <v>37.948867426510738</v>
      </c>
      <c r="BG30" s="20">
        <f t="shared" si="7"/>
        <v>322.52334410117277</v>
      </c>
      <c r="BH30" s="59">
        <f t="shared" si="8"/>
        <v>615.85667743450608</v>
      </c>
      <c r="BI30" s="59">
        <f ca="1">AVERAGE(OFFSET($BH$3,0,0,'Données projet'!$E$11+1,1))-AVERAGE(OFFSET($H$3,0,0,'Données projet'!$E$11+1,1))</f>
        <v>271.42245454555501</v>
      </c>
      <c r="BJ30" s="59">
        <f t="shared" si="38"/>
        <v>362.63944425429077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11.477170561484696</v>
      </c>
      <c r="BQ30" s="21">
        <f>EXP(-LN(2)/25)*BQ29+(1-EXP(-LN(2)/25))/(LN(2)/25)*Calculateur!BL30*Calculateur!BN30*VLOOKUP('Données projet'!$B$11,Paramètres!$A$1:$I$89,3,0)*0.475*44/12</f>
        <v>14.960517668512276</v>
      </c>
      <c r="BR30" s="21">
        <f>EXP(-LN(2)/2)*BR29+(1-EXP(-LN(2)/2))/(LN(2)/2)*BL30*BO30*VLOOKUP('Données projet'!$B$11,Paramètres!$A$1:$I$89,3,0)*0.475*44/12</f>
        <v>2.1128335683046862</v>
      </c>
      <c r="BS30" s="22">
        <f t="shared" si="9"/>
        <v>28.550521798301659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16.666666666666668</v>
      </c>
      <c r="BY30" s="12">
        <f>IF('Données projet'!$A$114&gt;35,BY29+BX30-CG29,IF(A30&lt;'Données projet'!$A$114,$BV$205^A30,IF(A30='Données projet'!$A$114,'Données projet'!$B$114,BY29+BX30-CG29)))</f>
        <v>204.99999999999997</v>
      </c>
      <c r="BZ30" s="13">
        <f>BY30*VLOOKUP('Données projet'!$B$12,Paramètres!$A$1:$I$89,3,0)*VLOOKUP('Données projet'!$B$12,Paramètres!$A$1:$I$89,5,0)</f>
        <v>111.92999999999998</v>
      </c>
      <c r="CA30" s="13">
        <f t="shared" si="39"/>
        <v>29.785246291563833</v>
      </c>
      <c r="CB30" s="20">
        <f t="shared" si="10"/>
        <v>246.82072062447358</v>
      </c>
      <c r="CC30" s="59">
        <f t="shared" si="11"/>
        <v>540.15405395780692</v>
      </c>
      <c r="CD30" s="59">
        <f ca="1">AVERAGE(OFFSET($CC$3,0,0,'Données projet'!$E$12+1,1))-AVERAGE(OFFSET($H$3,0,0,'Données projet'!$E$12+1,1))</f>
        <v>154.35821558431712</v>
      </c>
      <c r="CE30" s="59">
        <f t="shared" si="40"/>
        <v>263.86720460501306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59.094124402217865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59.094124402217865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9.8000000000000007</v>
      </c>
      <c r="CT30" s="12">
        <f>IF('Données projet'!$A$140&gt;35,CT29+CS30-DB29,IF(A30&lt;'Données projet'!$A$140,$CQ$205^A30,IF(A30='Données projet'!$A$140,'Données projet'!$B$140,CT29+CS30-DB29)))</f>
        <v>84.6</v>
      </c>
      <c r="CU30" s="17">
        <f>CT30*VLOOKUP('Données projet'!$B$13,Paramètres!$A$1:$I$89,3,0)*VLOOKUP('Données projet'!$B$13,Paramètres!$A$1:$I$89,5,0)</f>
        <v>67.307760000000002</v>
      </c>
      <c r="CV30" s="13">
        <f t="shared" si="41"/>
        <v>19.003361078332173</v>
      </c>
      <c r="CW30" s="20">
        <f t="shared" si="13"/>
        <v>150.32520254476188</v>
      </c>
      <c r="CX30" s="59">
        <f t="shared" si="14"/>
        <v>443.65853587809522</v>
      </c>
      <c r="CY30" s="59">
        <f ca="1">AVERAGE(OFFSET($CX$3,0,0,'Données projet'!$E$13+1,1))-AVERAGE(OFFSET($H$3,0,0,'Données projet'!$E$13+1,1))</f>
        <v>157.25319335691853</v>
      </c>
      <c r="CZ30" s="59">
        <f t="shared" si="42"/>
        <v>159.50903492442171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</v>
      </c>
      <c r="DO30" s="12">
        <f>IF('Données projet'!$A$166&gt;35,DO29+DN30-DW29,IF(A30&lt;'Données projet'!$A$166,$DL$205^A30,IF(A30='Données projet'!$A$166,'Données projet'!$B$166,DO29+DN30-DW29)))</f>
        <v>107.99999999999999</v>
      </c>
      <c r="DP30" s="17">
        <f>DO30*VLOOKUP('Données projet'!$B$14,Paramètres!$A$1:$I$89,3,0)*VLOOKUP('Données projet'!$B$14,Paramètres!$A$1:$I$89,5,0)</f>
        <v>94.348799999999997</v>
      </c>
      <c r="DQ30" s="13">
        <f t="shared" si="43"/>
        <v>25.611153022386461</v>
      </c>
      <c r="DR30" s="20">
        <f t="shared" si="16"/>
        <v>208.9302515139897</v>
      </c>
      <c r="DS30" s="59">
        <f t="shared" si="17"/>
        <v>502.26358484732305</v>
      </c>
      <c r="DT30" s="59">
        <f ca="1">AVERAGE(OFFSET($DS$3,0,0,'Données projet'!$E$14+1,1))-AVERAGE(OFFSET($H$3,0,0,'Données projet'!$E$14+1,1))</f>
        <v>229.5312221178919</v>
      </c>
      <c r="DU30" s="59">
        <f t="shared" si="44"/>
        <v>218.1982095871906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2.9235042735042733</v>
      </c>
      <c r="EJ30" s="12">
        <f>IF('Données projet'!$A$192&gt;35,EJ29+EI30-ER29,IF(A30&lt;'Données projet'!$A$192,$EG$205^A30,IF(A30='Données projet'!$A$192,'Données projet'!$B$192,EJ29+EI30-ER29)))</f>
        <v>56.068958494210662</v>
      </c>
      <c r="EK30" s="17">
        <f>EJ30*VLOOKUP('Données projet'!$B$15,Paramètres!$A$1:$I$89,3,0)*VLOOKUP('Données projet'!$B$15,Paramètres!$A$1:$I$89,5,0)</f>
        <v>50.731193645561802</v>
      </c>
      <c r="EL30" s="13">
        <f t="shared" si="45"/>
        <v>14.802433760568636</v>
      </c>
      <c r="EM30" s="20">
        <f t="shared" si="19"/>
        <v>114.13773439901051</v>
      </c>
      <c r="EN30" s="59">
        <f t="shared" si="20"/>
        <v>407.47106773234384</v>
      </c>
      <c r="EO30" s="59">
        <f ca="1">AVERAGE(OFFSET($EN$3,0,0,'Données projet'!$E$15+1,1))-AVERAGE(OFFSET($H$3,0,0,'Données projet'!$E$15+1,1))</f>
        <v>204.39656982394689</v>
      </c>
      <c r="EP30" s="59">
        <f t="shared" si="46"/>
        <v>134.95704640904546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3.1262820512820513</v>
      </c>
      <c r="FE30" s="12">
        <f>IF('Données projet'!$A$218&gt;35,FE29+FD30-FM29,IF(A30&lt;'Données projet'!$A$218,$FB$205^A30,IF(A30='Données projet'!$A$218,'Données projet'!$B$218,FE29+FD30-FM29)))</f>
        <v>59.557227284474799</v>
      </c>
      <c r="FF30" s="17">
        <f>FE30*VLOOKUP('Données projet'!$B$16,Paramètres!$A$1:$I$89,3,0)*VLOOKUP('Données projet'!$B$16,Paramètres!$A$1:$I$89,5,0)</f>
        <v>51.100101010079385</v>
      </c>
      <c r="FG30" s="13">
        <f t="shared" si="47"/>
        <v>14.897504688513896</v>
      </c>
      <c r="FH30" s="20">
        <f t="shared" si="22"/>
        <v>114.94582992504996</v>
      </c>
      <c r="FI30" s="59">
        <f t="shared" si="23"/>
        <v>408.27916325838328</v>
      </c>
      <c r="FJ30" s="59">
        <f ca="1">AVERAGE(OFFSET($FI$3,0,0,'Données projet'!$E$16+1,1))-AVERAGE(OFFSET($H$3,0,0,'Données projet'!$E$16+1,1))</f>
        <v>199.60585215726968</v>
      </c>
      <c r="FK30" s="59">
        <f t="shared" si="48"/>
        <v>137.37366750114404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4.9084615384615384</v>
      </c>
      <c r="N31" s="13">
        <f>IF('Données projet'!$A$36&gt;35,N30+M31-V30,IF(A31&lt;'Données projet'!$A$36,$K$205^A31,IF(A31='Données projet'!$A$36,'Données projet'!$B$36,N30+M31-V30)))</f>
        <v>105.56716787013318</v>
      </c>
      <c r="O31" s="13">
        <f>N31*VLOOKUP('Données projet'!$B$9,Paramètres!$A$1:$I$89,3,0)*VLOOKUP('Données projet'!$B$9,Paramètres!$A$1:$I$89,5,0)</f>
        <v>49.405434563222322</v>
      </c>
      <c r="P31" s="13">
        <f t="shared" si="33"/>
        <v>14.46010380603388</v>
      </c>
      <c r="Q31" s="20">
        <f t="shared" si="2"/>
        <v>111.23247932645454</v>
      </c>
      <c r="R31" s="59">
        <f t="shared" si="0"/>
        <v>404.56581265978787</v>
      </c>
      <c r="S31" s="59">
        <f ca="1">AVERAGE(OFFSET($R$3,0,0,'Données projet'!$E$9+1,1))-AVERAGE(OFFSET($H$3,0,0,'Données projet'!$E$9+1,1))</f>
        <v>164.93438869099657</v>
      </c>
      <c r="T31" s="59">
        <f t="shared" si="34"/>
        <v>112.28641356594233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535.5720570383387</v>
      </c>
      <c r="AN31" s="59">
        <f ca="1">AVERAGE(OFFSET($AM$3,0,0,'Données projet'!$E$10+1,1))-AVERAGE(OFFSET($H$3,0,0,'Données projet'!$E$10+1,1))</f>
        <v>273.81843612193632</v>
      </c>
      <c r="AO31" s="59">
        <f t="shared" si="36"/>
        <v>241.86405419073208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22.828205128205127</v>
      </c>
      <c r="BD31" s="12">
        <f>IF('Données projet'!$A$88&gt;35,BD30+BC31-BL30,IF(A31&lt;'Données projet'!$A$88,$BA$205^A31,IF(A31='Données projet'!$A$88,'Données projet'!$B$88,BD30+BC31-BL30)))</f>
        <v>286.21282051282037</v>
      </c>
      <c r="BE31" s="13">
        <f>BD31*VLOOKUP('Données projet'!$B$11,Paramètres!$A$1:$I$89,3,0)*VLOOKUP('Données projet'!$B$11,Paramètres!$A$1:$I$89,5,0)</f>
        <v>159.99296666666658</v>
      </c>
      <c r="BF31" s="13">
        <f t="shared" si="37"/>
        <v>40.840929014671453</v>
      </c>
      <c r="BG31" s="20">
        <f t="shared" si="7"/>
        <v>349.785701644997</v>
      </c>
      <c r="BH31" s="59">
        <f t="shared" si="8"/>
        <v>643.11903497833032</v>
      </c>
      <c r="BI31" s="59">
        <f ca="1">AVERAGE(OFFSET($BH$3,0,0,'Données projet'!$E$11+1,1))-AVERAGE(OFFSET($H$3,0,0,'Données projet'!$E$11+1,1))</f>
        <v>271.42245454555501</v>
      </c>
      <c r="BJ31" s="59">
        <f t="shared" si="38"/>
        <v>362.63944425429077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11.252110247156793</v>
      </c>
      <c r="BQ31" s="21">
        <f>EXP(-LN(2)/25)*BQ30+(1-EXP(-LN(2)/25))/(LN(2)/25)*Calculateur!BL31*Calculateur!BN31*VLOOKUP('Données projet'!$B$11,Paramètres!$A$1:$I$89,3,0)*0.475*44/12</f>
        <v>14.551421526127376</v>
      </c>
      <c r="BR31" s="21">
        <f>EXP(-LN(2)/2)*BR30+(1-EXP(-LN(2)/2))/(LN(2)/2)*BL31*BO31*VLOOKUP('Données projet'!$B$11,Paramètres!$A$1:$I$89,3,0)*0.475*44/12</f>
        <v>1.4939989436668142</v>
      </c>
      <c r="BS31" s="22">
        <f t="shared" si="9"/>
        <v>27.297530716950984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16.666666666666668</v>
      </c>
      <c r="BY31" s="12">
        <f>IF('Données projet'!$A$114&gt;35,BY30+BX31-CG30,IF(A31&lt;'Données projet'!$A$114,$BV$205^A31,IF(A31='Données projet'!$A$114,'Données projet'!$B$114,BY30+BX31-CG30)))</f>
        <v>221.66666666666663</v>
      </c>
      <c r="BZ31" s="13">
        <f>BY31*VLOOKUP('Données projet'!$B$12,Paramètres!$A$1:$I$89,3,0)*VLOOKUP('Données projet'!$B$12,Paramètres!$A$1:$I$89,5,0)</f>
        <v>121.02999999999997</v>
      </c>
      <c r="CA31" s="13">
        <f t="shared" si="39"/>
        <v>31.915110254002617</v>
      </c>
      <c r="CB31" s="20">
        <f t="shared" si="10"/>
        <v>266.3794003590545</v>
      </c>
      <c r="CC31" s="59">
        <f t="shared" si="11"/>
        <v>559.71273369238781</v>
      </c>
      <c r="CD31" s="59">
        <f ca="1">AVERAGE(OFFSET($CC$3,0,0,'Données projet'!$E$12+1,1))-AVERAGE(OFFSET($H$3,0,0,'Données projet'!$E$12+1,1))</f>
        <v>154.35821558431712</v>
      </c>
      <c r="CE31" s="59">
        <f t="shared" si="40"/>
        <v>263.86720460501306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57.478192462814278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57.478192462814278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9.8000000000000007</v>
      </c>
      <c r="CT31" s="12">
        <f>IF('Données projet'!$A$140&gt;35,CT30+CS31-DB30,IF(A31&lt;'Données projet'!$A$140,$CQ$205^A31,IF(A31='Données projet'!$A$140,'Données projet'!$B$140,CT30+CS31-DB30)))</f>
        <v>94.399999999999991</v>
      </c>
      <c r="CU31" s="17">
        <f>CT31*VLOOKUP('Données projet'!$B$13,Paramètres!$A$1:$I$89,3,0)*VLOOKUP('Données projet'!$B$13,Paramètres!$A$1:$I$89,5,0)</f>
        <v>75.104640000000003</v>
      </c>
      <c r="CV31" s="13">
        <f t="shared" si="41"/>
        <v>20.935880066615336</v>
      </c>
      <c r="CW31" s="20">
        <f t="shared" si="13"/>
        <v>167.27057244935506</v>
      </c>
      <c r="CX31" s="59">
        <f t="shared" si="14"/>
        <v>460.60390578268834</v>
      </c>
      <c r="CY31" s="59">
        <f ca="1">AVERAGE(OFFSET($CX$3,0,0,'Données projet'!$E$13+1,1))-AVERAGE(OFFSET($H$3,0,0,'Données projet'!$E$13+1,1))</f>
        <v>157.25319335691853</v>
      </c>
      <c r="CZ31" s="59">
        <f t="shared" si="42"/>
        <v>159.50903492442171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</v>
      </c>
      <c r="DO31" s="12">
        <f>IF('Données projet'!$A$166&gt;35,DO30+DN31-DW30,IF(A31&lt;'Données projet'!$A$166,$DL$205^A31,IF(A31='Données projet'!$A$166,'Données projet'!$B$166,DO30+DN31-DW30)))</f>
        <v>116.99999999999999</v>
      </c>
      <c r="DP31" s="17">
        <f>DO31*VLOOKUP('Données projet'!$B$14,Paramètres!$A$1:$I$89,3,0)*VLOOKUP('Données projet'!$B$14,Paramètres!$A$1:$I$89,5,0)</f>
        <v>102.21119999999999</v>
      </c>
      <c r="DQ31" s="13">
        <f t="shared" si="43"/>
        <v>27.488113037666018</v>
      </c>
      <c r="DR31" s="20">
        <f t="shared" si="16"/>
        <v>225.89297020726829</v>
      </c>
      <c r="DS31" s="59">
        <f t="shared" si="17"/>
        <v>519.22630354060163</v>
      </c>
      <c r="DT31" s="59">
        <f ca="1">AVERAGE(OFFSET($DS$3,0,0,'Données projet'!$E$14+1,1))-AVERAGE(OFFSET($H$3,0,0,'Données projet'!$E$14+1,1))</f>
        <v>229.5312221178919</v>
      </c>
      <c r="DU31" s="59">
        <f t="shared" si="44"/>
        <v>218.1982095871906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2.9235042735042733</v>
      </c>
      <c r="EJ31" s="12">
        <f>IF('Données projet'!$A$192&gt;35,EJ30+EI31-ER30,IF(A31&lt;'Données projet'!$A$192,$EG$205^A31,IF(A31='Données projet'!$A$192,'Données projet'!$B$192,EJ30+EI31-ER30)))</f>
        <v>65.086360682202411</v>
      </c>
      <c r="EK31" s="17">
        <f>EJ31*VLOOKUP('Données projet'!$B$15,Paramètres!$A$1:$I$89,3,0)*VLOOKUP('Données projet'!$B$15,Paramètres!$A$1:$I$89,5,0)</f>
        <v>58.89013914525674</v>
      </c>
      <c r="EL31" s="13">
        <f t="shared" si="45"/>
        <v>16.887357174091651</v>
      </c>
      <c r="EM31" s="20">
        <f t="shared" si="19"/>
        <v>131.9791394228651</v>
      </c>
      <c r="EN31" s="59">
        <f t="shared" si="20"/>
        <v>425.31247275619842</v>
      </c>
      <c r="EO31" s="59">
        <f ca="1">AVERAGE(OFFSET($EN$3,0,0,'Données projet'!$E$15+1,1))-AVERAGE(OFFSET($H$3,0,0,'Données projet'!$E$15+1,1))</f>
        <v>204.39656982394689</v>
      </c>
      <c r="EP31" s="59">
        <f t="shared" si="46"/>
        <v>134.95704640904546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3.1262820512820513</v>
      </c>
      <c r="FE31" s="12">
        <f>IF('Données projet'!$A$218&gt;35,FE30+FD31-FM30,IF(A31&lt;'Données projet'!$A$218,$FB$205^A31,IF(A31='Données projet'!$A$218,'Données projet'!$B$218,FE30+FD31-FM30)))</f>
        <v>69.290354697394335</v>
      </c>
      <c r="FF31" s="17">
        <f>FE31*VLOOKUP('Données projet'!$B$16,Paramètres!$A$1:$I$89,3,0)*VLOOKUP('Données projet'!$B$16,Paramètres!$A$1:$I$89,5,0)</f>
        <v>59.451124330364351</v>
      </c>
      <c r="FG31" s="13">
        <f t="shared" si="47"/>
        <v>17.029421885455903</v>
      </c>
      <c r="FH31" s="20">
        <f t="shared" si="22"/>
        <v>133.2036179925536</v>
      </c>
      <c r="FI31" s="59">
        <f t="shared" si="23"/>
        <v>426.53695132588689</v>
      </c>
      <c r="FJ31" s="59">
        <f ca="1">AVERAGE(OFFSET($FI$3,0,0,'Données projet'!$E$16+1,1))-AVERAGE(OFFSET($H$3,0,0,'Données projet'!$E$16+1,1))</f>
        <v>199.60585215726968</v>
      </c>
      <c r="FK31" s="59">
        <f t="shared" si="48"/>
        <v>137.37366750114404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4.9084615384615384</v>
      </c>
      <c r="N32" s="13">
        <f>IF('Données projet'!$A$36&gt;35,N31+M32-V31,IF(A32&lt;'Données projet'!$A$36,$K$205^A32,IF(A32='Données projet'!$A$36,'Données projet'!$B$36,N31+M32-V31)))</f>
        <v>124.68027709483918</v>
      </c>
      <c r="O32" s="13">
        <f>N32*VLOOKUP('Données projet'!$B$9,Paramètres!$A$1:$I$89,3,0)*VLOOKUP('Données projet'!$B$9,Paramètres!$A$1:$I$89,5,0)</f>
        <v>58.350369680384738</v>
      </c>
      <c r="P32" s="13">
        <f t="shared" si="33"/>
        <v>16.750516396977062</v>
      </c>
      <c r="Q32" s="20">
        <f t="shared" si="2"/>
        <v>130.80070991807179</v>
      </c>
      <c r="R32" s="59">
        <f t="shared" si="0"/>
        <v>424.1340432514051</v>
      </c>
      <c r="S32" s="59">
        <f ca="1">AVERAGE(OFFSET($R$3,0,0,'Données projet'!$E$9+1,1))-AVERAGE(OFFSET($H$3,0,0,'Données projet'!$E$9+1,1))</f>
        <v>164.93438869099657</v>
      </c>
      <c r="T32" s="59">
        <f t="shared" si="34"/>
        <v>112.28641356594233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556.17043645971171</v>
      </c>
      <c r="AN32" s="59">
        <f ca="1">AVERAGE(OFFSET($AM$3,0,0,'Données projet'!$E$10+1,1))-AVERAGE(OFFSET($H$3,0,0,'Données projet'!$E$10+1,1))</f>
        <v>273.81843612193632</v>
      </c>
      <c r="AO32" s="59">
        <f t="shared" si="36"/>
        <v>241.86405419073208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22.828205128205127</v>
      </c>
      <c r="BD32" s="12">
        <f>IF('Données projet'!$A$88&gt;35,BD31+BC32-BL31,IF(A32&lt;'Données projet'!$A$88,$BA$205^A32,IF(A32='Données projet'!$A$88,'Données projet'!$B$88,BD31+BC32-BL31)))</f>
        <v>309.0410256410255</v>
      </c>
      <c r="BE32" s="13">
        <f>BD32*VLOOKUP('Données projet'!$B$11,Paramètres!$A$1:$I$89,3,0)*VLOOKUP('Données projet'!$B$11,Paramètres!$A$1:$I$89,5,0)</f>
        <v>172.75393333333326</v>
      </c>
      <c r="BF32" s="13">
        <f t="shared" si="37"/>
        <v>43.706234996805463</v>
      </c>
      <c r="BG32" s="20">
        <f t="shared" si="7"/>
        <v>377.00145984165829</v>
      </c>
      <c r="BH32" s="59">
        <f t="shared" si="8"/>
        <v>670.33479317499155</v>
      </c>
      <c r="BI32" s="59">
        <f ca="1">AVERAGE(OFFSET($BH$3,0,0,'Données projet'!$E$11+1,1))-AVERAGE(OFFSET($H$3,0,0,'Données projet'!$E$11+1,1))</f>
        <v>271.42245454555501</v>
      </c>
      <c r="BJ32" s="59">
        <f t="shared" si="38"/>
        <v>362.63944425429077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11.031463228319623</v>
      </c>
      <c r="BQ32" s="21">
        <f>EXP(-LN(2)/25)*BQ31+(1-EXP(-LN(2)/25))/(LN(2)/25)*Calculateur!BL32*Calculateur!BN32*VLOOKUP('Données projet'!$B$11,Paramètres!$A$1:$I$89,3,0)*0.475*44/12</f>
        <v>14.153512139269422</v>
      </c>
      <c r="BR32" s="21">
        <f>EXP(-LN(2)/2)*BR31+(1-EXP(-LN(2)/2))/(LN(2)/2)*BL32*BO32*VLOOKUP('Données projet'!$B$11,Paramètres!$A$1:$I$89,3,0)*0.475*44/12</f>
        <v>1.0564167841523431</v>
      </c>
      <c r="BS32" s="22">
        <f t="shared" si="9"/>
        <v>26.24139215174139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16.666666666666668</v>
      </c>
      <c r="BY32" s="12">
        <f>IF('Données projet'!$A$114&gt;35,BY31+BX32-CG31,IF(A32&lt;'Données projet'!$A$114,$BV$205^A32,IF(A32='Données projet'!$A$114,'Données projet'!$B$114,BY31+BX32-CG31)))</f>
        <v>238.33333333333329</v>
      </c>
      <c r="BZ32" s="13">
        <f>BY32*VLOOKUP('Données projet'!$B$12,Paramètres!$A$1:$I$89,3,0)*VLOOKUP('Données projet'!$B$12,Paramètres!$A$1:$I$89,5,0)</f>
        <v>130.12999999999997</v>
      </c>
      <c r="CA32" s="13">
        <f t="shared" si="39"/>
        <v>34.026396767825609</v>
      </c>
      <c r="CB32" s="20">
        <f t="shared" si="10"/>
        <v>285.90572437062957</v>
      </c>
      <c r="CC32" s="59">
        <f t="shared" si="11"/>
        <v>579.23905770396289</v>
      </c>
      <c r="CD32" s="59">
        <f ca="1">AVERAGE(OFFSET($CC$3,0,0,'Données projet'!$E$12+1,1))-AVERAGE(OFFSET($H$3,0,0,'Données projet'!$E$12+1,1))</f>
        <v>154.35821558431712</v>
      </c>
      <c r="CE32" s="59">
        <f t="shared" si="40"/>
        <v>263.86720460501306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55.906448267271848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55.906448267271848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9.8000000000000007</v>
      </c>
      <c r="CT32" s="12">
        <f>IF('Données projet'!$A$140&gt;35,CT31+CS32-DB31,IF(A32&lt;'Données projet'!$A$140,$CQ$205^A32,IF(A32='Données projet'!$A$140,'Données projet'!$B$140,CT31+CS32-DB31)))</f>
        <v>104.19999999999999</v>
      </c>
      <c r="CU32" s="17">
        <f>CT32*VLOOKUP('Données projet'!$B$13,Paramètres!$A$1:$I$89,3,0)*VLOOKUP('Données projet'!$B$13,Paramètres!$A$1:$I$89,5,0)</f>
        <v>82.901519999999991</v>
      </c>
      <c r="CV32" s="13">
        <f t="shared" si="41"/>
        <v>22.845143166728683</v>
      </c>
      <c r="CW32" s="20">
        <f t="shared" si="13"/>
        <v>184.1754383487191</v>
      </c>
      <c r="CX32" s="59">
        <f t="shared" si="14"/>
        <v>477.50877168205238</v>
      </c>
      <c r="CY32" s="59">
        <f ca="1">AVERAGE(OFFSET($CX$3,0,0,'Données projet'!$E$13+1,1))-AVERAGE(OFFSET($H$3,0,0,'Données projet'!$E$13+1,1))</f>
        <v>157.25319335691853</v>
      </c>
      <c r="CZ32" s="59">
        <f t="shared" si="42"/>
        <v>159.50903492442171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</v>
      </c>
      <c r="DO32" s="12">
        <f>IF('Données projet'!$A$166&gt;35,DO31+DN32-DW31,IF(A32&lt;'Données projet'!$A$166,$DL$205^A32,IF(A32='Données projet'!$A$166,'Données projet'!$B$166,DO31+DN32-DW31)))</f>
        <v>125.99999999999999</v>
      </c>
      <c r="DP32" s="17">
        <f>DO32*VLOOKUP('Données projet'!$B$14,Paramètres!$A$1:$I$89,3,0)*VLOOKUP('Données projet'!$B$14,Paramètres!$A$1:$I$89,5,0)</f>
        <v>110.07360000000001</v>
      </c>
      <c r="DQ32" s="13">
        <f t="shared" si="43"/>
        <v>29.348324631518828</v>
      </c>
      <c r="DR32" s="20">
        <f t="shared" si="16"/>
        <v>242.8265187332286</v>
      </c>
      <c r="DS32" s="59">
        <f t="shared" si="17"/>
        <v>536.15985206656194</v>
      </c>
      <c r="DT32" s="59">
        <f ca="1">AVERAGE(OFFSET($DS$3,0,0,'Données projet'!$E$14+1,1))-AVERAGE(OFFSET($H$3,0,0,'Données projet'!$E$14+1,1))</f>
        <v>229.5312221178919</v>
      </c>
      <c r="DU32" s="59">
        <f t="shared" si="44"/>
        <v>218.1982095871906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2.9235042735042733</v>
      </c>
      <c r="EJ32" s="12">
        <f>IF('Données projet'!$A$192&gt;35,EJ31+EI32-ER31,IF(A32&lt;'Données projet'!$A$192,$EG$205^A32,IF(A32='Données projet'!$A$192,'Données projet'!$B$192,EJ31+EI32-ER31)))</f>
        <v>75.55400457975604</v>
      </c>
      <c r="EK32" s="17">
        <f>EJ32*VLOOKUP('Données projet'!$B$15,Paramètres!$A$1:$I$89,3,0)*VLOOKUP('Données projet'!$B$15,Paramètres!$A$1:$I$89,5,0)</f>
        <v>68.36126334376327</v>
      </c>
      <c r="EL32" s="13">
        <f t="shared" si="45"/>
        <v>19.265942137503561</v>
      </c>
      <c r="EM32" s="20">
        <f t="shared" si="19"/>
        <v>152.61738287987308</v>
      </c>
      <c r="EN32" s="59">
        <f t="shared" si="20"/>
        <v>445.95071621320642</v>
      </c>
      <c r="EO32" s="59">
        <f ca="1">AVERAGE(OFFSET($EN$3,0,0,'Données projet'!$E$15+1,1))-AVERAGE(OFFSET($H$3,0,0,'Données projet'!$E$15+1,1))</f>
        <v>204.39656982394689</v>
      </c>
      <c r="EP32" s="59">
        <f t="shared" si="46"/>
        <v>134.95704640904546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3.1262820512820513</v>
      </c>
      <c r="FE32" s="12">
        <f>IF('Données projet'!$A$218&gt;35,FE31+FD32-FM31,IF(A32&lt;'Données projet'!$A$218,$FB$205^A32,IF(A32='Données projet'!$A$218,'Données projet'!$B$218,FE31+FD32-FM31)))</f>
        <v>80.614116422143596</v>
      </c>
      <c r="FF32" s="17">
        <f>FE32*VLOOKUP('Données projet'!$B$16,Paramètres!$A$1:$I$89,3,0)*VLOOKUP('Données projet'!$B$16,Paramètres!$A$1:$I$89,5,0)</f>
        <v>69.166911890199216</v>
      </c>
      <c r="FG32" s="13">
        <f t="shared" si="47"/>
        <v>19.466428493654927</v>
      </c>
      <c r="FH32" s="20">
        <f t="shared" si="22"/>
        <v>154.36973450187929</v>
      </c>
      <c r="FI32" s="59">
        <f t="shared" si="23"/>
        <v>447.70306783521261</v>
      </c>
      <c r="FJ32" s="59">
        <f ca="1">AVERAGE(OFFSET($FI$3,0,0,'Données projet'!$E$16+1,1))-AVERAGE(OFFSET($H$3,0,0,'Données projet'!$E$16+1,1))</f>
        <v>199.60585215726968</v>
      </c>
      <c r="FK32" s="59">
        <f t="shared" si="48"/>
        <v>137.37366750114404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147.25384615384615</v>
      </c>
      <c r="L33" s="12">
        <f>VLOOKUP(A33,'Données projet'!$A$35:$I$55,9,0)</f>
        <v>4.9084615384615384</v>
      </c>
      <c r="M33" s="12">
        <f t="array" ref="M33">INDEX(L:L,MIN(IF(ISNUMBER(L33:L229),ROW(L33:L229),"")))</f>
        <v>4.9084615384615384</v>
      </c>
      <c r="N33" s="13">
        <f>IF('Données projet'!$A$36&gt;35,N32+M33-V32,IF(A33&lt;'Données projet'!$A$36,$K$205^A33,IF(A33='Données projet'!$A$36,'Données projet'!$B$36,N32+M33-V32)))</f>
        <v>147.25384615384615</v>
      </c>
      <c r="O33" s="13">
        <f>N33*VLOOKUP('Données projet'!$B$9,Paramètres!$A$1:$I$89,3,0)*VLOOKUP('Données projet'!$B$9,Paramètres!$A$1:$I$89,5,0)</f>
        <v>68.9148</v>
      </c>
      <c r="P33" s="13">
        <f t="shared" si="33"/>
        <v>19.403719594897876</v>
      </c>
      <c r="Q33" s="20">
        <f t="shared" si="2"/>
        <v>153.82142162778047</v>
      </c>
      <c r="R33" s="59">
        <f t="shared" si="0"/>
        <v>447.15475496111378</v>
      </c>
      <c r="S33" s="59">
        <f ca="1">AVERAGE(OFFSET($R$3,0,0,'Données projet'!$E$9+1,1))-AVERAGE(OFFSET($H$3,0,0,'Données projet'!$E$9+1,1))</f>
        <v>164.93438869099657</v>
      </c>
      <c r="T33" s="59">
        <f t="shared" si="34"/>
        <v>112.28641356594233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273.81843612193632</v>
      </c>
      <c r="AO33" s="59">
        <f t="shared" si="36"/>
        <v>241.86405419073208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331.86923076923074</v>
      </c>
      <c r="BB33" s="12">
        <f>VLOOKUP(A33,'Données projet'!$A$87:$I$107,9,0)</f>
        <v>22.828205128205127</v>
      </c>
      <c r="BC33" s="12">
        <f t="array" ref="BC33">INDEX(BB:BB,MIN(IF(ISNUMBER(BB33:BB229),ROW(BB33:BB229),"")))</f>
        <v>22.828205128205127</v>
      </c>
      <c r="BD33" s="12">
        <f>IF('Données projet'!$A$88&gt;35,BD32+BC33-BL32,IF(A33&lt;'Données projet'!$A$88,$BA$205^A33,IF(A33='Données projet'!$A$88,'Données projet'!$B$88,BD32+BC33-BL32)))</f>
        <v>331.86923076923063</v>
      </c>
      <c r="BE33" s="13">
        <f>BD33*VLOOKUP('Données projet'!$B$11,Paramètres!$A$1:$I$89,3,0)*VLOOKUP('Données projet'!$B$11,Paramètres!$A$1:$I$89,5,0)</f>
        <v>185.5148999999999</v>
      </c>
      <c r="BF33" s="13">
        <f t="shared" si="37"/>
        <v>46.546986497298995</v>
      </c>
      <c r="BG33" s="20">
        <f t="shared" si="7"/>
        <v>404.17445231612891</v>
      </c>
      <c r="BH33" s="59">
        <f t="shared" si="8"/>
        <v>697.50778564946222</v>
      </c>
      <c r="BI33" s="59">
        <f ca="1">AVERAGE(OFFSET($BH$3,0,0,'Données projet'!$E$11+1,1))-AVERAGE(OFFSET($H$3,0,0,'Données projet'!$E$11+1,1))</f>
        <v>271.42245454555501</v>
      </c>
      <c r="BJ33" s="59">
        <f t="shared" si="38"/>
        <v>362.63944425429077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65.669230769230765</v>
      </c>
      <c r="BM33" s="16">
        <f>IF(ISNA(VLOOKUP(A33,'Données projet'!$A$87:$I$107,5,0)),0%,VLOOKUP(A33,'Données projet'!$A$87:$I$107,5,0)*VLOOKUP('Données projet'!$B$11,Paramètres!$A$1:$I$89,7,0))</f>
        <v>0.38500000000000001</v>
      </c>
      <c r="BN33" s="16">
        <f>IF(ISNA(VLOOKUP(A33,'Données projet'!$A$87:$I$107,6,0)),0%,VLOOKUP(A33,'Données projet'!$A$87:$I$107,6,0)*VLOOKUP('Données projet'!$B$11,Paramètres!$A$1:$I$89,7,0))</f>
        <v>9.240000000000001E-2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29.563483054643072</v>
      </c>
      <c r="BQ33" s="21">
        <f>EXP(-LN(2)/25)*BQ32+(1-EXP(-LN(2)/25))/(LN(2)/25)*Calculateur!BL33*Calculateur!BN33*VLOOKUP('Données projet'!$B$11,Paramètres!$A$1:$I$89,3,0)*0.475*44/12</f>
        <v>18.248368581460394</v>
      </c>
      <c r="BR33" s="21">
        <f>EXP(-LN(2)/2)*BR32+(1-EXP(-LN(2)/2))/(LN(2)/2)*BL33*BO33*VLOOKUP('Données projet'!$B$11,Paramètres!$A$1:$I$89,3,0)*0.475*44/12</f>
        <v>6.233345651406407</v>
      </c>
      <c r="BS33" s="22">
        <f t="shared" si="9"/>
        <v>54.045197287509879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255</v>
      </c>
      <c r="BW33" s="12">
        <f>VLOOKUP(A33,'Données projet'!$A$113:$I$133,9,0)</f>
        <v>16.666666666666668</v>
      </c>
      <c r="BX33" s="12">
        <f t="array" ref="BX33">INDEX(BW:BW,MIN(IF(ISNUMBER(BW33:BW229),ROW(BW33:BW229),"")))</f>
        <v>16.666666666666668</v>
      </c>
      <c r="BY33" s="12">
        <f>IF('Données projet'!$A$114&gt;35,BY32+BX33-CG32,IF(A33&lt;'Données projet'!$A$114,$BV$205^A33,IF(A33='Données projet'!$A$114,'Données projet'!$B$114,BY32+BX33-CG32)))</f>
        <v>254.99999999999994</v>
      </c>
      <c r="BZ33" s="13">
        <f>BY33*VLOOKUP('Données projet'!$B$12,Paramètres!$A$1:$I$89,3,0)*VLOOKUP('Données projet'!$B$12,Paramètres!$A$1:$I$89,5,0)</f>
        <v>139.22999999999996</v>
      </c>
      <c r="CA33" s="13">
        <f t="shared" si="39"/>
        <v>36.120552727378737</v>
      </c>
      <c r="CB33" s="20">
        <f t="shared" si="10"/>
        <v>305.4022126668512</v>
      </c>
      <c r="CC33" s="59">
        <f t="shared" si="11"/>
        <v>598.73554600018451</v>
      </c>
      <c r="CD33" s="59">
        <f ca="1">AVERAGE(OFFSET($CC$3,0,0,'Données projet'!$E$12+1,1))-AVERAGE(OFFSET($H$3,0,0,'Données projet'!$E$12+1,1))</f>
        <v>154.35821558431712</v>
      </c>
      <c r="CE33" s="59">
        <f t="shared" si="40"/>
        <v>263.86720460501306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76</v>
      </c>
      <c r="CH33" s="16">
        <f>IF(ISNA(VLOOKUP(A33,'Données projet'!$A$113:$I$133,5,0)),0%,VLOOKUP(A33,'Données projet'!$A$113:$I$133,5,0)*VLOOKUP('Données projet'!$B$12,Paramètres!$A$1:$I$89,7,0))</f>
        <v>0.18</v>
      </c>
      <c r="CI33" s="16">
        <f>IF(ISNA(VLOOKUP(A33,'Données projet'!$A$113:$I$133,6,0)),0%,VLOOKUP(A33,'Données projet'!$A$113:$I$133,6,0)*VLOOKUP('Données projet'!$B$12,Paramètres!$A$1:$I$89,7,0))</f>
        <v>0.36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9.9084813557254474</v>
      </c>
      <c r="CL33" s="21">
        <f>EXP(-LN(2)/25)*CL32+(1-EXP(-LN(2)/25))/(LN(2)/25)*Calculateur!CG33*Calculateur!CI33*VLOOKUP('Données projet'!$B$12,Paramètres!$A$1:$I$89,3,0)*0.475*44/12</f>
        <v>74.116619277812106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84.025100633537548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114</v>
      </c>
      <c r="CR33" s="12">
        <f>VLOOKUP(A33,'Données projet'!$A$139:$I$159,9,0)</f>
        <v>9.8000000000000007</v>
      </c>
      <c r="CS33" s="12">
        <f t="array" ref="CS33">INDEX(CR:CR,MIN(IF(ISNUMBER(CR33:CR229),ROW(CR33:CR229),"")))</f>
        <v>9.8000000000000007</v>
      </c>
      <c r="CT33" s="12">
        <f>IF('Données projet'!$A$140&gt;35,CT32+CS33-DB32,IF(A33&lt;'Données projet'!$A$140,$CQ$205^A33,IF(A33='Données projet'!$A$140,'Données projet'!$B$140,CT32+CS33-DB32)))</f>
        <v>113.99999999999999</v>
      </c>
      <c r="CU33" s="17">
        <f>CT33*VLOOKUP('Données projet'!$B$13,Paramètres!$A$1:$I$89,3,0)*VLOOKUP('Données projet'!$B$13,Paramètres!$A$1:$I$89,5,0)</f>
        <v>90.698399999999992</v>
      </c>
      <c r="CV33" s="13">
        <f t="shared" si="41"/>
        <v>24.733586403594185</v>
      </c>
      <c r="CW33" s="20">
        <f t="shared" si="13"/>
        <v>201.04404298625983</v>
      </c>
      <c r="CX33" s="59">
        <f t="shared" si="14"/>
        <v>494.37737631959317</v>
      </c>
      <c r="CY33" s="59">
        <f ca="1">AVERAGE(OFFSET($CX$3,0,0,'Données projet'!$E$13+1,1))-AVERAGE(OFFSET($H$3,0,0,'Données projet'!$E$13+1,1))</f>
        <v>157.25319335691853</v>
      </c>
      <c r="CZ33" s="59">
        <f t="shared" si="42"/>
        <v>159.50903492442171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2.6500000000000003E-2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0.48752141272860278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0.48752141272860278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135</v>
      </c>
      <c r="DM33" s="12">
        <f>VLOOKUP(A33,'Données projet'!$A$165:$I$185,9,0)</f>
        <v>9</v>
      </c>
      <c r="DN33" s="12">
        <f t="array" ref="DN33">INDEX(DM:DM,MIN(IF(ISNUMBER(DM33:DM229),ROW(DM33:DM229),"")))</f>
        <v>9</v>
      </c>
      <c r="DO33" s="12">
        <f>IF('Données projet'!$A$166&gt;35,DO32+DN33-DW32,IF(A33&lt;'Données projet'!$A$166,$DL$205^A33,IF(A33='Données projet'!$A$166,'Données projet'!$B$166,DO32+DN33-DW32)))</f>
        <v>135</v>
      </c>
      <c r="DP33" s="17">
        <f>DO33*VLOOKUP('Données projet'!$B$14,Paramètres!$A$1:$I$89,3,0)*VLOOKUP('Données projet'!$B$14,Paramètres!$A$1:$I$89,5,0)</f>
        <v>117.93600000000002</v>
      </c>
      <c r="DQ33" s="13">
        <f t="shared" si="43"/>
        <v>31.1931201812605</v>
      </c>
      <c r="DR33" s="20">
        <f t="shared" si="16"/>
        <v>259.73321764902875</v>
      </c>
      <c r="DS33" s="59">
        <f t="shared" si="17"/>
        <v>553.06655098236206</v>
      </c>
      <c r="DT33" s="59">
        <f ca="1">AVERAGE(OFFSET($DS$3,0,0,'Données projet'!$E$14+1,1))-AVERAGE(OFFSET($H$3,0,0,'Données projet'!$E$14+1,1))</f>
        <v>229.5312221178919</v>
      </c>
      <c r="DU33" s="59">
        <f t="shared" si="44"/>
        <v>218.1982095871906</v>
      </c>
      <c r="DV33" s="15">
        <f>IF(ISNA(VLOOKUP(A33,'Données projet'!$A$165:$I$185,3,0)),0,VLOOKUP(A33,'Données projet'!$A$165:$I$185,3,0))</f>
        <v>3</v>
      </c>
      <c r="DW33" s="15" t="str">
        <f>IF(ISNA(VLOOKUP(A33,'Données projet'!$A$165:$I$185,4,0)),0,VLOOKUP(A33,'Données projet'!$A$165:$I$185,4,0))</f>
        <v>24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87.705128205128204</v>
      </c>
      <c r="EH33" s="12">
        <f>VLOOKUP(A33,'Données projet'!$A$191:$I$211,9,0)</f>
        <v>2.9235042735042733</v>
      </c>
      <c r="EI33" s="12">
        <f t="array" ref="EI33">INDEX(EH:EH,MIN(IF(ISNUMBER(EH33:EH229),ROW(EH33:EH229),"")))</f>
        <v>2.9235042735042733</v>
      </c>
      <c r="EJ33" s="12">
        <f>IF('Données projet'!$A$192&gt;35,EJ32+EI33-ER32,IF(A33&lt;'Données projet'!$A$192,$EG$205^A33,IF(A33='Données projet'!$A$192,'Données projet'!$B$192,EJ32+EI33-ER32)))</f>
        <v>87.705128205128204</v>
      </c>
      <c r="EK33" s="17">
        <f>EJ33*VLOOKUP('Données projet'!$B$15,Paramètres!$A$1:$I$89,3,0)*VLOOKUP('Données projet'!$B$15,Paramètres!$A$1:$I$89,5,0)</f>
        <v>79.355599999999995</v>
      </c>
      <c r="EL33" s="13">
        <f t="shared" si="45"/>
        <v>21.979550892373382</v>
      </c>
      <c r="EM33" s="20">
        <f t="shared" si="19"/>
        <v>176.49205447088363</v>
      </c>
      <c r="EN33" s="59">
        <f t="shared" si="20"/>
        <v>469.82538780421692</v>
      </c>
      <c r="EO33" s="59">
        <f ca="1">AVERAGE(OFFSET($EN$3,0,0,'Données projet'!$E$15+1,1))-AVERAGE(OFFSET($H$3,0,0,'Données projet'!$E$15+1,1))</f>
        <v>204.39656982394689</v>
      </c>
      <c r="EP33" s="59">
        <f t="shared" si="46"/>
        <v>134.95704640904546</v>
      </c>
      <c r="EQ33" s="15" t="str">
        <f>IF(ISNA(VLOOKUP(A33,'Données projet'!$A$191:$I$211,3,0)),0,VLOOKUP(A33,'Données projet'!$A$191:$I$211,3,0))</f>
        <v>na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93.788461538461533</v>
      </c>
      <c r="FC33" s="12">
        <f>VLOOKUP(A33,'Données projet'!$A$217:$I$237,9,0)</f>
        <v>3.1262820512820513</v>
      </c>
      <c r="FD33" s="12">
        <f t="array" ref="FD33">INDEX(FC:FC,MIN(IF(ISNUMBER(FC33:FC229),ROW(FC33:FC229),"")))</f>
        <v>3.1262820512820513</v>
      </c>
      <c r="FE33" s="12">
        <f>IF('Données projet'!$A$218&gt;35,FE32+FD33-FM32,IF(A33&lt;'Données projet'!$A$218,$FB$205^A33,IF(A33='Données projet'!$A$218,'Données projet'!$B$218,FE32+FD33-FM32)))</f>
        <v>93.788461538461533</v>
      </c>
      <c r="FF33" s="17">
        <f>FE33*VLOOKUP('Données projet'!$B$16,Paramètres!$A$1:$I$89,3,0)*VLOOKUP('Données projet'!$B$16,Paramètres!$A$1:$I$89,5,0)</f>
        <v>80.470500000000001</v>
      </c>
      <c r="FG33" s="13">
        <f t="shared" si="47"/>
        <v>22.252184533769672</v>
      </c>
      <c r="FH33" s="20">
        <f t="shared" si="22"/>
        <v>178.90867556298215</v>
      </c>
      <c r="FI33" s="59">
        <f t="shared" si="23"/>
        <v>472.2420088963155</v>
      </c>
      <c r="FJ33" s="59">
        <f ca="1">AVERAGE(OFFSET($FI$3,0,0,'Données projet'!$E$16+1,1))-AVERAGE(OFFSET($H$3,0,0,'Données projet'!$E$16+1,1))</f>
        <v>199.60585215726968</v>
      </c>
      <c r="FK33" s="59">
        <f t="shared" si="48"/>
        <v>137.37366750114404</v>
      </c>
      <c r="FL33" s="15" t="str">
        <f>IF(ISNA(VLOOKUP(A33,'Données projet'!$A$217:$I$237,3,0)),0,VLOOKUP(A33,'Données projet'!$A$217:$I$237,3,0))</f>
        <v>na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11.443589743589744</v>
      </c>
      <c r="N34" s="13">
        <f>IF('Données projet'!$A$36&gt;35,N33+M34-V33,IF(A34&lt;'Données projet'!$A$36,$K$205^A34,IF(A34='Données projet'!$A$36,'Données projet'!$B$36,N33+M34-V33)))</f>
        <v>158.69743589743589</v>
      </c>
      <c r="O34" s="13">
        <f>N34*VLOOKUP('Données projet'!$B$9,Paramètres!$A$1:$I$89,3,0)*VLOOKUP('Données projet'!$B$9,Paramètres!$A$1:$I$89,5,0)</f>
        <v>74.270399999999995</v>
      </c>
      <c r="P34" s="13">
        <f t="shared" si="33"/>
        <v>20.730265914492005</v>
      </c>
      <c r="Q34" s="20">
        <f t="shared" si="2"/>
        <v>165.4594931344069</v>
      </c>
      <c r="R34" s="59">
        <f t="shared" si="0"/>
        <v>458.79282646774021</v>
      </c>
      <c r="S34" s="59">
        <f ca="1">AVERAGE(OFFSET($R$3,0,0,'Données projet'!$E$9+1,1))-AVERAGE(OFFSET($H$3,0,0,'Données projet'!$E$9+1,1))</f>
        <v>164.93438869099657</v>
      </c>
      <c r="T34" s="59">
        <f t="shared" si="34"/>
        <v>112.28641356594233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273.81843612193632</v>
      </c>
      <c r="AO34" s="59">
        <f t="shared" si="36"/>
        <v>241.86405419073208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22.884615384615397</v>
      </c>
      <c r="BD34" s="12">
        <f>IF('Données projet'!$A$88&gt;35,BD33+BC34-BL33,IF(A34&lt;'Données projet'!$A$88,$BA$205^A34,IF(A34='Données projet'!$A$88,'Données projet'!$B$88,BD33+BC34-BL33)))</f>
        <v>289.08461538461529</v>
      </c>
      <c r="BE34" s="13">
        <f>BD34*VLOOKUP('Données projet'!$B$11,Paramètres!$A$1:$I$89,3,0)*VLOOKUP('Données projet'!$B$11,Paramètres!$A$1:$I$89,5,0)</f>
        <v>161.59829999999994</v>
      </c>
      <c r="BF34" s="13">
        <f t="shared" si="37"/>
        <v>41.202807619439731</v>
      </c>
      <c r="BG34" s="20">
        <f t="shared" si="7"/>
        <v>353.21192910385736</v>
      </c>
      <c r="BH34" s="59">
        <f t="shared" si="8"/>
        <v>646.54526243719067</v>
      </c>
      <c r="BI34" s="59">
        <f ca="1">AVERAGE(OFFSET($BH$3,0,0,'Données projet'!$E$11+1,1))-AVERAGE(OFFSET($H$3,0,0,'Données projet'!$E$11+1,1))</f>
        <v>271.42245454555501</v>
      </c>
      <c r="BJ34" s="59">
        <f t="shared" si="38"/>
        <v>362.63944425429077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28.983761183885679</v>
      </c>
      <c r="BQ34" s="21">
        <f>EXP(-LN(2)/25)*BQ33+(1-EXP(-LN(2)/25))/(LN(2)/25)*Calculateur!BL34*Calculateur!BN34*VLOOKUP('Données projet'!$B$11,Paramètres!$A$1:$I$89,3,0)*0.475*44/12</f>
        <v>17.749365982960363</v>
      </c>
      <c r="BR34" s="21">
        <f>EXP(-LN(2)/2)*BR33+(1-EXP(-LN(2)/2))/(LN(2)/2)*BL34*BO34*VLOOKUP('Données projet'!$B$11,Paramètres!$A$1:$I$89,3,0)*0.475*44/12</f>
        <v>4.4076409795891482</v>
      </c>
      <c r="BS34" s="22">
        <f t="shared" si="9"/>
        <v>51.140768146435192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</v>
      </c>
      <c r="BY34" s="12">
        <f>IF('Données projet'!$A$114&gt;35,BY33+BX34-CG33,IF(A34&lt;'Données projet'!$A$114,$BV$205^A34,IF(A34='Données projet'!$A$114,'Données projet'!$B$114,BY33+BX34-CG33)))</f>
        <v>193.99999999999994</v>
      </c>
      <c r="BZ34" s="13">
        <f>BY34*VLOOKUP('Données projet'!$B$12,Paramètres!$A$1:$I$89,3,0)*VLOOKUP('Données projet'!$B$12,Paramètres!$A$1:$I$89,5,0)</f>
        <v>105.92399999999998</v>
      </c>
      <c r="CA34" s="13">
        <f t="shared" si="39"/>
        <v>28.36854701055546</v>
      </c>
      <c r="CB34" s="20">
        <f t="shared" si="10"/>
        <v>233.89285271005073</v>
      </c>
      <c r="CC34" s="59">
        <f t="shared" si="11"/>
        <v>527.22618604338402</v>
      </c>
      <c r="CD34" s="59">
        <f ca="1">AVERAGE(OFFSET($CC$3,0,0,'Données projet'!$E$12+1,1))-AVERAGE(OFFSET($H$3,0,0,'Données projet'!$E$12+1,1))</f>
        <v>154.35821558431712</v>
      </c>
      <c r="CE34" s="59">
        <f t="shared" si="40"/>
        <v>263.86720460501306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9.7141820799165455</v>
      </c>
      <c r="CL34" s="21">
        <f>EXP(-LN(2)/25)*CL33+(1-EXP(-LN(2)/25))/(LN(2)/25)*Calculateur!CG34*Calculateur!CI34*VLOOKUP('Données projet'!$B$12,Paramètres!$A$1:$I$89,3,0)*0.475*44/12</f>
        <v>72.089896426036717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81.804078505953257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8.6</v>
      </c>
      <c r="CT34" s="12">
        <f>IF('Données projet'!$A$140&gt;35,CT33+CS34-DB33,IF(A34&lt;'Données projet'!$A$140,$CQ$205^A34,IF(A34='Données projet'!$A$140,'Données projet'!$B$140,CT33+CS34-DB33)))</f>
        <v>101.59999999999998</v>
      </c>
      <c r="CU34" s="17">
        <f>CT34*VLOOKUP('Données projet'!$B$13,Paramètres!$A$1:$I$89,3,0)*VLOOKUP('Données projet'!$B$13,Paramètres!$A$1:$I$89,5,0)</f>
        <v>80.832959999999986</v>
      </c>
      <c r="CV34" s="13">
        <f t="shared" si="41"/>
        <v>22.340724239136428</v>
      </c>
      <c r="CW34" s="20">
        <f t="shared" si="13"/>
        <v>179.69416671649591</v>
      </c>
      <c r="CX34" s="59">
        <f t="shared" si="14"/>
        <v>473.0275000498292</v>
      </c>
      <c r="CY34" s="59">
        <f ca="1">AVERAGE(OFFSET($CX$3,0,0,'Données projet'!$E$13+1,1))-AVERAGE(OFFSET($H$3,0,0,'Données projet'!$E$13+1,1))</f>
        <v>157.25319335691853</v>
      </c>
      <c r="CZ34" s="59">
        <f t="shared" si="42"/>
        <v>159.50903492442171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0.4741901140599023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0.4741901140599023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8.4</v>
      </c>
      <c r="DO34" s="12">
        <f>IF('Données projet'!$A$166&gt;35,DO33+DN34-DW33,IF(A34&lt;'Données projet'!$A$166,$DL$205^A34,IF(A34='Données projet'!$A$166,'Données projet'!$B$166,DO33+DN34-DW33)))</f>
        <v>119.4</v>
      </c>
      <c r="DP34" s="17">
        <f>DO34*VLOOKUP('Données projet'!$B$14,Paramètres!$A$1:$I$89,3,0)*VLOOKUP('Données projet'!$B$14,Paramètres!$A$1:$I$89,5,0)</f>
        <v>104.30784000000001</v>
      </c>
      <c r="DQ34" s="13">
        <f t="shared" si="43"/>
        <v>27.985748297693263</v>
      </c>
      <c r="DR34" s="20">
        <f t="shared" si="16"/>
        <v>230.41133295181578</v>
      </c>
      <c r="DS34" s="59">
        <f t="shared" si="17"/>
        <v>523.74466628514915</v>
      </c>
      <c r="DT34" s="59">
        <f ca="1">AVERAGE(OFFSET($DS$3,0,0,'Données projet'!$E$14+1,1))-AVERAGE(OFFSET($H$3,0,0,'Données projet'!$E$14+1,1))</f>
        <v>229.5312221178919</v>
      </c>
      <c r="DU34" s="59">
        <f t="shared" si="44"/>
        <v>218.1982095871906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5.3369963369963358</v>
      </c>
      <c r="EJ34" s="12">
        <f>IF('Données projet'!$A$192&gt;35,EJ33+EI34-ER33,IF(A34&lt;'Données projet'!$A$192,$EG$205^A34,IF(A34='Données projet'!$A$192,'Données projet'!$B$192,EJ33+EI34-ER33)))</f>
        <v>93.04212454212454</v>
      </c>
      <c r="EK34" s="17">
        <f>EJ34*VLOOKUP('Données projet'!$B$15,Paramètres!$A$1:$I$89,3,0)*VLOOKUP('Données projet'!$B$15,Paramètres!$A$1:$I$89,5,0)</f>
        <v>84.184514285714286</v>
      </c>
      <c r="EL34" s="13">
        <f t="shared" si="45"/>
        <v>23.157263963315572</v>
      </c>
      <c r="EM34" s="20">
        <f t="shared" si="19"/>
        <v>186.95359711706033</v>
      </c>
      <c r="EN34" s="59">
        <f t="shared" si="20"/>
        <v>480.28693045039364</v>
      </c>
      <c r="EO34" s="59">
        <f ca="1">AVERAGE(OFFSET($EN$3,0,0,'Données projet'!$E$15+1,1))-AVERAGE(OFFSET($H$3,0,0,'Données projet'!$E$15+1,1))</f>
        <v>204.39656982394689</v>
      </c>
      <c r="EP34" s="59">
        <f t="shared" si="46"/>
        <v>134.95704640904546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5.8630104463437798</v>
      </c>
      <c r="FE34" s="12">
        <f>IF('Données projet'!$A$218&gt;35,FE33+FD34-FM33,IF(A34&lt;'Données projet'!$A$218,$FB$205^A34,IF(A34='Données projet'!$A$218,'Données projet'!$B$218,FE33+FD34-FM33)))</f>
        <v>99.651471984805312</v>
      </c>
      <c r="FF34" s="17">
        <f>FE34*VLOOKUP('Données projet'!$B$16,Paramètres!$A$1:$I$89,3,0)*VLOOKUP('Données projet'!$B$16,Paramètres!$A$1:$I$89,5,0)</f>
        <v>85.500962962962959</v>
      </c>
      <c r="FG34" s="13">
        <f t="shared" si="47"/>
        <v>23.476948420785437</v>
      </c>
      <c r="FH34" s="20">
        <f t="shared" si="22"/>
        <v>189.80319566002845</v>
      </c>
      <c r="FI34" s="59">
        <f t="shared" si="23"/>
        <v>483.13652899336176</v>
      </c>
      <c r="FJ34" s="59">
        <f ca="1">AVERAGE(OFFSET($FI$3,0,0,'Données projet'!$E$16+1,1))-AVERAGE(OFFSET($H$3,0,0,'Données projet'!$E$16+1,1))</f>
        <v>199.60585215726968</v>
      </c>
      <c r="FK34" s="59">
        <f t="shared" si="48"/>
        <v>137.37366750114404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11.443589743589744</v>
      </c>
      <c r="N35" s="13">
        <f>IF('Données projet'!$A$36&gt;35,N34+M35-V34,IF(A35&lt;'Données projet'!$A$36,$K$205^A35,IF(A35='Données projet'!$A$36,'Données projet'!$B$36,N34+M35-V34)))</f>
        <v>170.14102564102564</v>
      </c>
      <c r="O35" s="13">
        <f>N35*VLOOKUP('Données projet'!$B$9,Paramètres!$A$1:$I$89,3,0)*VLOOKUP('Données projet'!$B$9,Paramètres!$A$1:$I$89,5,0)</f>
        <v>79.626000000000005</v>
      </c>
      <c r="P35" s="13">
        <f t="shared" si="33"/>
        <v>22.045714260156384</v>
      </c>
      <c r="Q35" s="20">
        <f t="shared" ref="Q35:Q66" si="53">(O35+P35)*0.475*44/12</f>
        <v>177.0782356697724</v>
      </c>
      <c r="R35" s="59">
        <f t="shared" si="0"/>
        <v>470.41156900310568</v>
      </c>
      <c r="S35" s="59">
        <f ca="1">AVERAGE(OFFSET($R$3,0,0,'Données projet'!$E$9+1,1))-AVERAGE(OFFSET($H$3,0,0,'Données projet'!$E$9+1,1))</f>
        <v>164.93438869099657</v>
      </c>
      <c r="T35" s="59">
        <f t="shared" si="34"/>
        <v>112.28641356594233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273.81843612193632</v>
      </c>
      <c r="AO35" s="59">
        <f t="shared" si="36"/>
        <v>241.86405419073208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22.884615384615397</v>
      </c>
      <c r="BD35" s="12">
        <f>IF('Données projet'!$A$88&gt;35,BD34+BC35-BL34,IF(A35&lt;'Données projet'!$A$88,$BA$205^A35,IF(A35='Données projet'!$A$88,'Données projet'!$B$88,BD34+BC35-BL34)))</f>
        <v>311.96923076923071</v>
      </c>
      <c r="BE35" s="13">
        <f>BD35*VLOOKUP('Données projet'!$B$11,Paramètres!$A$1:$I$89,3,0)*VLOOKUP('Données projet'!$B$11,Paramètres!$A$1:$I$89,5,0)</f>
        <v>174.39079999999996</v>
      </c>
      <c r="BF35" s="13">
        <f t="shared" si="37"/>
        <v>44.071952499783528</v>
      </c>
      <c r="BG35" s="20">
        <f t="shared" si="7"/>
        <v>380.48929393712291</v>
      </c>
      <c r="BH35" s="59">
        <f t="shared" si="8"/>
        <v>673.82262727045622</v>
      </c>
      <c r="BI35" s="59">
        <f ca="1">AVERAGE(OFFSET($BH$3,0,0,'Données projet'!$E$11+1,1))-AVERAGE(OFFSET($H$3,0,0,'Données projet'!$E$11+1,1))</f>
        <v>271.42245454555501</v>
      </c>
      <c r="BJ35" s="59">
        <f t="shared" si="38"/>
        <v>362.63944425429077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28.415407305418412</v>
      </c>
      <c r="BQ35" s="21">
        <f>EXP(-LN(2)/25)*BQ34+(1-EXP(-LN(2)/25))/(LN(2)/25)*Calculateur!BL35*Calculateur!BN35*VLOOKUP('Données projet'!$B$11,Paramètres!$A$1:$I$89,3,0)*0.475*44/12</f>
        <v>17.264008636757723</v>
      </c>
      <c r="BR35" s="21">
        <f>EXP(-LN(2)/2)*BR34+(1-EXP(-LN(2)/2))/(LN(2)/2)*BL35*BO35*VLOOKUP('Données projet'!$B$11,Paramètres!$A$1:$I$89,3,0)*0.475*44/12</f>
        <v>3.1166728257032039</v>
      </c>
      <c r="BS35" s="22">
        <f t="shared" si="9"/>
        <v>48.79608876787934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</v>
      </c>
      <c r="BY35" s="12">
        <f>IF('Données projet'!$A$114&gt;35,BY34+BX35-CG34,IF(A35&lt;'Données projet'!$A$114,$BV$205^A35,IF(A35='Données projet'!$A$114,'Données projet'!$B$114,BY34+BX35-CG34)))</f>
        <v>208.99999999999994</v>
      </c>
      <c r="BZ35" s="13">
        <f>BY35*VLOOKUP('Données projet'!$B$12,Paramètres!$A$1:$I$89,3,0)*VLOOKUP('Données projet'!$B$12,Paramètres!$A$1:$I$89,5,0)</f>
        <v>114.11399999999996</v>
      </c>
      <c r="CA35" s="13">
        <f t="shared" si="39"/>
        <v>30.298194021728271</v>
      </c>
      <c r="CB35" s="20">
        <f t="shared" si="10"/>
        <v>251.5179045878433</v>
      </c>
      <c r="CC35" s="59">
        <f t="shared" si="11"/>
        <v>544.85123792117656</v>
      </c>
      <c r="CD35" s="59">
        <f ca="1">AVERAGE(OFFSET($CC$3,0,0,'Données projet'!$E$12+1,1))-AVERAGE(OFFSET($H$3,0,0,'Données projet'!$E$12+1,1))</f>
        <v>154.35821558431712</v>
      </c>
      <c r="CE35" s="59">
        <f t="shared" si="40"/>
        <v>263.86720460501306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9.5236928943953991</v>
      </c>
      <c r="CL35" s="21">
        <f>EXP(-LN(2)/25)*CL34+(1-EXP(-LN(2)/25))/(LN(2)/25)*Calculateur!CG35*Calculateur!CI35*VLOOKUP('Données projet'!$B$12,Paramètres!$A$1:$I$89,3,0)*0.475*44/12</f>
        <v>70.118594417223846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79.642287311619242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8.6</v>
      </c>
      <c r="CT35" s="12">
        <f>IF('Données projet'!$A$140&gt;35,CT34+CS35-DB34,IF(A35&lt;'Données projet'!$A$140,$CQ$205^A35,IF(A35='Données projet'!$A$140,'Données projet'!$B$140,CT34+CS35-DB34)))</f>
        <v>110.19999999999997</v>
      </c>
      <c r="CU35" s="17">
        <f>CT35*VLOOKUP('Données projet'!$B$13,Paramètres!$A$1:$I$89,3,0)*VLOOKUP('Données projet'!$B$13,Paramètres!$A$1:$I$89,5,0)</f>
        <v>87.675119999999993</v>
      </c>
      <c r="CV35" s="13">
        <f t="shared" si="41"/>
        <v>24.003668728272238</v>
      </c>
      <c r="CW35" s="20">
        <f t="shared" si="13"/>
        <v>194.5072237017408</v>
      </c>
      <c r="CX35" s="59">
        <f t="shared" si="14"/>
        <v>487.84055703507408</v>
      </c>
      <c r="CY35" s="59">
        <f ca="1">AVERAGE(OFFSET($CX$3,0,0,'Données projet'!$E$13+1,1))-AVERAGE(OFFSET($H$3,0,0,'Données projet'!$E$13+1,1))</f>
        <v>157.25319335691853</v>
      </c>
      <c r="CZ35" s="59">
        <f t="shared" si="42"/>
        <v>159.50903492442171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0.46122336045435997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0.46122336045435997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8.4</v>
      </c>
      <c r="DO35" s="12">
        <f>IF('Données projet'!$A$166&gt;35,DO34+DN35-DW34,IF(A35&lt;'Données projet'!$A$166,$DL$205^A35,IF(A35='Données projet'!$A$166,'Données projet'!$B$166,DO34+DN35-DW34)))</f>
        <v>127.80000000000001</v>
      </c>
      <c r="DP35" s="17">
        <f>DO35*VLOOKUP('Données projet'!$B$14,Paramètres!$A$1:$I$89,3,0)*VLOOKUP('Données projet'!$B$14,Paramètres!$A$1:$I$89,5,0)</f>
        <v>111.64608000000003</v>
      </c>
      <c r="DQ35" s="13">
        <f t="shared" si="43"/>
        <v>29.718477955114288</v>
      </c>
      <c r="DR35" s="20">
        <f t="shared" si="16"/>
        <v>246.20993843849078</v>
      </c>
      <c r="DS35" s="59">
        <f t="shared" si="17"/>
        <v>539.54327177182404</v>
      </c>
      <c r="DT35" s="59">
        <f ca="1">AVERAGE(OFFSET($DS$3,0,0,'Données projet'!$E$14+1,1))-AVERAGE(OFFSET($H$3,0,0,'Données projet'!$E$14+1,1))</f>
        <v>229.5312221178919</v>
      </c>
      <c r="DU35" s="59">
        <f t="shared" si="44"/>
        <v>218.1982095871906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5.3369963369963358</v>
      </c>
      <c r="EJ35" s="12">
        <f>IF('Données projet'!$A$192&gt;35,EJ34+EI35-ER34,IF(A35&lt;'Données projet'!$A$192,$EG$205^A35,IF(A35='Données projet'!$A$192,'Données projet'!$B$192,EJ34+EI35-ER34)))</f>
        <v>98.379120879120876</v>
      </c>
      <c r="EK35" s="17">
        <f>EJ35*VLOOKUP('Données projet'!$B$15,Paramètres!$A$1:$I$89,3,0)*VLOOKUP('Données projet'!$B$15,Paramètres!$A$1:$I$89,5,0)</f>
        <v>89.013428571428562</v>
      </c>
      <c r="EL35" s="13">
        <f t="shared" si="45"/>
        <v>24.327135299174682</v>
      </c>
      <c r="EM35" s="20">
        <f t="shared" si="19"/>
        <v>197.40148207463395</v>
      </c>
      <c r="EN35" s="59">
        <f t="shared" si="20"/>
        <v>490.73481540796729</v>
      </c>
      <c r="EO35" s="59">
        <f ca="1">AVERAGE(OFFSET($EN$3,0,0,'Données projet'!$E$15+1,1))-AVERAGE(OFFSET($H$3,0,0,'Données projet'!$E$15+1,1))</f>
        <v>204.39656982394689</v>
      </c>
      <c r="EP35" s="59">
        <f t="shared" si="46"/>
        <v>134.95704640904546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5.8630104463437798</v>
      </c>
      <c r="FE35" s="12">
        <f>IF('Données projet'!$A$218&gt;35,FE34+FD35-FM34,IF(A35&lt;'Données projet'!$A$218,$FB$205^A35,IF(A35='Données projet'!$A$218,'Données projet'!$B$218,FE34+FD35-FM34)))</f>
        <v>105.51448243114909</v>
      </c>
      <c r="FF35" s="17">
        <f>FE35*VLOOKUP('Données projet'!$B$16,Paramètres!$A$1:$I$89,3,0)*VLOOKUP('Données projet'!$B$16,Paramètres!$A$1:$I$89,5,0)</f>
        <v>90.53142592592593</v>
      </c>
      <c r="FG35" s="13">
        <f t="shared" si="47"/>
        <v>24.693348181682687</v>
      </c>
      <c r="FH35" s="20">
        <f t="shared" si="22"/>
        <v>200.68314823741835</v>
      </c>
      <c r="FI35" s="59">
        <f t="shared" si="23"/>
        <v>494.01648157075169</v>
      </c>
      <c r="FJ35" s="59">
        <f ca="1">AVERAGE(OFFSET($FI$3,0,0,'Données projet'!$E$16+1,1))-AVERAGE(OFFSET($H$3,0,0,'Données projet'!$E$16+1,1))</f>
        <v>199.60585215726968</v>
      </c>
      <c r="FK35" s="59">
        <f t="shared" si="48"/>
        <v>137.37366750114404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11.443589743589744</v>
      </c>
      <c r="N36" s="13">
        <f>IF('Données projet'!$A$36&gt;35,N35+M36-V35,IF(A36&lt;'Données projet'!$A$36,$K$205^A36,IF(A36='Données projet'!$A$36,'Données projet'!$B$36,N35+M36-V35)))</f>
        <v>181.58461538461538</v>
      </c>
      <c r="O36" s="13">
        <f>N36*VLOOKUP('Données projet'!$B$9,Paramètres!$A$1:$I$89,3,0)*VLOOKUP('Données projet'!$B$9,Paramètres!$A$1:$I$89,5,0)</f>
        <v>84.981599999999986</v>
      </c>
      <c r="P36" s="13">
        <f t="shared" si="33"/>
        <v>23.350896003452508</v>
      </c>
      <c r="Q36" s="20">
        <f t="shared" si="53"/>
        <v>188.6790972060131</v>
      </c>
      <c r="R36" s="59">
        <f t="shared" si="0"/>
        <v>482.01243053934638</v>
      </c>
      <c r="S36" s="59">
        <f ca="1">AVERAGE(OFFSET($R$3,0,0,'Données projet'!$E$9+1,1))-AVERAGE(OFFSET($H$3,0,0,'Données projet'!$E$9+1,1))</f>
        <v>164.93438869099657</v>
      </c>
      <c r="T36" s="59">
        <f t="shared" si="34"/>
        <v>112.28641356594233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273.81843612193632</v>
      </c>
      <c r="AO36" s="59">
        <f t="shared" si="36"/>
        <v>241.86405419073208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22.884615384615397</v>
      </c>
      <c r="BD36" s="12">
        <f>IF('Données projet'!$A$88&gt;35,BD35+BC36-BL35,IF(A36&lt;'Données projet'!$A$88,$BA$205^A36,IF(A36='Données projet'!$A$88,'Données projet'!$B$88,BD35+BC36-BL35)))</f>
        <v>334.85384615384612</v>
      </c>
      <c r="BE36" s="13">
        <f>BD36*VLOOKUP('Données projet'!$B$11,Paramètres!$A$1:$I$89,3,0)*VLOOKUP('Données projet'!$B$11,Paramètres!$A$1:$I$89,5,0)</f>
        <v>187.18329999999997</v>
      </c>
      <c r="BF36" s="13">
        <f t="shared" si="37"/>
        <v>46.91668019244311</v>
      </c>
      <c r="BG36" s="20">
        <f t="shared" si="7"/>
        <v>407.72413216850504</v>
      </c>
      <c r="BH36" s="59">
        <f t="shared" si="8"/>
        <v>701.05746550183835</v>
      </c>
      <c r="BI36" s="59">
        <f ca="1">AVERAGE(OFFSET($BH$3,0,0,'Données projet'!$E$11+1,1))-AVERAGE(OFFSET($H$3,0,0,'Données projet'!$E$11+1,1))</f>
        <v>271.42245454555501</v>
      </c>
      <c r="BJ36" s="59">
        <f t="shared" si="38"/>
        <v>362.63944425429077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27.858198499846253</v>
      </c>
      <c r="BQ36" s="21">
        <f>EXP(-LN(2)/25)*BQ35+(1-EXP(-LN(2)/25))/(LN(2)/25)*Calculateur!BL36*Calculateur!BN36*VLOOKUP('Données projet'!$B$11,Paramètres!$A$1:$I$89,3,0)*0.475*44/12</f>
        <v>16.791923412710826</v>
      </c>
      <c r="BR36" s="21">
        <f>EXP(-LN(2)/2)*BR35+(1-EXP(-LN(2)/2))/(LN(2)/2)*BL36*BO36*VLOOKUP('Données projet'!$B$11,Paramètres!$A$1:$I$89,3,0)*0.475*44/12</f>
        <v>2.2038204897945741</v>
      </c>
      <c r="BS36" s="22">
        <f t="shared" si="9"/>
        <v>46.853942402351656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</v>
      </c>
      <c r="BY36" s="12">
        <f>IF('Données projet'!$A$114&gt;35,BY35+BX36-CG35,IF(A36&lt;'Données projet'!$A$114,$BV$205^A36,IF(A36='Données projet'!$A$114,'Données projet'!$B$114,BY35+BX36-CG35)))</f>
        <v>223.99999999999994</v>
      </c>
      <c r="BZ36" s="13">
        <f>BY36*VLOOKUP('Données projet'!$B$12,Paramètres!$A$1:$I$89,3,0)*VLOOKUP('Données projet'!$B$12,Paramètres!$A$1:$I$89,5,0)</f>
        <v>122.30399999999996</v>
      </c>
      <c r="CA36" s="13">
        <f t="shared" si="39"/>
        <v>32.211773226559373</v>
      </c>
      <c r="CB36" s="20">
        <f t="shared" si="10"/>
        <v>269.11497170292415</v>
      </c>
      <c r="CC36" s="59">
        <f t="shared" si="11"/>
        <v>562.44830503625747</v>
      </c>
      <c r="CD36" s="59">
        <f ca="1">AVERAGE(OFFSET($CC$3,0,0,'Données projet'!$E$12+1,1))-AVERAGE(OFFSET($H$3,0,0,'Données projet'!$E$12+1,1))</f>
        <v>154.35821558431712</v>
      </c>
      <c r="CE36" s="59">
        <f t="shared" si="40"/>
        <v>263.86720460501306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9.3369390856153913</v>
      </c>
      <c r="CL36" s="21">
        <f>EXP(-LN(2)/25)*CL35+(1-EXP(-LN(2)/25))/(LN(2)/25)*Calculateur!CG36*Calculateur!CI36*VLOOKUP('Données projet'!$B$12,Paramètres!$A$1:$I$89,3,0)*0.475*44/12</f>
        <v>68.20119776550824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77.538136851123625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8.6</v>
      </c>
      <c r="CT36" s="12">
        <f>IF('Données projet'!$A$140&gt;35,CT35+CS36-DB35,IF(A36&lt;'Données projet'!$A$140,$CQ$205^A36,IF(A36='Données projet'!$A$140,'Données projet'!$B$140,CT35+CS36-DB35)))</f>
        <v>118.79999999999997</v>
      </c>
      <c r="CU36" s="17">
        <f>CT36*VLOOKUP('Données projet'!$B$13,Paramètres!$A$1:$I$89,3,0)*VLOOKUP('Données projet'!$B$13,Paramètres!$A$1:$I$89,5,0)</f>
        <v>94.517279999999985</v>
      </c>
      <c r="CV36" s="13">
        <f t="shared" si="41"/>
        <v>25.651559566077335</v>
      </c>
      <c r="CW36" s="20">
        <f t="shared" si="13"/>
        <v>209.29406224425134</v>
      </c>
      <c r="CX36" s="59">
        <f t="shared" si="14"/>
        <v>502.62739557758465</v>
      </c>
      <c r="CY36" s="59">
        <f ca="1">AVERAGE(OFFSET($CX$3,0,0,'Données projet'!$E$13+1,1))-AVERAGE(OFFSET($H$3,0,0,'Données projet'!$E$13+1,1))</f>
        <v>157.25319335691853</v>
      </c>
      <c r="CZ36" s="59">
        <f t="shared" si="42"/>
        <v>159.50903492442171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0.44861118340805312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0.44861118340805312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8.4</v>
      </c>
      <c r="DO36" s="12">
        <f>IF('Données projet'!$A$166&gt;35,DO35+DN36-DW35,IF(A36&lt;'Données projet'!$A$166,$DL$205^A36,IF(A36='Données projet'!$A$166,'Données projet'!$B$166,DO35+DN36-DW35)))</f>
        <v>136.20000000000002</v>
      </c>
      <c r="DP36" s="17">
        <f>DO36*VLOOKUP('Données projet'!$B$14,Paramètres!$A$1:$I$89,3,0)*VLOOKUP('Données projet'!$B$14,Paramètres!$A$1:$I$89,5,0)</f>
        <v>118.98432000000004</v>
      </c>
      <c r="DQ36" s="13">
        <f t="shared" si="43"/>
        <v>31.437991550787316</v>
      </c>
      <c r="DR36" s="20">
        <f t="shared" si="16"/>
        <v>261.98552595095464</v>
      </c>
      <c r="DS36" s="59">
        <f t="shared" si="17"/>
        <v>555.31885928428801</v>
      </c>
      <c r="DT36" s="59">
        <f ca="1">AVERAGE(OFFSET($DS$3,0,0,'Données projet'!$E$14+1,1))-AVERAGE(OFFSET($H$3,0,0,'Données projet'!$E$14+1,1))</f>
        <v>229.5312221178919</v>
      </c>
      <c r="DU36" s="59">
        <f t="shared" si="44"/>
        <v>218.1982095871906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5.3369963369963358</v>
      </c>
      <c r="EJ36" s="12">
        <f>IF('Données projet'!$A$192&gt;35,EJ35+EI36-ER35,IF(A36&lt;'Données projet'!$A$192,$EG$205^A36,IF(A36='Données projet'!$A$192,'Données projet'!$B$192,EJ35+EI36-ER35)))</f>
        <v>103.71611721611721</v>
      </c>
      <c r="EK36" s="17">
        <f>EJ36*VLOOKUP('Données projet'!$B$15,Paramètres!$A$1:$I$89,3,0)*VLOOKUP('Données projet'!$B$15,Paramètres!$A$1:$I$89,5,0)</f>
        <v>93.842342857142853</v>
      </c>
      <c r="EL36" s="13">
        <f t="shared" si="45"/>
        <v>25.489638806781517</v>
      </c>
      <c r="EM36" s="20">
        <f t="shared" si="19"/>
        <v>207.83653473133492</v>
      </c>
      <c r="EN36" s="59">
        <f t="shared" si="20"/>
        <v>501.16986806466821</v>
      </c>
      <c r="EO36" s="59">
        <f ca="1">AVERAGE(OFFSET($EN$3,0,0,'Données projet'!$E$15+1,1))-AVERAGE(OFFSET($H$3,0,0,'Données projet'!$E$15+1,1))</f>
        <v>204.39656982394689</v>
      </c>
      <c r="EP36" s="59">
        <f t="shared" si="46"/>
        <v>134.95704640904546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5.8630104463437798</v>
      </c>
      <c r="FE36" s="12">
        <f>IF('Données projet'!$A$218&gt;35,FE35+FD36-FM35,IF(A36&lt;'Données projet'!$A$218,$FB$205^A36,IF(A36='Données projet'!$A$218,'Données projet'!$B$218,FE35+FD36-FM35)))</f>
        <v>111.37749287749287</v>
      </c>
      <c r="FF36" s="17">
        <f>FE36*VLOOKUP('Données projet'!$B$16,Paramètres!$A$1:$I$89,3,0)*VLOOKUP('Données projet'!$B$16,Paramètres!$A$1:$I$89,5,0)</f>
        <v>95.561888888888902</v>
      </c>
      <c r="FG36" s="13">
        <f t="shared" si="47"/>
        <v>25.901901547949169</v>
      </c>
      <c r="FH36" s="20">
        <f t="shared" si="22"/>
        <v>211.5494350108263</v>
      </c>
      <c r="FI36" s="59">
        <f t="shared" si="23"/>
        <v>504.88276834415962</v>
      </c>
      <c r="FJ36" s="59">
        <f ca="1">AVERAGE(OFFSET($FI$3,0,0,'Données projet'!$E$16+1,1))-AVERAGE(OFFSET($H$3,0,0,'Données projet'!$E$16+1,1))</f>
        <v>199.60585215726968</v>
      </c>
      <c r="FK36" s="59">
        <f t="shared" si="48"/>
        <v>137.37366750114404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11.443589743589744</v>
      </c>
      <c r="N37" s="13">
        <f>IF('Données projet'!$A$36&gt;35,N36+M37-V36,IF(A37&lt;'Données projet'!$A$36,$K$205^A37,IF(A37='Données projet'!$A$36,'Données projet'!$B$36,N36+M37-V36)))</f>
        <v>193.02820512820512</v>
      </c>
      <c r="O37" s="13">
        <f>N37*VLOOKUP('Données projet'!$B$9,Paramètres!$A$1:$I$89,3,0)*VLOOKUP('Données projet'!$B$9,Paramètres!$A$1:$I$89,5,0)</f>
        <v>90.337199999999996</v>
      </c>
      <c r="P37" s="13">
        <f t="shared" si="33"/>
        <v>24.646531805527069</v>
      </c>
      <c r="Q37" s="20">
        <f t="shared" si="53"/>
        <v>200.2633328946263</v>
      </c>
      <c r="R37" s="59">
        <f t="shared" si="0"/>
        <v>493.59666622795964</v>
      </c>
      <c r="S37" s="59">
        <f ca="1">AVERAGE(OFFSET($R$3,0,0,'Données projet'!$E$9+1,1))-AVERAGE(OFFSET($H$3,0,0,'Données projet'!$E$9+1,1))</f>
        <v>164.93438869099657</v>
      </c>
      <c r="T37" s="59">
        <f t="shared" si="34"/>
        <v>112.28641356594233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273.81843612193632</v>
      </c>
      <c r="AO37" s="59">
        <f t="shared" si="36"/>
        <v>241.86405419073208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22.884615384615397</v>
      </c>
      <c r="BD37" s="12">
        <f>IF('Données projet'!$A$88&gt;35,BD36+BC37-BL36,IF(A37&lt;'Données projet'!$A$88,$BA$205^A37,IF(A37='Données projet'!$A$88,'Données projet'!$B$88,BD36+BC37-BL36)))</f>
        <v>357.73846153846154</v>
      </c>
      <c r="BE37" s="13">
        <f>BD37*VLOOKUP('Données projet'!$B$11,Paramètres!$A$1:$I$89,3,0)*VLOOKUP('Données projet'!$B$11,Paramètres!$A$1:$I$89,5,0)</f>
        <v>199.97580000000002</v>
      </c>
      <c r="BF37" s="13">
        <f t="shared" si="37"/>
        <v>49.738849260389202</v>
      </c>
      <c r="BG37" s="20">
        <f t="shared" si="7"/>
        <v>434.91968079517784</v>
      </c>
      <c r="BH37" s="59">
        <f t="shared" si="8"/>
        <v>728.25301412851115</v>
      </c>
      <c r="BI37" s="59">
        <f ca="1">AVERAGE(OFFSET($BH$3,0,0,'Données projet'!$E$11+1,1))-AVERAGE(OFFSET($H$3,0,0,'Données projet'!$E$11+1,1))</f>
        <v>271.42245454555501</v>
      </c>
      <c r="BJ37" s="59">
        <f t="shared" si="38"/>
        <v>362.63944425429077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27.31191621908755</v>
      </c>
      <c r="BQ37" s="21">
        <f>EXP(-LN(2)/25)*BQ36+(1-EXP(-LN(2)/25))/(LN(2)/25)*Calculateur!BL37*Calculateur!BN37*VLOOKUP('Données projet'!$B$11,Paramètres!$A$1:$I$89,3,0)*0.475*44/12</f>
        <v>16.332747383941374</v>
      </c>
      <c r="BR37" s="21">
        <f>EXP(-LN(2)/2)*BR36+(1-EXP(-LN(2)/2))/(LN(2)/2)*BL37*BO37*VLOOKUP('Données projet'!$B$11,Paramètres!$A$1:$I$89,3,0)*0.475*44/12</f>
        <v>1.558336412851602</v>
      </c>
      <c r="BS37" s="22">
        <f t="shared" si="9"/>
        <v>45.203000015880527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</v>
      </c>
      <c r="BY37" s="12">
        <f>IF('Données projet'!$A$114&gt;35,BY36+BX37-CG36,IF(A37&lt;'Données projet'!$A$114,$BV$205^A37,IF(A37='Données projet'!$A$114,'Données projet'!$B$114,BY36+BX37-CG36)))</f>
        <v>238.99999999999994</v>
      </c>
      <c r="BZ37" s="13">
        <f>BY37*VLOOKUP('Données projet'!$B$12,Paramètres!$A$1:$I$89,3,0)*VLOOKUP('Données projet'!$B$12,Paramètres!$A$1:$I$89,5,0)</f>
        <v>130.49399999999997</v>
      </c>
      <c r="CA37" s="13">
        <f t="shared" si="39"/>
        <v>34.110483018610772</v>
      </c>
      <c r="CB37" s="20">
        <f t="shared" si="10"/>
        <v>286.68614125741368</v>
      </c>
      <c r="CC37" s="59">
        <f t="shared" si="11"/>
        <v>580.019474590747</v>
      </c>
      <c r="CD37" s="59">
        <f ca="1">AVERAGE(OFFSET($CC$3,0,0,'Données projet'!$E$12+1,1))-AVERAGE(OFFSET($H$3,0,0,'Données projet'!$E$12+1,1))</f>
        <v>154.35821558431712</v>
      </c>
      <c r="CE37" s="59">
        <f t="shared" si="40"/>
        <v>263.86720460501306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9.1538474051169842</v>
      </c>
      <c r="CL37" s="21">
        <f>EXP(-LN(2)/25)*CL36+(1-EXP(-LN(2)/25))/(LN(2)/25)*Calculateur!CG37*Calculateur!CI37*VLOOKUP('Données projet'!$B$12,Paramètres!$A$1:$I$89,3,0)*0.475*44/12</f>
        <v>66.336232426065308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75.4900798311823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8.6</v>
      </c>
      <c r="CT37" s="12">
        <f>IF('Données projet'!$A$140&gt;35,CT36+CS37-DB36,IF(A37&lt;'Données projet'!$A$140,$CQ$205^A37,IF(A37='Données projet'!$A$140,'Données projet'!$B$140,CT36+CS37-DB36)))</f>
        <v>127.39999999999996</v>
      </c>
      <c r="CU37" s="17">
        <f>CT37*VLOOKUP('Données projet'!$B$13,Paramètres!$A$1:$I$89,3,0)*VLOOKUP('Données projet'!$B$13,Paramètres!$A$1:$I$89,5,0)</f>
        <v>101.35943999999996</v>
      </c>
      <c r="CV37" s="13">
        <f t="shared" si="41"/>
        <v>27.285610426884961</v>
      </c>
      <c r="CW37" s="20">
        <f t="shared" si="13"/>
        <v>224.05679616015789</v>
      </c>
      <c r="CX37" s="59">
        <f t="shared" si="14"/>
        <v>517.39012949349126</v>
      </c>
      <c r="CY37" s="59">
        <f ca="1">AVERAGE(OFFSET($CX$3,0,0,'Données projet'!$E$13+1,1))-AVERAGE(OFFSET($H$3,0,0,'Données projet'!$E$13+1,1))</f>
        <v>157.25319335691853</v>
      </c>
      <c r="CZ37" s="59">
        <f t="shared" si="42"/>
        <v>159.50903492442171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0.43634388700632309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0.43634388700632309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8.4</v>
      </c>
      <c r="DO37" s="12">
        <f>IF('Données projet'!$A$166&gt;35,DO36+DN37-DW36,IF(A37&lt;'Données projet'!$A$166,$DL$205^A37,IF(A37='Données projet'!$A$166,'Données projet'!$B$166,DO36+DN37-DW36)))</f>
        <v>144.60000000000002</v>
      </c>
      <c r="DP37" s="17">
        <f>DO37*VLOOKUP('Données projet'!$B$14,Paramètres!$A$1:$I$89,3,0)*VLOOKUP('Données projet'!$B$14,Paramètres!$A$1:$I$89,5,0)</f>
        <v>126.32256000000005</v>
      </c>
      <c r="DQ37" s="13">
        <f t="shared" si="43"/>
        <v>33.145196976032764</v>
      </c>
      <c r="DR37" s="20">
        <f t="shared" si="16"/>
        <v>277.73967673325717</v>
      </c>
      <c r="DS37" s="59">
        <f t="shared" si="17"/>
        <v>571.07301006659054</v>
      </c>
      <c r="DT37" s="59">
        <f ca="1">AVERAGE(OFFSET($DS$3,0,0,'Données projet'!$E$14+1,1))-AVERAGE(OFFSET($H$3,0,0,'Données projet'!$E$14+1,1))</f>
        <v>229.5312221178919</v>
      </c>
      <c r="DU37" s="59">
        <f t="shared" si="44"/>
        <v>218.1982095871906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5.3369963369963358</v>
      </c>
      <c r="EJ37" s="12">
        <f>IF('Données projet'!$A$192&gt;35,EJ36+EI37-ER36,IF(A37&lt;'Données projet'!$A$192,$EG$205^A37,IF(A37='Données projet'!$A$192,'Données projet'!$B$192,EJ36+EI37-ER36)))</f>
        <v>109.05311355311355</v>
      </c>
      <c r="EK37" s="17">
        <f>EJ37*VLOOKUP('Données projet'!$B$15,Paramètres!$A$1:$I$89,3,0)*VLOOKUP('Données projet'!$B$15,Paramètres!$A$1:$I$89,5,0)</f>
        <v>98.671257142857144</v>
      </c>
      <c r="EL37" s="13">
        <f t="shared" si="45"/>
        <v>26.645196865813876</v>
      </c>
      <c r="EM37" s="20">
        <f t="shared" si="19"/>
        <v>218.25949073176866</v>
      </c>
      <c r="EN37" s="59">
        <f t="shared" si="20"/>
        <v>511.59282406510198</v>
      </c>
      <c r="EO37" s="59">
        <f ca="1">AVERAGE(OFFSET($EN$3,0,0,'Données projet'!$E$15+1,1))-AVERAGE(OFFSET($H$3,0,0,'Données projet'!$E$15+1,1))</f>
        <v>204.39656982394689</v>
      </c>
      <c r="EP37" s="59">
        <f t="shared" si="46"/>
        <v>134.95704640904546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5.8630104463437798</v>
      </c>
      <c r="FE37" s="12">
        <f>IF('Données projet'!$A$218&gt;35,FE36+FD37-FM36,IF(A37&lt;'Données projet'!$A$218,$FB$205^A37,IF(A37='Données projet'!$A$218,'Données projet'!$B$218,FE36+FD37-FM36)))</f>
        <v>117.24050332383665</v>
      </c>
      <c r="FF37" s="17">
        <f>FE37*VLOOKUP('Données projet'!$B$16,Paramètres!$A$1:$I$89,3,0)*VLOOKUP('Données projet'!$B$16,Paramètres!$A$1:$I$89,5,0)</f>
        <v>100.59235185185184</v>
      </c>
      <c r="FG37" s="13">
        <f t="shared" si="47"/>
        <v>27.103068664800006</v>
      </c>
      <c r="FH37" s="20">
        <f t="shared" si="22"/>
        <v>222.40285739983531</v>
      </c>
      <c r="FI37" s="59">
        <f t="shared" si="23"/>
        <v>515.73619073316866</v>
      </c>
      <c r="FJ37" s="59">
        <f ca="1">AVERAGE(OFFSET($FI$3,0,0,'Données projet'!$E$16+1,1))-AVERAGE(OFFSET($H$3,0,0,'Données projet'!$E$16+1,1))</f>
        <v>199.60585215726968</v>
      </c>
      <c r="FK37" s="59">
        <f t="shared" si="48"/>
        <v>137.37366750114404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11.443589743589744</v>
      </c>
      <c r="N38" s="13">
        <f>IF('Données projet'!$A$36&gt;35,N37+M38-V37,IF(A38&lt;'Données projet'!$A$36,$K$205^A38,IF(A38='Données projet'!$A$36,'Données projet'!$B$36,N37+M38-V37)))</f>
        <v>204.47179487179486</v>
      </c>
      <c r="O38" s="13">
        <f>N38*VLOOKUP('Données projet'!$B$9,Paramètres!$A$1:$I$89,3,0)*VLOOKUP('Données projet'!$B$9,Paramètres!$A$1:$I$89,5,0)</f>
        <v>95.692799999999991</v>
      </c>
      <c r="P38" s="13">
        <f t="shared" si="33"/>
        <v>25.93325205212474</v>
      </c>
      <c r="Q38" s="20">
        <f t="shared" si="53"/>
        <v>211.83204065745056</v>
      </c>
      <c r="R38" s="59">
        <f t="shared" si="0"/>
        <v>505.16537399078391</v>
      </c>
      <c r="S38" s="59">
        <f ca="1">AVERAGE(OFFSET($R$3,0,0,'Données projet'!$E$9+1,1))-AVERAGE(OFFSET($H$3,0,0,'Données projet'!$E$9+1,1))</f>
        <v>164.93438869099657</v>
      </c>
      <c r="T38" s="59">
        <f t="shared" si="34"/>
        <v>112.28641356594233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273.81843612193632</v>
      </c>
      <c r="AO38" s="59">
        <f t="shared" si="36"/>
        <v>241.86405419073208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22.884615384615397</v>
      </c>
      <c r="BD38" s="12">
        <f>IF('Données projet'!$A$88&gt;35,BD37+BC38-BL37,IF(A38&lt;'Données projet'!$A$88,$BA$205^A38,IF(A38='Données projet'!$A$88,'Données projet'!$B$88,BD37+BC38-BL37)))</f>
        <v>380.62307692307695</v>
      </c>
      <c r="BE38" s="13">
        <f>BD38*VLOOKUP('Données projet'!$B$11,Paramètres!$A$1:$I$89,3,0)*VLOOKUP('Données projet'!$B$11,Paramètres!$A$1:$I$89,5,0)</f>
        <v>212.76830000000001</v>
      </c>
      <c r="BF38" s="13">
        <f t="shared" si="37"/>
        <v>52.540067037520508</v>
      </c>
      <c r="BG38" s="20">
        <f t="shared" si="7"/>
        <v>462.07873925701483</v>
      </c>
      <c r="BH38" s="59">
        <f t="shared" si="8"/>
        <v>755.41207259034809</v>
      </c>
      <c r="BI38" s="59">
        <f ca="1">AVERAGE(OFFSET($BH$3,0,0,'Données projet'!$E$11+1,1))-AVERAGE(OFFSET($H$3,0,0,'Données projet'!$E$11+1,1))</f>
        <v>271.42245454555501</v>
      </c>
      <c r="BJ38" s="59">
        <f t="shared" si="38"/>
        <v>362.63944425429077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26.776346200655233</v>
      </c>
      <c r="BQ38" s="21">
        <f>EXP(-LN(2)/25)*BQ37+(1-EXP(-LN(2)/25))/(LN(2)/25)*Calculateur!BL38*Calculateur!BN38*VLOOKUP('Données projet'!$B$11,Paramètres!$A$1:$I$89,3,0)*0.475*44/12</f>
        <v>15.886127547825641</v>
      </c>
      <c r="BR38" s="21">
        <f>EXP(-LN(2)/2)*BR37+(1-EXP(-LN(2)/2))/(LN(2)/2)*BL38*BO38*VLOOKUP('Données projet'!$B$11,Paramètres!$A$1:$I$89,3,0)*0.475*44/12</f>
        <v>1.1019102448972871</v>
      </c>
      <c r="BS38" s="22">
        <f t="shared" si="9"/>
        <v>43.764383993378168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15</v>
      </c>
      <c r="BY38" s="12">
        <f>IF('Données projet'!$A$114&gt;35,BY37+BX38-CG37,IF(A38&lt;'Données projet'!$A$114,$BV$205^A38,IF(A38='Données projet'!$A$114,'Données projet'!$B$114,BY37+BX38-CG37)))</f>
        <v>253.99999999999994</v>
      </c>
      <c r="BZ38" s="13">
        <f>BY38*VLOOKUP('Données projet'!$B$12,Paramètres!$A$1:$I$89,3,0)*VLOOKUP('Données projet'!$B$12,Paramètres!$A$1:$I$89,5,0)</f>
        <v>138.68399999999997</v>
      </c>
      <c r="CA38" s="13">
        <f t="shared" si="39"/>
        <v>35.995362862956796</v>
      </c>
      <c r="CB38" s="20">
        <f t="shared" si="10"/>
        <v>304.23322365298299</v>
      </c>
      <c r="CC38" s="59">
        <f t="shared" si="11"/>
        <v>597.5665569863163</v>
      </c>
      <c r="CD38" s="59">
        <f ca="1">AVERAGE(OFFSET($CC$3,0,0,'Données projet'!$E$12+1,1))-AVERAGE(OFFSET($H$3,0,0,'Données projet'!$E$12+1,1))</f>
        <v>154.35821558431712</v>
      </c>
      <c r="CE38" s="59">
        <f t="shared" si="40"/>
        <v>263.86720460501306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8.9743460407982525</v>
      </c>
      <c r="CL38" s="21">
        <f>EXP(-LN(2)/25)*CL37+(1-EXP(-LN(2)/25))/(LN(2)/25)*Calculateur!CG38*Calculateur!CI38*VLOOKUP('Données projet'!$B$12,Paramètres!$A$1:$I$89,3,0)*0.475*44/12</f>
        <v>64.522264661903705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73.496610702701958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136</v>
      </c>
      <c r="CR38" s="12">
        <f>VLOOKUP(A38,'Données projet'!$A$139:$I$159,9,0)</f>
        <v>8.6</v>
      </c>
      <c r="CS38" s="12">
        <f t="array" ref="CS38">INDEX(CR:CR,MIN(IF(ISNUMBER(CR38:CR234),ROW(CR38:CR234),"")))</f>
        <v>8.6</v>
      </c>
      <c r="CT38" s="12">
        <f>IF('Données projet'!$A$140&gt;35,CT37+CS38-DB37,IF(A38&lt;'Données projet'!$A$140,$CQ$205^A38,IF(A38='Données projet'!$A$140,'Données projet'!$B$140,CT37+CS38-DB37)))</f>
        <v>135.99999999999997</v>
      </c>
      <c r="CU38" s="17">
        <f>CT38*VLOOKUP('Données projet'!$B$13,Paramètres!$A$1:$I$89,3,0)*VLOOKUP('Données projet'!$B$13,Paramètres!$A$1:$I$89,5,0)</f>
        <v>108.20159999999998</v>
      </c>
      <c r="CV38" s="13">
        <f t="shared" si="41"/>
        <v>28.90686185716126</v>
      </c>
      <c r="CW38" s="20">
        <f t="shared" si="13"/>
        <v>238.79723773455581</v>
      </c>
      <c r="CX38" s="59">
        <f t="shared" si="14"/>
        <v>532.13057106788915</v>
      </c>
      <c r="CY38" s="59">
        <f ca="1">AVERAGE(OFFSET($CX$3,0,0,'Données projet'!$E$13+1,1))-AVERAGE(OFFSET($H$3,0,0,'Données projet'!$E$13+1,1))</f>
        <v>157.25319335691853</v>
      </c>
      <c r="CZ38" s="59">
        <f t="shared" si="42"/>
        <v>159.50903492442171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0.10070000000000001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2.2769934088384987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2.2769934088384987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153</v>
      </c>
      <c r="DM38" s="12">
        <f>VLOOKUP(A38,'Données projet'!$A$165:$I$185,9,0)</f>
        <v>8.4</v>
      </c>
      <c r="DN38" s="12">
        <f t="array" ref="DN38">INDEX(DM:DM,MIN(IF(ISNUMBER(DM38:DM234),ROW(DM38:DM234),"")))</f>
        <v>8.4</v>
      </c>
      <c r="DO38" s="12">
        <f>IF('Données projet'!$A$166&gt;35,DO37+DN38-DW37,IF(A38&lt;'Données projet'!$A$166,$DL$205^A38,IF(A38='Données projet'!$A$166,'Données projet'!$B$166,DO37+DN38-DW37)))</f>
        <v>153.00000000000003</v>
      </c>
      <c r="DP38" s="17">
        <f>DO38*VLOOKUP('Données projet'!$B$14,Paramètres!$A$1:$I$89,3,0)*VLOOKUP('Données projet'!$B$14,Paramètres!$A$1:$I$89,5,0)</f>
        <v>133.66080000000005</v>
      </c>
      <c r="DQ38" s="13">
        <f t="shared" si="43"/>
        <v>34.840890682716747</v>
      </c>
      <c r="DR38" s="20">
        <f t="shared" si="16"/>
        <v>293.47377793906509</v>
      </c>
      <c r="DS38" s="59">
        <f t="shared" si="17"/>
        <v>586.8071112723984</v>
      </c>
      <c r="DT38" s="59">
        <f ca="1">AVERAGE(OFFSET($DS$3,0,0,'Données projet'!$E$14+1,1))-AVERAGE(OFFSET($H$3,0,0,'Données projet'!$E$14+1,1))</f>
        <v>229.5312221178919</v>
      </c>
      <c r="DU38" s="59">
        <f t="shared" si="44"/>
        <v>218.1982095871906</v>
      </c>
      <c r="DV38" s="15">
        <f>IF(ISNA(VLOOKUP(A38,'Données projet'!$A$165:$I$185,3,0)),0,VLOOKUP(A38,'Données projet'!$A$165:$I$185,3,0))</f>
        <v>4</v>
      </c>
      <c r="DW38" s="15" t="str">
        <f>IF(ISNA(VLOOKUP(A38,'Données projet'!$A$165:$I$185,4,0)),0,VLOOKUP(A38,'Données projet'!$A$165:$I$185,4,0))</f>
        <v>24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5.3369963369963358</v>
      </c>
      <c r="EJ38" s="12">
        <f>IF('Données projet'!$A$192&gt;35,EJ37+EI38-ER37,IF(A38&lt;'Données projet'!$A$192,$EG$205^A38,IF(A38='Données projet'!$A$192,'Données projet'!$B$192,EJ37+EI38-ER37)))</f>
        <v>114.39010989010988</v>
      </c>
      <c r="EK38" s="17">
        <f>EJ38*VLOOKUP('Données projet'!$B$15,Paramètres!$A$1:$I$89,3,0)*VLOOKUP('Données projet'!$B$15,Paramètres!$A$1:$I$89,5,0)</f>
        <v>103.50017142857141</v>
      </c>
      <c r="EL38" s="13">
        <f t="shared" si="45"/>
        <v>27.794188178262466</v>
      </c>
      <c r="EM38" s="20">
        <f t="shared" si="19"/>
        <v>228.67100964856897</v>
      </c>
      <c r="EN38" s="59">
        <f t="shared" si="20"/>
        <v>522.00434298190225</v>
      </c>
      <c r="EO38" s="59">
        <f ca="1">AVERAGE(OFFSET($EN$3,0,0,'Données projet'!$E$15+1,1))-AVERAGE(OFFSET($H$3,0,0,'Données projet'!$E$15+1,1))</f>
        <v>204.39656982394689</v>
      </c>
      <c r="EP38" s="59">
        <f t="shared" si="46"/>
        <v>134.95704640904546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5.8630104463437798</v>
      </c>
      <c r="FE38" s="12">
        <f>IF('Données projet'!$A$218&gt;35,FE37+FD38-FM37,IF(A38&lt;'Données projet'!$A$218,$FB$205^A38,IF(A38='Données projet'!$A$218,'Données projet'!$B$218,FE37+FD38-FM37)))</f>
        <v>123.10351377018043</v>
      </c>
      <c r="FF38" s="17">
        <f>FE38*VLOOKUP('Données projet'!$B$16,Paramètres!$A$1:$I$89,3,0)*VLOOKUP('Données projet'!$B$16,Paramètres!$A$1:$I$89,5,0)</f>
        <v>105.62281481481483</v>
      </c>
      <c r="FG38" s="13">
        <f t="shared" si="47"/>
        <v>28.297261055422869</v>
      </c>
      <c r="FH38" s="20">
        <f t="shared" si="22"/>
        <v>233.24413214066396</v>
      </c>
      <c r="FI38" s="59">
        <f t="shared" si="23"/>
        <v>526.57746547399734</v>
      </c>
      <c r="FJ38" s="59">
        <f ca="1">AVERAGE(OFFSET($FI$3,0,0,'Données projet'!$E$16+1,1))-AVERAGE(OFFSET($H$3,0,0,'Données projet'!$E$16+1,1))</f>
        <v>199.60585215726968</v>
      </c>
      <c r="FK38" s="59">
        <f t="shared" si="48"/>
        <v>137.37366750114404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11.443589743589744</v>
      </c>
      <c r="N39" s="13">
        <f>IF('Données projet'!$A$36&gt;35,N38+M39-V38,IF(A39&lt;'Données projet'!$A$36,$K$205^A39,IF(A39='Données projet'!$A$36,'Données projet'!$B$36,N38+M39-V38)))</f>
        <v>215.9153846153846</v>
      </c>
      <c r="O39" s="13">
        <f>N39*VLOOKUP('Données projet'!$B$9,Paramètres!$A$1:$I$89,3,0)*VLOOKUP('Données projet'!$B$9,Paramètres!$A$1:$I$89,5,0)</f>
        <v>101.04839999999999</v>
      </c>
      <c r="P39" s="13">
        <f t="shared" si="33"/>
        <v>27.21161258263702</v>
      </c>
      <c r="Q39" s="20">
        <f t="shared" si="53"/>
        <v>223.38618858142613</v>
      </c>
      <c r="R39" s="59">
        <f t="shared" si="0"/>
        <v>516.71952191475941</v>
      </c>
      <c r="S39" s="59">
        <f ca="1">AVERAGE(OFFSET($R$3,0,0,'Données projet'!$E$9+1,1))-AVERAGE(OFFSET($H$3,0,0,'Données projet'!$E$9+1,1))</f>
        <v>164.93438869099657</v>
      </c>
      <c r="T39" s="59">
        <f t="shared" si="34"/>
        <v>112.28641356594233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273.81843612193632</v>
      </c>
      <c r="AO39" s="59">
        <f t="shared" si="36"/>
        <v>241.86405419073208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403.50769230769237</v>
      </c>
      <c r="BB39" s="12">
        <f>VLOOKUP(A39,'Données projet'!$A$87:$I$107,9,0)</f>
        <v>22.884615384615397</v>
      </c>
      <c r="BC39" s="12">
        <f t="array" ref="BC39">INDEX(BB:BB,MIN(IF(ISNUMBER(BB39:BB235),ROW(BB39:BB235),"")))</f>
        <v>22.884615384615397</v>
      </c>
      <c r="BD39" s="12">
        <f>IF('Données projet'!$A$88&gt;35,BD38+BC39-BL38,IF(A39&lt;'Données projet'!$A$88,$BA$205^A39,IF(A39='Données projet'!$A$88,'Données projet'!$B$88,BD38+BC39-BL38)))</f>
        <v>403.50769230769237</v>
      </c>
      <c r="BE39" s="13">
        <f>BD39*VLOOKUP('Données projet'!$B$11,Paramètres!$A$1:$I$89,3,0)*VLOOKUP('Données projet'!$B$11,Paramètres!$A$1:$I$89,5,0)</f>
        <v>225.56080000000003</v>
      </c>
      <c r="BF39" s="13">
        <f t="shared" si="37"/>
        <v>55.321736658663667</v>
      </c>
      <c r="BG39" s="20">
        <f t="shared" si="7"/>
        <v>489.20375134717256</v>
      </c>
      <c r="BH39" s="59">
        <f t="shared" si="8"/>
        <v>782.53708468050581</v>
      </c>
      <c r="BI39" s="59">
        <f ca="1">AVERAGE(OFFSET($BH$3,0,0,'Données projet'!$E$11+1,1))-AVERAGE(OFFSET($H$3,0,0,'Données projet'!$E$11+1,1))</f>
        <v>271.42245454555501</v>
      </c>
      <c r="BJ39" s="59">
        <f t="shared" si="38"/>
        <v>362.63944425429077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69.3</v>
      </c>
      <c r="BM39" s="16">
        <f>IF(ISNA(VLOOKUP(A39,'Données projet'!$A$87:$I$107,5,0)),0%,VLOOKUP(A39,'Données projet'!$A$87:$I$107,5,0)*VLOOKUP('Données projet'!$B$11,Paramètres!$A$1:$I$89,7,0))</f>
        <v>0.38500000000000001</v>
      </c>
      <c r="BN39" s="16">
        <f>IF(ISNA(VLOOKUP(A39,'Données projet'!$A$87:$I$107,6,0)),0%,VLOOKUP(A39,'Données projet'!$A$87:$I$107,6,0)*VLOOKUP('Données projet'!$B$11,Paramètres!$A$1:$I$89,7,0))</f>
        <v>9.240000000000001E-2</v>
      </c>
      <c r="BO39" s="16">
        <f>IF(ISNA(VLOOKUP(A39,'Données projet'!$A$87:$I$107,7,0)),0%,VLOOKUP(A39,'Données projet'!$A$87:$I$107,7,0))</f>
        <v>0.13200000000000001</v>
      </c>
      <c r="BP39" s="21">
        <f>EXP(-LN(2)/35)*BP38+(1-EXP(-LN(2)/35))/(LN(2)/35)*BL39*BM39*VLOOKUP('Données projet'!$B$11,Paramètres!$A$1:$I$89,3,0)*0.475*44/12</f>
        <v>46.036190634544177</v>
      </c>
      <c r="BQ39" s="21">
        <f>EXP(-LN(2)/25)*BQ38+(1-EXP(-LN(2)/25))/(LN(2)/25)*Calculateur!BL39*Calculateur!BN39*VLOOKUP('Données projet'!$B$11,Paramètres!$A$1:$I$89,3,0)*0.475*44/12</f>
        <v>20.181403317675393</v>
      </c>
      <c r="BR39" s="21">
        <f>EXP(-LN(2)/2)*BR38+(1-EXP(-LN(2)/2))/(LN(2)/2)*BL39*BO39*VLOOKUP('Données projet'!$B$11,Paramètres!$A$1:$I$89,3,0)*0.475*44/12</f>
        <v>6.5688475705786837</v>
      </c>
      <c r="BS39" s="22">
        <f t="shared" si="9"/>
        <v>72.786441522798256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269</v>
      </c>
      <c r="BW39" s="12">
        <f>VLOOKUP(A39,'Données projet'!$A$113:$I$133,9,0)</f>
        <v>15</v>
      </c>
      <c r="BX39" s="12">
        <f t="array" ref="BX39">INDEX(BW:BW,MIN(IF(ISNUMBER(BW39:BW235),ROW(BW39:BW235),"")))</f>
        <v>15</v>
      </c>
      <c r="BY39" s="12">
        <f>IF('Données projet'!$A$114&gt;35,BY38+BX39-CG38,IF(A39&lt;'Données projet'!$A$114,$BV$205^A39,IF(A39='Données projet'!$A$114,'Données projet'!$B$114,BY38+BX39-CG38)))</f>
        <v>268.99999999999994</v>
      </c>
      <c r="BZ39" s="13">
        <f>BY39*VLOOKUP('Données projet'!$B$12,Paramètres!$A$1:$I$89,3,0)*VLOOKUP('Données projet'!$B$12,Paramètres!$A$1:$I$89,5,0)</f>
        <v>146.87399999999997</v>
      </c>
      <c r="CA39" s="13">
        <f t="shared" si="39"/>
        <v>37.867322517591383</v>
      </c>
      <c r="CB39" s="20">
        <f t="shared" si="10"/>
        <v>321.75780338480496</v>
      </c>
      <c r="CC39" s="59">
        <f t="shared" si="11"/>
        <v>615.09113671813827</v>
      </c>
      <c r="CD39" s="59">
        <f ca="1">AVERAGE(OFFSET($CC$3,0,0,'Données projet'!$E$12+1,1))-AVERAGE(OFFSET($H$3,0,0,'Données projet'!$E$12+1,1))</f>
        <v>154.35821558431712</v>
      </c>
      <c r="CE39" s="59">
        <f t="shared" si="40"/>
        <v>263.86720460501306</v>
      </c>
      <c r="CF39" s="15">
        <f>IF(ISNA(VLOOKUP(A39,'Données projet'!$A$113:$I$133,3,0)),0,VLOOKUP(A39,'Données projet'!$A$113:$I$133,3,0))</f>
        <v>6</v>
      </c>
      <c r="CG39" s="15">
        <f>IF(ISNA(VLOOKUP(A39,'Données projet'!$A$113:$I$133,4,0)),0,VLOOKUP(A39,'Données projet'!$A$113:$I$133,4,0))</f>
        <v>75</v>
      </c>
      <c r="CH39" s="16">
        <f>IF(ISNA(VLOOKUP(A39,'Données projet'!$A$113:$I$133,5,0)),0%,VLOOKUP(A39,'Données projet'!$A$113:$I$133,5,0)*VLOOKUP('Données projet'!$B$12,Paramètres!$A$1:$I$89,7,0))</f>
        <v>0.18</v>
      </c>
      <c r="CI39" s="16">
        <f>IF(ISNA(VLOOKUP(A39,'Données projet'!$A$113:$I$133,6,0)),0%,VLOOKUP(A39,'Données projet'!$A$113:$I$133,6,0)*VLOOKUP('Données projet'!$B$12,Paramètres!$A$1:$I$89,7,0))</f>
        <v>0.36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18.576471189793637</v>
      </c>
      <c r="CL39" s="21">
        <f>EXP(-LN(2)/25)*CL38+(1-EXP(-LN(2)/25))/(LN(2)/25)*Calculateur!CG39*Calculateur!CI39*VLOOKUP('Données projet'!$B$12,Paramètres!$A$1:$I$89,3,0)*0.475*44/12</f>
        <v>82.237112880857168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100.8135840706508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7.6</v>
      </c>
      <c r="CT39" s="12">
        <f>IF('Données projet'!$A$140&gt;35,CT38+CS39-DB38,IF(A39&lt;'Données projet'!$A$140,$CQ$205^A39,IF(A39='Données projet'!$A$140,'Données projet'!$B$140,CT38+CS39-DB38)))</f>
        <v>122.59999999999997</v>
      </c>
      <c r="CU39" s="17">
        <f>CT39*VLOOKUP('Données projet'!$B$13,Paramètres!$A$1:$I$89,3,0)*VLOOKUP('Données projet'!$B$13,Paramètres!$A$1:$I$89,5,0)</f>
        <v>97.540559999999971</v>
      </c>
      <c r="CV39" s="13">
        <f t="shared" si="41"/>
        <v>26.375223412308674</v>
      </c>
      <c r="CW39" s="20">
        <f t="shared" si="13"/>
        <v>215.81998944310419</v>
      </c>
      <c r="CX39" s="59">
        <f t="shared" si="14"/>
        <v>509.15332277643751</v>
      </c>
      <c r="CY39" s="59">
        <f ca="1">AVERAGE(OFFSET($CX$3,0,0,'Données projet'!$E$13+1,1))-AVERAGE(OFFSET($H$3,0,0,'Données projet'!$E$13+1,1))</f>
        <v>157.25319335691853</v>
      </c>
      <c r="CZ39" s="59">
        <f t="shared" si="42"/>
        <v>159.50903492442171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2.2147289043319307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2.2147289043319307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7.8</v>
      </c>
      <c r="DO39" s="12">
        <f>IF('Données projet'!$A$166&gt;35,DO38+DN39-DW38,IF(A39&lt;'Données projet'!$A$166,$DL$205^A39,IF(A39='Données projet'!$A$166,'Données projet'!$B$166,DO38+DN39-DW38)))</f>
        <v>136.80000000000004</v>
      </c>
      <c r="DP39" s="17">
        <f>DO39*VLOOKUP('Données projet'!$B$14,Paramètres!$A$1:$I$89,3,0)*VLOOKUP('Données projet'!$B$14,Paramètres!$A$1:$I$89,5,0)</f>
        <v>119.50848000000005</v>
      </c>
      <c r="DQ39" s="13">
        <f t="shared" si="43"/>
        <v>31.560332955588962</v>
      </c>
      <c r="DR39" s="20">
        <f t="shared" si="16"/>
        <v>263.1115158976508</v>
      </c>
      <c r="DS39" s="59">
        <f t="shared" si="17"/>
        <v>556.44484923098412</v>
      </c>
      <c r="DT39" s="59">
        <f ca="1">AVERAGE(OFFSET($DS$3,0,0,'Données projet'!$E$14+1,1))-AVERAGE(OFFSET($H$3,0,0,'Données projet'!$E$14+1,1))</f>
        <v>229.5312221178919</v>
      </c>
      <c r="DU39" s="59">
        <f t="shared" si="44"/>
        <v>218.1982095871906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5.3369963369963358</v>
      </c>
      <c r="EJ39" s="12">
        <f>IF('Données projet'!$A$192&gt;35,EJ38+EI39-ER38,IF(A39&lt;'Données projet'!$A$192,$EG$205^A39,IF(A39='Données projet'!$A$192,'Données projet'!$B$192,EJ38+EI39-ER38)))</f>
        <v>119.72710622710622</v>
      </c>
      <c r="EK39" s="17">
        <f>EJ39*VLOOKUP('Données projet'!$B$15,Paramètres!$A$1:$I$89,3,0)*VLOOKUP('Données projet'!$B$15,Paramètres!$A$1:$I$89,5,0)</f>
        <v>108.32908571428571</v>
      </c>
      <c r="EL39" s="13">
        <f t="shared" si="45"/>
        <v>28.936954111534238</v>
      </c>
      <c r="EM39" s="20">
        <f t="shared" si="19"/>
        <v>239.07168602996975</v>
      </c>
      <c r="EN39" s="59">
        <f t="shared" si="20"/>
        <v>532.40501936330304</v>
      </c>
      <c r="EO39" s="59">
        <f ca="1">AVERAGE(OFFSET($EN$3,0,0,'Données projet'!$E$15+1,1))-AVERAGE(OFFSET($H$3,0,0,'Données projet'!$E$15+1,1))</f>
        <v>204.39656982394689</v>
      </c>
      <c r="EP39" s="59">
        <f t="shared" si="46"/>
        <v>134.95704640904546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5.8630104463437798</v>
      </c>
      <c r="FE39" s="12">
        <f>IF('Données projet'!$A$218&gt;35,FE38+FD39-FM38,IF(A39&lt;'Données projet'!$A$218,$FB$205^A39,IF(A39='Données projet'!$A$218,'Données projet'!$B$218,FE38+FD39-FM38)))</f>
        <v>128.96652421652422</v>
      </c>
      <c r="FF39" s="17">
        <f>FE39*VLOOKUP('Données projet'!$B$16,Paramètres!$A$1:$I$89,3,0)*VLOOKUP('Données projet'!$B$16,Paramètres!$A$1:$I$89,5,0)</f>
        <v>110.6532777777778</v>
      </c>
      <c r="FG39" s="13">
        <f t="shared" si="47"/>
        <v>29.484848829087706</v>
      </c>
      <c r="FH39" s="20">
        <f t="shared" si="22"/>
        <v>244.07390384029077</v>
      </c>
      <c r="FI39" s="59">
        <f t="shared" si="23"/>
        <v>537.40723717362403</v>
      </c>
      <c r="FJ39" s="59">
        <f ca="1">AVERAGE(OFFSET($FI$3,0,0,'Données projet'!$E$16+1,1))-AVERAGE(OFFSET($H$3,0,0,'Données projet'!$E$16+1,1))</f>
        <v>199.60585215726968</v>
      </c>
      <c r="FK39" s="59">
        <f t="shared" si="48"/>
        <v>137.37366750114404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11.443589743589744</v>
      </c>
      <c r="N40" s="13">
        <f>IF('Données projet'!$A$36&gt;35,N39+M40-V39,IF(A40&lt;'Données projet'!$A$36,$K$205^A40,IF(A40='Données projet'!$A$36,'Données projet'!$B$36,N39+M40-V39)))</f>
        <v>227.35897435897434</v>
      </c>
      <c r="O40" s="13">
        <f>N40*VLOOKUP('Données projet'!$B$9,Paramètres!$A$1:$I$89,3,0)*VLOOKUP('Données projet'!$B$9,Paramètres!$A$1:$I$89,5,0)</f>
        <v>106.40399999999998</v>
      </c>
      <c r="P40" s="13">
        <f t="shared" si="33"/>
        <v>28.482106989387589</v>
      </c>
      <c r="Q40" s="20">
        <f t="shared" si="53"/>
        <v>234.92663633985001</v>
      </c>
      <c r="R40" s="59">
        <f t="shared" si="0"/>
        <v>528.25996967318338</v>
      </c>
      <c r="S40" s="59">
        <f ca="1">AVERAGE(OFFSET($R$3,0,0,'Données projet'!$E$9+1,1))-AVERAGE(OFFSET($H$3,0,0,'Données projet'!$E$9+1,1))</f>
        <v>164.93438869099657</v>
      </c>
      <c r="T40" s="59">
        <f t="shared" si="34"/>
        <v>112.28641356594233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273.81843612193632</v>
      </c>
      <c r="AO40" s="59">
        <f t="shared" si="36"/>
        <v>241.86405419073208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22.419230769230751</v>
      </c>
      <c r="BD40" s="12">
        <f>IF('Données projet'!$A$88&gt;35,BD39+BC40-BL39,IF(A40&lt;'Données projet'!$A$88,$BA$205^A40,IF(A40='Données projet'!$A$88,'Données projet'!$B$88,BD39+BC40-BL39)))</f>
        <v>356.62692307692311</v>
      </c>
      <c r="BE40" s="13">
        <f>BD40*VLOOKUP('Données projet'!$B$11,Paramètres!$A$1:$I$89,3,0)*VLOOKUP('Données projet'!$B$11,Paramètres!$A$1:$I$89,5,0)</f>
        <v>199.35445000000001</v>
      </c>
      <c r="BF40" s="13">
        <f t="shared" si="37"/>
        <v>49.60226869073324</v>
      </c>
      <c r="BG40" s="20">
        <f t="shared" si="7"/>
        <v>433.59961838636042</v>
      </c>
      <c r="BH40" s="59">
        <f t="shared" si="8"/>
        <v>726.93295171969373</v>
      </c>
      <c r="BI40" s="59">
        <f ca="1">AVERAGE(OFFSET($BH$3,0,0,'Données projet'!$E$11+1,1))-AVERAGE(OFFSET($H$3,0,0,'Données projet'!$E$11+1,1))</f>
        <v>271.42245454555501</v>
      </c>
      <c r="BJ40" s="59">
        <f t="shared" si="38"/>
        <v>362.63944425429077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45.133449015504453</v>
      </c>
      <c r="BQ40" s="21">
        <f>EXP(-LN(2)/25)*BQ39+(1-EXP(-LN(2)/25))/(LN(2)/25)*Calculateur!BL40*Calculateur!BN40*VLOOKUP('Données projet'!$B$11,Paramètres!$A$1:$I$89,3,0)*0.475*44/12</f>
        <v>19.629541782659683</v>
      </c>
      <c r="BR40" s="21">
        <f>EXP(-LN(2)/2)*BR39+(1-EXP(-LN(2)/2))/(LN(2)/2)*BL40*BO40*VLOOKUP('Données projet'!$B$11,Paramètres!$A$1:$I$89,3,0)*0.475*44/12</f>
        <v>4.6448766617369657</v>
      </c>
      <c r="BS40" s="22">
        <f t="shared" si="9"/>
        <v>69.407867459901098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14</v>
      </c>
      <c r="BY40" s="12">
        <f>IF('Données projet'!$A$114&gt;35,BY39+BX40-CG39,IF(A40&lt;'Données projet'!$A$114,$BV$205^A40,IF(A40='Données projet'!$A$114,'Données projet'!$B$114,BY39+BX40-CG39)))</f>
        <v>207.99999999999994</v>
      </c>
      <c r="BZ40" s="13">
        <f>BY40*VLOOKUP('Données projet'!$B$12,Paramètres!$A$1:$I$89,3,0)*VLOOKUP('Données projet'!$B$12,Paramètres!$A$1:$I$89,5,0)</f>
        <v>113.56799999999997</v>
      </c>
      <c r="CA40" s="13">
        <f t="shared" si="39"/>
        <v>30.170065062058185</v>
      </c>
      <c r="CB40" s="20">
        <f t="shared" si="10"/>
        <v>250.34379664975128</v>
      </c>
      <c r="CC40" s="59">
        <f t="shared" si="11"/>
        <v>543.67712998308457</v>
      </c>
      <c r="CD40" s="59">
        <f ca="1">AVERAGE(OFFSET($CC$3,0,0,'Données projet'!$E$12+1,1))-AVERAGE(OFFSET($H$3,0,0,'Données projet'!$E$12+1,1))</f>
        <v>154.35821558431712</v>
      </c>
      <c r="CE40" s="59">
        <f t="shared" si="40"/>
        <v>263.86720460501306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18.212197920290411</v>
      </c>
      <c r="CL40" s="21">
        <f>EXP(-LN(2)/25)*CL39+(1-EXP(-LN(2)/25))/(LN(2)/25)*Calculateur!CG40*Calculateur!CI40*VLOOKUP('Données projet'!$B$12,Paramètres!$A$1:$I$89,3,0)*0.475*44/12</f>
        <v>79.988334704468315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98.200532624758722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7.6</v>
      </c>
      <c r="CT40" s="12">
        <f>IF('Données projet'!$A$140&gt;35,CT39+CS40-DB39,IF(A40&lt;'Données projet'!$A$140,$CQ$205^A40,IF(A40='Données projet'!$A$140,'Données projet'!$B$140,CT39+CS40-DB39)))</f>
        <v>130.19999999999996</v>
      </c>
      <c r="CU40" s="17">
        <f>CT40*VLOOKUP('Données projet'!$B$13,Paramètres!$A$1:$I$89,3,0)*VLOOKUP('Données projet'!$B$13,Paramètres!$A$1:$I$89,5,0)</f>
        <v>103.58711999999998</v>
      </c>
      <c r="CV40" s="13">
        <f t="shared" si="41"/>
        <v>27.814818683067688</v>
      </c>
      <c r="CW40" s="20">
        <f t="shared" si="13"/>
        <v>228.85837653967619</v>
      </c>
      <c r="CX40" s="59">
        <f t="shared" si="14"/>
        <v>522.19170987300947</v>
      </c>
      <c r="CY40" s="59">
        <f ca="1">AVERAGE(OFFSET($CX$3,0,0,'Données projet'!$E$13+1,1))-AVERAGE(OFFSET($H$3,0,0,'Données projet'!$E$13+1,1))</f>
        <v>157.25319335691853</v>
      </c>
      <c r="CZ40" s="59">
        <f t="shared" si="42"/>
        <v>159.50903492442171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2.1541670259754429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2.1541670259754429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7.8</v>
      </c>
      <c r="DO40" s="12">
        <f>IF('Données projet'!$A$166&gt;35,DO39+DN40-DW39,IF(A40&lt;'Données projet'!$A$166,$DL$205^A40,IF(A40='Données projet'!$A$166,'Données projet'!$B$166,DO39+DN40-DW39)))</f>
        <v>144.60000000000005</v>
      </c>
      <c r="DP40" s="17">
        <f>DO40*VLOOKUP('Données projet'!$B$14,Paramètres!$A$1:$I$89,3,0)*VLOOKUP('Données projet'!$B$14,Paramètres!$A$1:$I$89,5,0)</f>
        <v>126.32256000000007</v>
      </c>
      <c r="DQ40" s="13">
        <f t="shared" si="43"/>
        <v>33.145196976032764</v>
      </c>
      <c r="DR40" s="20">
        <f t="shared" si="16"/>
        <v>277.73967673325717</v>
      </c>
      <c r="DS40" s="59">
        <f t="shared" si="17"/>
        <v>571.07301006659054</v>
      </c>
      <c r="DT40" s="59">
        <f ca="1">AVERAGE(OFFSET($DS$3,0,0,'Données projet'!$E$14+1,1))-AVERAGE(OFFSET($H$3,0,0,'Données projet'!$E$14+1,1))</f>
        <v>229.5312221178919</v>
      </c>
      <c r="DU40" s="59">
        <f t="shared" si="44"/>
        <v>218.1982095871906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5.3369963369963358</v>
      </c>
      <c r="EJ40" s="12">
        <f>IF('Données projet'!$A$192&gt;35,EJ39+EI40-ER39,IF(A40&lt;'Données projet'!$A$192,$EG$205^A40,IF(A40='Données projet'!$A$192,'Données projet'!$B$192,EJ39+EI40-ER39)))</f>
        <v>125.06410256410255</v>
      </c>
      <c r="EK40" s="17">
        <f>EJ40*VLOOKUP('Données projet'!$B$15,Paramètres!$A$1:$I$89,3,0)*VLOOKUP('Données projet'!$B$15,Paramètres!$A$1:$I$89,5,0)</f>
        <v>113.15799999999999</v>
      </c>
      <c r="EL40" s="13">
        <f t="shared" si="45"/>
        <v>30.073803878601733</v>
      </c>
      <c r="EM40" s="20">
        <f t="shared" si="19"/>
        <v>249.46205842189795</v>
      </c>
      <c r="EN40" s="59">
        <f t="shared" si="20"/>
        <v>542.79539175523132</v>
      </c>
      <c r="EO40" s="59">
        <f ca="1">AVERAGE(OFFSET($EN$3,0,0,'Données projet'!$E$15+1,1))-AVERAGE(OFFSET($H$3,0,0,'Données projet'!$E$15+1,1))</f>
        <v>204.39656982394689</v>
      </c>
      <c r="EP40" s="59">
        <f t="shared" si="46"/>
        <v>134.95704640904546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5.8630104463437798</v>
      </c>
      <c r="FE40" s="12">
        <f>IF('Données projet'!$A$218&gt;35,FE39+FD40-FM39,IF(A40&lt;'Données projet'!$A$218,$FB$205^A40,IF(A40='Données projet'!$A$218,'Données projet'!$B$218,FE39+FD40-FM39)))</f>
        <v>134.82953466286801</v>
      </c>
      <c r="FF40" s="17">
        <f>FE40*VLOOKUP('Données projet'!$B$16,Paramètres!$A$1:$I$89,3,0)*VLOOKUP('Données projet'!$B$16,Paramètres!$A$1:$I$89,5,0)</f>
        <v>115.68374074074076</v>
      </c>
      <c r="FG40" s="13">
        <f t="shared" si="47"/>
        <v>30.666166541438386</v>
      </c>
      <c r="FH40" s="20">
        <f t="shared" si="22"/>
        <v>254.89275518312866</v>
      </c>
      <c r="FI40" s="59">
        <f t="shared" si="23"/>
        <v>548.22608851646191</v>
      </c>
      <c r="FJ40" s="59">
        <f ca="1">AVERAGE(OFFSET($FI$3,0,0,'Données projet'!$E$16+1,1))-AVERAGE(OFFSET($H$3,0,0,'Données projet'!$E$16+1,1))</f>
        <v>199.60585215726968</v>
      </c>
      <c r="FK40" s="59">
        <f t="shared" si="48"/>
        <v>137.37366750114404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11.443589743589744</v>
      </c>
      <c r="N41" s="13">
        <f>IF('Données projet'!$A$36&gt;35,N40+M41-V40,IF(A41&lt;'Données projet'!$A$36,$K$205^A41,IF(A41='Données projet'!$A$36,'Données projet'!$B$36,N40+M41-V40)))</f>
        <v>238.80256410256408</v>
      </c>
      <c r="O41" s="13">
        <f>N41*VLOOKUP('Données projet'!$B$9,Paramètres!$A$1:$I$89,3,0)*VLOOKUP('Données projet'!$B$9,Paramètres!$A$1:$I$89,5,0)</f>
        <v>111.75959999999998</v>
      </c>
      <c r="P41" s="13">
        <f t="shared" si="33"/>
        <v>29.745176370290782</v>
      </c>
      <c r="Q41" s="20">
        <f t="shared" si="53"/>
        <v>246.45415217825635</v>
      </c>
      <c r="R41" s="59">
        <f t="shared" si="0"/>
        <v>539.78748551158969</v>
      </c>
      <c r="S41" s="59">
        <f ca="1">AVERAGE(OFFSET($R$3,0,0,'Données projet'!$E$9+1,1))-AVERAGE(OFFSET($H$3,0,0,'Données projet'!$E$9+1,1))</f>
        <v>164.93438869099657</v>
      </c>
      <c r="T41" s="59">
        <f t="shared" si="34"/>
        <v>112.28641356594233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273.81843612193632</v>
      </c>
      <c r="AO41" s="59">
        <f t="shared" si="36"/>
        <v>241.86405419073208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22.419230769230751</v>
      </c>
      <c r="BD41" s="12">
        <f>IF('Données projet'!$A$88&gt;35,BD40+BC41-BL40,IF(A41&lt;'Données projet'!$A$88,$BA$205^A41,IF(A41='Données projet'!$A$88,'Données projet'!$B$88,BD40+BC41-BL40)))</f>
        <v>379.04615384615386</v>
      </c>
      <c r="BE41" s="13">
        <f>BD41*VLOOKUP('Données projet'!$B$11,Paramètres!$A$1:$I$89,3,0)*VLOOKUP('Données projet'!$B$11,Paramètres!$A$1:$I$89,5,0)</f>
        <v>211.88679999999999</v>
      </c>
      <c r="BF41" s="13">
        <f t="shared" si="37"/>
        <v>52.347684082939317</v>
      </c>
      <c r="BG41" s="20">
        <f t="shared" si="7"/>
        <v>460.20839311111928</v>
      </c>
      <c r="BH41" s="59">
        <f t="shared" si="8"/>
        <v>753.54172644445259</v>
      </c>
      <c r="BI41" s="59">
        <f ca="1">AVERAGE(OFFSET($BH$3,0,0,'Données projet'!$E$11+1,1))-AVERAGE(OFFSET($H$3,0,0,'Données projet'!$E$11+1,1))</f>
        <v>271.42245454555501</v>
      </c>
      <c r="BJ41" s="59">
        <f t="shared" si="38"/>
        <v>362.63944425429077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44.248409608996077</v>
      </c>
      <c r="BQ41" s="21">
        <f>EXP(-LN(2)/25)*BQ40+(1-EXP(-LN(2)/25))/(LN(2)/25)*Calculateur!BL41*Calculateur!BN41*VLOOKUP('Données projet'!$B$11,Paramètres!$A$1:$I$89,3,0)*0.475*44/12</f>
        <v>19.092770930340116</v>
      </c>
      <c r="BR41" s="21">
        <f>EXP(-LN(2)/2)*BR40+(1-EXP(-LN(2)/2))/(LN(2)/2)*BL41*BO41*VLOOKUP('Données projet'!$B$11,Paramètres!$A$1:$I$89,3,0)*0.475*44/12</f>
        <v>3.2844237852893423</v>
      </c>
      <c r="BS41" s="22">
        <f t="shared" si="9"/>
        <v>66.625604324625542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14</v>
      </c>
      <c r="BY41" s="12">
        <f>IF('Données projet'!$A$114&gt;35,BY40+BX41-CG40,IF(A41&lt;'Données projet'!$A$114,$BV$205^A41,IF(A41='Données projet'!$A$114,'Données projet'!$B$114,BY40+BX41-CG40)))</f>
        <v>221.99999999999994</v>
      </c>
      <c r="BZ41" s="13">
        <f>BY41*VLOOKUP('Données projet'!$B$12,Paramètres!$A$1:$I$89,3,0)*VLOOKUP('Données projet'!$B$12,Paramètres!$A$1:$I$89,5,0)</f>
        <v>121.21199999999996</v>
      </c>
      <c r="CA41" s="13">
        <f t="shared" si="39"/>
        <v>31.95751284761706</v>
      </c>
      <c r="CB41" s="20">
        <f t="shared" si="10"/>
        <v>266.77023487626633</v>
      </c>
      <c r="CC41" s="59">
        <f t="shared" si="11"/>
        <v>560.10356820959964</v>
      </c>
      <c r="CD41" s="59">
        <f ca="1">AVERAGE(OFFSET($CC$3,0,0,'Données projet'!$E$12+1,1))-AVERAGE(OFFSET($H$3,0,0,'Données projet'!$E$12+1,1))</f>
        <v>154.35821558431712</v>
      </c>
      <c r="CE41" s="59">
        <f t="shared" si="40"/>
        <v>263.86720460501306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17.85506782741739</v>
      </c>
      <c r="CL41" s="21">
        <f>EXP(-LN(2)/25)*CL40+(1-EXP(-LN(2)/25))/(LN(2)/25)*Calculateur!CG41*Calculateur!CI41*VLOOKUP('Données projet'!$B$12,Paramètres!$A$1:$I$89,3,0)*0.475*44/12</f>
        <v>77.801049485570928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95.656117312988314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7.6</v>
      </c>
      <c r="CT41" s="12">
        <f>IF('Données projet'!$A$140&gt;35,CT40+CS41-DB40,IF(A41&lt;'Données projet'!$A$140,$CQ$205^A41,IF(A41='Données projet'!$A$140,'Données projet'!$B$140,CT40+CS41-DB40)))</f>
        <v>137.79999999999995</v>
      </c>
      <c r="CU41" s="17">
        <f>CT41*VLOOKUP('Données projet'!$B$13,Paramètres!$A$1:$I$89,3,0)*VLOOKUP('Données projet'!$B$13,Paramètres!$A$1:$I$89,5,0)</f>
        <v>109.63367999999997</v>
      </c>
      <c r="CV41" s="13">
        <f t="shared" si="41"/>
        <v>29.244659974709236</v>
      </c>
      <c r="CW41" s="20">
        <f t="shared" si="13"/>
        <v>241.87977545595186</v>
      </c>
      <c r="CX41" s="59">
        <f t="shared" si="14"/>
        <v>535.21310878928512</v>
      </c>
      <c r="CY41" s="59">
        <f ca="1">AVERAGE(OFFSET($CX$3,0,0,'Données projet'!$E$13+1,1))-AVERAGE(OFFSET($H$3,0,0,'Données projet'!$E$13+1,1))</f>
        <v>157.25319335691853</v>
      </c>
      <c r="CZ41" s="59">
        <f t="shared" si="42"/>
        <v>159.50903492442171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2.0952612153674237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2.0952612153674237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7.8</v>
      </c>
      <c r="DO41" s="12">
        <f>IF('Données projet'!$A$166&gt;35,DO40+DN41-DW40,IF(A41&lt;'Données projet'!$A$166,$DL$205^A41,IF(A41='Données projet'!$A$166,'Données projet'!$B$166,DO40+DN41-DW40)))</f>
        <v>152.40000000000006</v>
      </c>
      <c r="DP41" s="17">
        <f>DO41*VLOOKUP('Données projet'!$B$14,Paramètres!$A$1:$I$89,3,0)*VLOOKUP('Données projet'!$B$14,Paramètres!$A$1:$I$89,5,0)</f>
        <v>133.13664000000006</v>
      </c>
      <c r="DQ41" s="13">
        <f t="shared" si="43"/>
        <v>34.720135986247172</v>
      </c>
      <c r="DR41" s="20">
        <f t="shared" si="16"/>
        <v>292.35055150938058</v>
      </c>
      <c r="DS41" s="59">
        <f t="shared" si="17"/>
        <v>585.68388484271395</v>
      </c>
      <c r="DT41" s="59">
        <f ca="1">AVERAGE(OFFSET($DS$3,0,0,'Données projet'!$E$14+1,1))-AVERAGE(OFFSET($H$3,0,0,'Données projet'!$E$14+1,1))</f>
        <v>229.5312221178919</v>
      </c>
      <c r="DU41" s="59">
        <f t="shared" si="44"/>
        <v>218.1982095871906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5.3369963369963358</v>
      </c>
      <c r="EJ41" s="12">
        <f>IF('Données projet'!$A$192&gt;35,EJ40+EI41-ER40,IF(A41&lt;'Données projet'!$A$192,$EG$205^A41,IF(A41='Données projet'!$A$192,'Données projet'!$B$192,EJ40+EI41-ER40)))</f>
        <v>130.40109890109889</v>
      </c>
      <c r="EK41" s="17">
        <f>EJ41*VLOOKUP('Données projet'!$B$15,Paramètres!$A$1:$I$89,3,0)*VLOOKUP('Données projet'!$B$15,Paramètres!$A$1:$I$89,5,0)</f>
        <v>117.98691428571428</v>
      </c>
      <c r="EL41" s="13">
        <f t="shared" si="45"/>
        <v>31.205018808985951</v>
      </c>
      <c r="EM41" s="20">
        <f t="shared" si="19"/>
        <v>259.8426168066029</v>
      </c>
      <c r="EN41" s="59">
        <f t="shared" si="20"/>
        <v>553.17595013993628</v>
      </c>
      <c r="EO41" s="59">
        <f ca="1">AVERAGE(OFFSET($EN$3,0,0,'Données projet'!$E$15+1,1))-AVERAGE(OFFSET($H$3,0,0,'Données projet'!$E$15+1,1))</f>
        <v>204.39656982394689</v>
      </c>
      <c r="EP41" s="59">
        <f t="shared" si="46"/>
        <v>134.95704640904546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5.8630104463437798</v>
      </c>
      <c r="FE41" s="12">
        <f>IF('Données projet'!$A$218&gt;35,FE40+FD41-FM40,IF(A41&lt;'Données projet'!$A$218,$FB$205^A41,IF(A41='Données projet'!$A$218,'Données projet'!$B$218,FE40+FD41-FM40)))</f>
        <v>140.69254510921181</v>
      </c>
      <c r="FF41" s="17">
        <f>FE41*VLOOKUP('Données projet'!$B$16,Paramètres!$A$1:$I$89,3,0)*VLOOKUP('Données projet'!$B$16,Paramètres!$A$1:$I$89,5,0)</f>
        <v>120.71420370370373</v>
      </c>
      <c r="FG41" s="13">
        <f t="shared" si="47"/>
        <v>31.841518006691491</v>
      </c>
      <c r="FH41" s="20">
        <f t="shared" si="22"/>
        <v>265.7012153122717</v>
      </c>
      <c r="FI41" s="59">
        <f t="shared" si="23"/>
        <v>559.03454864560501</v>
      </c>
      <c r="FJ41" s="59">
        <f ca="1">AVERAGE(OFFSET($FI$3,0,0,'Données projet'!$E$16+1,1))-AVERAGE(OFFSET($H$3,0,0,'Données projet'!$E$16+1,1))</f>
        <v>199.60585215726968</v>
      </c>
      <c r="FK41" s="59">
        <f t="shared" si="48"/>
        <v>137.37366750114404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11.443589743589744</v>
      </c>
      <c r="N42" s="13">
        <f>IF('Données projet'!$A$36&gt;35,N41+M42-V41,IF(A42&lt;'Données projet'!$A$36,$K$205^A42,IF(A42='Données projet'!$A$36,'Données projet'!$B$36,N41+M42-V41)))</f>
        <v>250.24615384615382</v>
      </c>
      <c r="O42" s="13">
        <f>N42*VLOOKUP('Données projet'!$B$9,Paramètres!$A$1:$I$89,3,0)*VLOOKUP('Données projet'!$B$9,Paramètres!$A$1:$I$89,5,0)</f>
        <v>117.11519999999997</v>
      </c>
      <c r="P42" s="13">
        <f t="shared" si="33"/>
        <v>31.001217159106822</v>
      </c>
      <c r="Q42" s="20">
        <f t="shared" si="53"/>
        <v>257.96942655211097</v>
      </c>
      <c r="R42" s="59">
        <f t="shared" si="0"/>
        <v>551.30275988544429</v>
      </c>
      <c r="S42" s="59">
        <f ca="1">AVERAGE(OFFSET($R$3,0,0,'Données projet'!$E$9+1,1))-AVERAGE(OFFSET($H$3,0,0,'Données projet'!$E$9+1,1))</f>
        <v>164.93438869099657</v>
      </c>
      <c r="T42" s="59">
        <f t="shared" si="34"/>
        <v>112.28641356594233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273.81843612193632</v>
      </c>
      <c r="AO42" s="59">
        <f t="shared" si="36"/>
        <v>241.86405419073208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22.419230769230751</v>
      </c>
      <c r="BD42" s="12">
        <f>IF('Données projet'!$A$88&gt;35,BD41+BC42-BL41,IF(A42&lt;'Données projet'!$A$88,$BA$205^A42,IF(A42='Données projet'!$A$88,'Données projet'!$B$88,BD41+BC42-BL41)))</f>
        <v>401.46538461538461</v>
      </c>
      <c r="BE42" s="13">
        <f>BD42*VLOOKUP('Données projet'!$B$11,Paramètres!$A$1:$I$89,3,0)*VLOOKUP('Données projet'!$B$11,Paramètres!$A$1:$I$89,5,0)</f>
        <v>224.41915</v>
      </c>
      <c r="BF42" s="13">
        <f t="shared" si="37"/>
        <v>55.074251579267461</v>
      </c>
      <c r="BG42" s="20">
        <f t="shared" si="7"/>
        <v>486.78434108389075</v>
      </c>
      <c r="BH42" s="59">
        <f t="shared" si="8"/>
        <v>780.11767441722407</v>
      </c>
      <c r="BI42" s="59">
        <f ca="1">AVERAGE(OFFSET($BH$3,0,0,'Données projet'!$E$11+1,1))-AVERAGE(OFFSET($H$3,0,0,'Données projet'!$E$11+1,1))</f>
        <v>271.42245454555501</v>
      </c>
      <c r="BJ42" s="59">
        <f t="shared" si="38"/>
        <v>362.63944425429077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43.380725285428596</v>
      </c>
      <c r="BQ42" s="21">
        <f>EXP(-LN(2)/25)*BQ41+(1-EXP(-LN(2)/25))/(LN(2)/25)*Calculateur!BL42*Calculateur!BN42*VLOOKUP('Données projet'!$B$11,Paramètres!$A$1:$I$89,3,0)*0.475*44/12</f>
        <v>18.570678105204781</v>
      </c>
      <c r="BR42" s="21">
        <f>EXP(-LN(2)/2)*BR41+(1-EXP(-LN(2)/2))/(LN(2)/2)*BL42*BO42*VLOOKUP('Données projet'!$B$11,Paramètres!$A$1:$I$89,3,0)*0.475*44/12</f>
        <v>2.3224383308684833</v>
      </c>
      <c r="BS42" s="22">
        <f t="shared" si="9"/>
        <v>64.273841721501853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14</v>
      </c>
      <c r="BY42" s="12">
        <f>IF('Données projet'!$A$114&gt;35,BY41+BX42-CG41,IF(A42&lt;'Données projet'!$A$114,$BV$205^A42,IF(A42='Données projet'!$A$114,'Données projet'!$B$114,BY41+BX42-CG41)))</f>
        <v>235.99999999999994</v>
      </c>
      <c r="BZ42" s="13">
        <f>BY42*VLOOKUP('Données projet'!$B$12,Paramètres!$A$1:$I$89,3,0)*VLOOKUP('Données projet'!$B$12,Paramètres!$A$1:$I$89,5,0)</f>
        <v>128.85599999999997</v>
      </c>
      <c r="CA42" s="13">
        <f t="shared" si="39"/>
        <v>33.731878688740906</v>
      </c>
      <c r="CB42" s="20">
        <f t="shared" si="10"/>
        <v>283.1738887162237</v>
      </c>
      <c r="CC42" s="59">
        <f t="shared" si="11"/>
        <v>576.50722204955696</v>
      </c>
      <c r="CD42" s="59">
        <f ca="1">AVERAGE(OFFSET($CC$3,0,0,'Données projet'!$E$12+1,1))-AVERAGE(OFFSET($H$3,0,0,'Données projet'!$E$12+1,1))</f>
        <v>154.35821558431712</v>
      </c>
      <c r="CE42" s="59">
        <f t="shared" si="40"/>
        <v>263.86720460501306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17.504940837837761</v>
      </c>
      <c r="CL42" s="21">
        <f>EXP(-LN(2)/25)*CL41+(1-EXP(-LN(2)/25))/(LN(2)/25)*Calculateur!CG42*Calculateur!CI42*VLOOKUP('Données projet'!$B$12,Paramètres!$A$1:$I$89,3,0)*0.475*44/12</f>
        <v>75.673575696008612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93.178516533846377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7.6</v>
      </c>
      <c r="CT42" s="12">
        <f>IF('Données projet'!$A$140&gt;35,CT41+CS42-DB41,IF(A42&lt;'Données projet'!$A$140,$CQ$205^A42,IF(A42='Données projet'!$A$140,'Données projet'!$B$140,CT41+CS42-DB41)))</f>
        <v>145.39999999999995</v>
      </c>
      <c r="CU42" s="17">
        <f>CT42*VLOOKUP('Données projet'!$B$13,Paramètres!$A$1:$I$89,3,0)*VLOOKUP('Données projet'!$B$13,Paramètres!$A$1:$I$89,5,0)</f>
        <v>115.68023999999997</v>
      </c>
      <c r="CV42" s="13">
        <f t="shared" si="41"/>
        <v>30.665346560819799</v>
      </c>
      <c r="CW42" s="20">
        <f t="shared" si="13"/>
        <v>254.88522992676107</v>
      </c>
      <c r="CX42" s="59">
        <f t="shared" si="14"/>
        <v>548.21856326009436</v>
      </c>
      <c r="CY42" s="59">
        <f ca="1">AVERAGE(OFFSET($CX$3,0,0,'Données projet'!$E$13+1,1))-AVERAGE(OFFSET($H$3,0,0,'Données projet'!$E$13+1,1))</f>
        <v>157.25319335691853</v>
      </c>
      <c r="CZ42" s="59">
        <f t="shared" si="42"/>
        <v>159.50903492442171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2.0379661872482031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2.0379661872482031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7.8</v>
      </c>
      <c r="DO42" s="12">
        <f>IF('Données projet'!$A$166&gt;35,DO41+DN42-DW41,IF(A42&lt;'Données projet'!$A$166,$DL$205^A42,IF(A42='Données projet'!$A$166,'Données projet'!$B$166,DO41+DN42-DW41)))</f>
        <v>160.20000000000007</v>
      </c>
      <c r="DP42" s="17">
        <f>DO42*VLOOKUP('Données projet'!$B$14,Paramètres!$A$1:$I$89,3,0)*VLOOKUP('Données projet'!$B$14,Paramètres!$A$1:$I$89,5,0)</f>
        <v>139.95072000000008</v>
      </c>
      <c r="DQ42" s="13">
        <f t="shared" si="43"/>
        <v>36.285715907711953</v>
      </c>
      <c r="DR42" s="20">
        <f t="shared" si="16"/>
        <v>306.94512587259845</v>
      </c>
      <c r="DS42" s="59">
        <f t="shared" si="17"/>
        <v>600.27845920593177</v>
      </c>
      <c r="DT42" s="59">
        <f ca="1">AVERAGE(OFFSET($DS$3,0,0,'Données projet'!$E$14+1,1))-AVERAGE(OFFSET($H$3,0,0,'Données projet'!$E$14+1,1))</f>
        <v>229.5312221178919</v>
      </c>
      <c r="DU42" s="59">
        <f t="shared" si="44"/>
        <v>218.1982095871906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5.3369963369963358</v>
      </c>
      <c r="EJ42" s="12">
        <f>IF('Données projet'!$A$192&gt;35,EJ41+EI42-ER41,IF(A42&lt;'Données projet'!$A$192,$EG$205^A42,IF(A42='Données projet'!$A$192,'Données projet'!$B$192,EJ41+EI42-ER41)))</f>
        <v>135.73809523809524</v>
      </c>
      <c r="EK42" s="17">
        <f>EJ42*VLOOKUP('Données projet'!$B$15,Paramètres!$A$1:$I$89,3,0)*VLOOKUP('Données projet'!$B$15,Paramètres!$A$1:$I$89,5,0)</f>
        <v>122.81582857142857</v>
      </c>
      <c r="EL42" s="13">
        <f t="shared" si="45"/>
        <v>32.330855900842984</v>
      </c>
      <c r="EM42" s="20">
        <f t="shared" si="19"/>
        <v>270.21380878920627</v>
      </c>
      <c r="EN42" s="59">
        <f t="shared" si="20"/>
        <v>563.54714212253953</v>
      </c>
      <c r="EO42" s="59">
        <f ca="1">AVERAGE(OFFSET($EN$3,0,0,'Données projet'!$E$15+1,1))-AVERAGE(OFFSET($H$3,0,0,'Données projet'!$E$15+1,1))</f>
        <v>204.39656982394689</v>
      </c>
      <c r="EP42" s="59">
        <f t="shared" si="46"/>
        <v>134.95704640904546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5.8630104463437798</v>
      </c>
      <c r="FE42" s="12">
        <f>IF('Données projet'!$A$218&gt;35,FE41+FD42-FM41,IF(A42&lt;'Données projet'!$A$218,$FB$205^A42,IF(A42='Données projet'!$A$218,'Données projet'!$B$218,FE41+FD42-FM41)))</f>
        <v>146.5555555555556</v>
      </c>
      <c r="FF42" s="17">
        <f>FE42*VLOOKUP('Données projet'!$B$16,Paramètres!$A$1:$I$89,3,0)*VLOOKUP('Données projet'!$B$16,Paramètres!$A$1:$I$89,5,0)</f>
        <v>125.74466666666672</v>
      </c>
      <c r="FG42" s="13">
        <f t="shared" si="47"/>
        <v>33.011180285086866</v>
      </c>
      <c r="FH42" s="20">
        <f t="shared" si="22"/>
        <v>276.49976677430419</v>
      </c>
      <c r="FI42" s="59">
        <f t="shared" si="23"/>
        <v>569.83310010763751</v>
      </c>
      <c r="FJ42" s="59">
        <f ca="1">AVERAGE(OFFSET($FI$3,0,0,'Données projet'!$E$16+1,1))-AVERAGE(OFFSET($H$3,0,0,'Données projet'!$E$16+1,1))</f>
        <v>199.60585215726968</v>
      </c>
      <c r="FK42" s="59">
        <f t="shared" si="48"/>
        <v>137.37366750114404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11.443589743589744</v>
      </c>
      <c r="N43" s="13">
        <f>IF('Données projet'!$A$36&gt;35,N42+M43-V42,IF(A43&lt;'Données projet'!$A$36,$K$205^A43,IF(A43='Données projet'!$A$36,'Données projet'!$B$36,N42+M43-V42)))</f>
        <v>261.68974358974356</v>
      </c>
      <c r="O43" s="13">
        <f>N43*VLOOKUP('Données projet'!$B$9,Paramètres!$A$1:$I$89,3,0)*VLOOKUP('Données projet'!$B$9,Paramètres!$A$1:$I$89,5,0)</f>
        <v>122.47079999999997</v>
      </c>
      <c r="P43" s="13">
        <f t="shared" si="33"/>
        <v>32.25058748290914</v>
      </c>
      <c r="Q43" s="20">
        <f t="shared" si="53"/>
        <v>269.47308319939998</v>
      </c>
      <c r="R43" s="59">
        <f t="shared" si="0"/>
        <v>562.80641653273324</v>
      </c>
      <c r="S43" s="59">
        <f ca="1">AVERAGE(OFFSET($R$3,0,0,'Données projet'!$E$9+1,1))-AVERAGE(OFFSET($H$3,0,0,'Données projet'!$E$9+1,1))</f>
        <v>164.93438869099657</v>
      </c>
      <c r="T43" s="59">
        <f t="shared" si="34"/>
        <v>112.28641356594233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273.81843612193632</v>
      </c>
      <c r="AO43" s="59">
        <f t="shared" si="36"/>
        <v>241.86405419073208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22.419230769230751</v>
      </c>
      <c r="BD43" s="12">
        <f>IF('Données projet'!$A$88&gt;35,BD42+BC43-BL42,IF(A43&lt;'Données projet'!$A$88,$BA$205^A43,IF(A43='Données projet'!$A$88,'Données projet'!$B$88,BD42+BC43-BL42)))</f>
        <v>423.88461538461536</v>
      </c>
      <c r="BE43" s="13">
        <f>BD43*VLOOKUP('Données projet'!$B$11,Paramètres!$A$1:$I$89,3,0)*VLOOKUP('Données projet'!$B$11,Paramètres!$A$1:$I$89,5,0)</f>
        <v>236.95150000000001</v>
      </c>
      <c r="BF43" s="13">
        <f t="shared" si="37"/>
        <v>57.783143668102753</v>
      </c>
      <c r="BG43" s="20">
        <f t="shared" si="7"/>
        <v>513.32950438861235</v>
      </c>
      <c r="BH43" s="59">
        <f t="shared" si="8"/>
        <v>806.66283772194561</v>
      </c>
      <c r="BI43" s="59">
        <f ca="1">AVERAGE(OFFSET($BH$3,0,0,'Données projet'!$E$11+1,1))-AVERAGE(OFFSET($H$3,0,0,'Données projet'!$E$11+1,1))</f>
        <v>271.42245454555501</v>
      </c>
      <c r="BJ43" s="59">
        <f t="shared" si="38"/>
        <v>362.63944425429077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42.530055722211095</v>
      </c>
      <c r="BQ43" s="21">
        <f>EXP(-LN(2)/25)*BQ42+(1-EXP(-LN(2)/25))/(LN(2)/25)*Calculateur!BL43*Calculateur!BN43*VLOOKUP('Données projet'!$B$11,Paramètres!$A$1:$I$89,3,0)*0.475*44/12</f>
        <v>18.062861935828437</v>
      </c>
      <c r="BR43" s="21">
        <f>EXP(-LN(2)/2)*BR42+(1-EXP(-LN(2)/2))/(LN(2)/2)*BL43*BO43*VLOOKUP('Données projet'!$B$11,Paramètres!$A$1:$I$89,3,0)*0.475*44/12</f>
        <v>1.6422118926446714</v>
      </c>
      <c r="BS43" s="22">
        <f t="shared" si="9"/>
        <v>62.235129550684206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14</v>
      </c>
      <c r="BY43" s="12">
        <f>IF('Données projet'!$A$114&gt;35,BY42+BX43-CG42,IF(A43&lt;'Données projet'!$A$114,$BV$205^A43,IF(A43='Données projet'!$A$114,'Données projet'!$B$114,BY42+BX43-CG42)))</f>
        <v>249.99999999999994</v>
      </c>
      <c r="BZ43" s="13">
        <f>BY43*VLOOKUP('Données projet'!$B$12,Paramètres!$A$1:$I$89,3,0)*VLOOKUP('Données projet'!$B$12,Paramètres!$A$1:$I$89,5,0)</f>
        <v>136.49999999999997</v>
      </c>
      <c r="CA43" s="13">
        <f t="shared" si="39"/>
        <v>35.494027024087352</v>
      </c>
      <c r="CB43" s="20">
        <f t="shared" si="10"/>
        <v>299.55626373361878</v>
      </c>
      <c r="CC43" s="59">
        <f t="shared" si="11"/>
        <v>592.88959706695209</v>
      </c>
      <c r="CD43" s="59">
        <f ca="1">AVERAGE(OFFSET($CC$3,0,0,'Données projet'!$E$12+1,1))-AVERAGE(OFFSET($H$3,0,0,'Données projet'!$E$12+1,1))</f>
        <v>154.35821558431712</v>
      </c>
      <c r="CE43" s="59">
        <f t="shared" si="40"/>
        <v>263.86720460501306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17.161679624967412</v>
      </c>
      <c r="CL43" s="21">
        <f>EXP(-LN(2)/25)*CL42+(1-EXP(-LN(2)/25))/(LN(2)/25)*Calculateur!CG43*Calculateur!CI43*VLOOKUP('Données projet'!$B$12,Paramètres!$A$1:$I$89,3,0)*0.475*44/12</f>
        <v>73.604277789100863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90.765957414068282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153</v>
      </c>
      <c r="CR43" s="12">
        <f>VLOOKUP(A43,'Données projet'!$A$139:$I$159,9,0)</f>
        <v>7.6</v>
      </c>
      <c r="CS43" s="12">
        <f t="array" ref="CS43">INDEX(CR:CR,MIN(IF(ISNUMBER(CR43:CR239),ROW(CR43:CR239),"")))</f>
        <v>7.6</v>
      </c>
      <c r="CT43" s="12">
        <f>IF('Données projet'!$A$140&gt;35,CT42+CS43-DB42,IF(A43&lt;'Données projet'!$A$140,$CQ$205^A43,IF(A43='Données projet'!$A$140,'Données projet'!$B$140,CT42+CS43-DB42)))</f>
        <v>152.99999999999994</v>
      </c>
      <c r="CU43" s="17">
        <f>CT43*VLOOKUP('Données projet'!$B$13,Paramètres!$A$1:$I$89,3,0)*VLOOKUP('Données projet'!$B$13,Paramètres!$A$1:$I$89,5,0)</f>
        <v>121.72679999999995</v>
      </c>
      <c r="CV43" s="13">
        <f t="shared" si="41"/>
        <v>32.07741152903197</v>
      </c>
      <c r="CW43" s="20">
        <f t="shared" si="13"/>
        <v>267.87566841306398</v>
      </c>
      <c r="CX43" s="59">
        <f t="shared" si="14"/>
        <v>561.20900174639723</v>
      </c>
      <c r="CY43" s="59">
        <f ca="1">AVERAGE(OFFSET($CX$3,0,0,'Données projet'!$E$13+1,1))-AVERAGE(OFFSET($H$3,0,0,'Données projet'!$E$13+1,1))</f>
        <v>157.25319335691853</v>
      </c>
      <c r="CZ43" s="59">
        <f t="shared" si="42"/>
        <v>159.50903492442171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21</v>
      </c>
      <c r="DC43" s="16">
        <f>IF(ISNA(VLOOKUP(A43,'Données projet'!$A$139:$I$159,5,0)),0%,VLOOKUP(A43,'Données projet'!$A$139:$I$159,5,0)*VLOOKUP('Données projet'!$B$13,Paramètres!$A$1:$I$89,7,0))</f>
        <v>2.6500000000000003E-2</v>
      </c>
      <c r="DD43" s="16">
        <f>IF(ISNA(VLOOKUP(A43,'Données projet'!$A$139:$I$159,6,0)),0%,VLOOKUP(A43,'Données projet'!$A$139:$I$159,6,0)*VLOOKUP('Données projet'!$B$13,Paramètres!$A$1:$I$89,7,0))</f>
        <v>0.17490000000000003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0.48944855819674515</v>
      </c>
      <c r="DG43" s="21">
        <f>EXP(-LN(2)/25)*DG42+(1-EXP(-LN(2)/25))/(LN(2)/25)*Calculateur!DB43*Calculateur!DD43*VLOOKUP('Données projet'!$B$13,Paramètres!$A$1:$I$89,3,0)*0.475*44/12</f>
        <v>5.1998792186946972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5.6893277768914423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168</v>
      </c>
      <c r="DM43" s="12">
        <f>VLOOKUP(A43,'Données projet'!$A$165:$I$185,9,0)</f>
        <v>7.8</v>
      </c>
      <c r="DN43" s="12">
        <f t="array" ref="DN43">INDEX(DM:DM,MIN(IF(ISNUMBER(DM43:DM239),ROW(DM43:DM239),"")))</f>
        <v>7.8</v>
      </c>
      <c r="DO43" s="12">
        <f>IF('Données projet'!$A$166&gt;35,DO42+DN43-DW42,IF(A43&lt;'Données projet'!$A$166,$DL$205^A43,IF(A43='Données projet'!$A$166,'Données projet'!$B$166,DO42+DN43-DW42)))</f>
        <v>168.00000000000009</v>
      </c>
      <c r="DP43" s="17">
        <f>DO43*VLOOKUP('Données projet'!$B$14,Paramètres!$A$1:$I$89,3,0)*VLOOKUP('Données projet'!$B$14,Paramètres!$A$1:$I$89,5,0)</f>
        <v>146.76480000000009</v>
      </c>
      <c r="DQ43" s="13">
        <f t="shared" si="43"/>
        <v>37.842444439956665</v>
      </c>
      <c r="DR43" s="20">
        <f t="shared" si="16"/>
        <v>321.52428406625802</v>
      </c>
      <c r="DS43" s="59">
        <f t="shared" si="17"/>
        <v>614.85761739959139</v>
      </c>
      <c r="DT43" s="59">
        <f ca="1">AVERAGE(OFFSET($DS$3,0,0,'Données projet'!$E$14+1,1))-AVERAGE(OFFSET($H$3,0,0,'Données projet'!$E$14+1,1))</f>
        <v>229.5312221178919</v>
      </c>
      <c r="DU43" s="59">
        <f t="shared" si="44"/>
        <v>218.1982095871906</v>
      </c>
      <c r="DV43" s="15">
        <f>IF(ISNA(VLOOKUP(A43,'Données projet'!$A$165:$I$185,3,0)),0,VLOOKUP(A43,'Données projet'!$A$165:$I$185,3,0))</f>
        <v>5</v>
      </c>
      <c r="DW43" s="15" t="str">
        <f>IF(ISNA(VLOOKUP(A43,'Données projet'!$A$165:$I$185,4,0)),0,VLOOKUP(A43,'Données projet'!$A$165:$I$185,4,0))</f>
        <v>23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0.215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4.7567757029334148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4.7567757029334148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5.3369963369963358</v>
      </c>
      <c r="EJ43" s="12">
        <f>IF('Données projet'!$A$192&gt;35,EJ42+EI43-ER42,IF(A43&lt;'Données projet'!$A$192,$EG$205^A43,IF(A43='Données projet'!$A$192,'Données projet'!$B$192,EJ42+EI43-ER42)))</f>
        <v>141.07509157509156</v>
      </c>
      <c r="EK43" s="17">
        <f>EJ43*VLOOKUP('Données projet'!$B$15,Paramètres!$A$1:$I$89,3,0)*VLOOKUP('Données projet'!$B$15,Paramètres!$A$1:$I$89,5,0)</f>
        <v>127.64474285714284</v>
      </c>
      <c r="EL43" s="13">
        <f t="shared" si="45"/>
        <v>33.451550798682433</v>
      </c>
      <c r="EM43" s="20">
        <f t="shared" si="19"/>
        <v>280.57604478389567</v>
      </c>
      <c r="EN43" s="59">
        <f t="shared" si="20"/>
        <v>573.90937811722893</v>
      </c>
      <c r="EO43" s="59">
        <f ca="1">AVERAGE(OFFSET($EN$3,0,0,'Données projet'!$E$15+1,1))-AVERAGE(OFFSET($H$3,0,0,'Données projet'!$E$15+1,1))</f>
        <v>204.39656982394689</v>
      </c>
      <c r="EP43" s="59">
        <f t="shared" si="46"/>
        <v>134.95704640904546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5.8630104463437798</v>
      </c>
      <c r="FE43" s="12">
        <f>IF('Données projet'!$A$218&gt;35,FE42+FD43-FM42,IF(A43&lt;'Données projet'!$A$218,$FB$205^A43,IF(A43='Données projet'!$A$218,'Données projet'!$B$218,FE42+FD43-FM42)))</f>
        <v>152.41856600189939</v>
      </c>
      <c r="FF43" s="17">
        <f>FE43*VLOOKUP('Données projet'!$B$16,Paramètres!$A$1:$I$89,3,0)*VLOOKUP('Données projet'!$B$16,Paramètres!$A$1:$I$89,5,0)</f>
        <v>130.7751296296297</v>
      </c>
      <c r="FG43" s="13">
        <f t="shared" si="47"/>
        <v>34.175407014298649</v>
      </c>
      <c r="FH43" s="20">
        <f t="shared" si="22"/>
        <v>287.2888513215085</v>
      </c>
      <c r="FI43" s="59">
        <f t="shared" si="23"/>
        <v>580.62218465484182</v>
      </c>
      <c r="FJ43" s="59">
        <f ca="1">AVERAGE(OFFSET($FI$3,0,0,'Données projet'!$E$16+1,1))-AVERAGE(OFFSET($H$3,0,0,'Données projet'!$E$16+1,1))</f>
        <v>199.60585215726968</v>
      </c>
      <c r="FK43" s="59">
        <f t="shared" si="48"/>
        <v>137.37366750114404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0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11.443589743589744</v>
      </c>
      <c r="N44" s="13">
        <f>IF('Données projet'!$A$36&gt;35,N43+M44-V43,IF(A44&lt;'Données projet'!$A$36,$K$205^A44,IF(A44='Données projet'!$A$36,'Données projet'!$B$36,N43+M44-V43)))</f>
        <v>273.13333333333333</v>
      </c>
      <c r="O44" s="13">
        <f>N44*VLOOKUP('Données projet'!$B$9,Paramètres!$A$1:$I$89,3,0)*VLOOKUP('Données projet'!$B$9,Paramètres!$A$1:$I$89,5,0)</f>
        <v>127.82639999999999</v>
      </c>
      <c r="P44" s="13">
        <f t="shared" si="33"/>
        <v>33.493612376128482</v>
      </c>
      <c r="Q44" s="20">
        <f t="shared" si="53"/>
        <v>280.96568822175709</v>
      </c>
      <c r="R44" s="59">
        <f t="shared" si="0"/>
        <v>574.29902155509035</v>
      </c>
      <c r="S44" s="59">
        <f ca="1">AVERAGE(OFFSET($R$3,0,0,'Données projet'!$E$9+1,1))-AVERAGE(OFFSET($H$3,0,0,'Données projet'!$E$9+1,1))</f>
        <v>164.93438869099657</v>
      </c>
      <c r="T44" s="59">
        <f t="shared" si="34"/>
        <v>112.28641356594233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273.81843612193632</v>
      </c>
      <c r="AO44" s="59">
        <f t="shared" si="36"/>
        <v>241.86405419073208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22.419230769230751</v>
      </c>
      <c r="BD44" s="12">
        <f>IF('Données projet'!$A$88&gt;35,BD43+BC44-BL43,IF(A44&lt;'Données projet'!$A$88,$BA$205^A44,IF(A44='Données projet'!$A$88,'Données projet'!$B$88,BD43+BC44-BL43)))</f>
        <v>446.30384615384611</v>
      </c>
      <c r="BE44" s="13">
        <f>BD44*VLOOKUP('Données projet'!$B$11,Paramètres!$A$1:$I$89,3,0)*VLOOKUP('Données projet'!$B$11,Paramètres!$A$1:$I$89,5,0)</f>
        <v>249.48384999999996</v>
      </c>
      <c r="BF44" s="13">
        <f t="shared" si="37"/>
        <v>60.475401807280001</v>
      </c>
      <c r="BG44" s="20">
        <f t="shared" si="7"/>
        <v>539.8456968976792</v>
      </c>
      <c r="BH44" s="59">
        <f t="shared" si="8"/>
        <v>833.17903023101258</v>
      </c>
      <c r="BI44" s="59">
        <f ca="1">AVERAGE(OFFSET($BH$3,0,0,'Données projet'!$E$11+1,1))-AVERAGE(OFFSET($H$3,0,0,'Données projet'!$E$11+1,1))</f>
        <v>271.42245454555501</v>
      </c>
      <c r="BJ44" s="59">
        <f t="shared" si="38"/>
        <v>362.63944425429077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41.696067270271087</v>
      </c>
      <c r="BQ44" s="21">
        <f>EXP(-LN(2)/25)*BQ43+(1-EXP(-LN(2)/25))/(LN(2)/25)*Calculateur!BL44*Calculateur!BN44*VLOOKUP('Données projet'!$B$11,Paramètres!$A$1:$I$89,3,0)*0.475*44/12</f>
        <v>17.568932026308584</v>
      </c>
      <c r="BR44" s="21">
        <f>EXP(-LN(2)/2)*BR43+(1-EXP(-LN(2)/2))/(LN(2)/2)*BL44*BO44*VLOOKUP('Données projet'!$B$11,Paramètres!$A$1:$I$89,3,0)*0.475*44/12</f>
        <v>1.1612191654342419</v>
      </c>
      <c r="BS44" s="22">
        <f t="shared" si="9"/>
        <v>60.426218462013914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14</v>
      </c>
      <c r="BY44" s="12">
        <f>IF('Données projet'!$A$114&gt;35,BY43+BX44-CG43,IF(A44&lt;'Données projet'!$A$114,$BV$205^A44,IF(A44='Données projet'!$A$114,'Données projet'!$B$114,BY43+BX44-CG43)))</f>
        <v>263.99999999999994</v>
      </c>
      <c r="BZ44" s="13">
        <f>BY44*VLOOKUP('Données projet'!$B$12,Paramètres!$A$1:$I$89,3,0)*VLOOKUP('Données projet'!$B$12,Paramètres!$A$1:$I$89,5,0)</f>
        <v>144.14399999999995</v>
      </c>
      <c r="CA44" s="13">
        <f t="shared" si="39"/>
        <v>37.244720006976216</v>
      </c>
      <c r="CB44" s="20">
        <f t="shared" si="10"/>
        <v>315.91868734548348</v>
      </c>
      <c r="CC44" s="59">
        <f t="shared" si="11"/>
        <v>609.25202067881673</v>
      </c>
      <c r="CD44" s="59">
        <f ca="1">AVERAGE(OFFSET($CC$3,0,0,'Données projet'!$E$12+1,1))-AVERAGE(OFFSET($H$3,0,0,'Données projet'!$E$12+1,1))</f>
        <v>154.35821558431712</v>
      </c>
      <c r="CE44" s="59">
        <f t="shared" si="40"/>
        <v>263.86720460501306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16.825149555112784</v>
      </c>
      <c r="CL44" s="21">
        <f>EXP(-LN(2)/25)*CL43+(1-EXP(-LN(2)/25))/(LN(2)/25)*Calculateur!CG44*Calculateur!CI44*VLOOKUP('Données projet'!$B$12,Paramètres!$A$1:$I$89,3,0)*0.475*44/12</f>
        <v>71.591564942277159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88.416714497389947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6.4</v>
      </c>
      <c r="CT44" s="12">
        <f>IF('Données projet'!$A$140&gt;35,CT43+CS44-DB43,IF(A44&lt;'Données projet'!$A$140,$CQ$205^A44,IF(A44='Données projet'!$A$140,'Données projet'!$B$140,CT43+CS44-DB43)))</f>
        <v>138.39999999999995</v>
      </c>
      <c r="CU44" s="17">
        <f>CT44*VLOOKUP('Données projet'!$B$13,Paramètres!$A$1:$I$89,3,0)*VLOOKUP('Données projet'!$B$13,Paramètres!$A$1:$I$89,5,0)</f>
        <v>110.11103999999996</v>
      </c>
      <c r="CV44" s="13">
        <f t="shared" si="41"/>
        <v>29.357144926198423</v>
      </c>
      <c r="CW44" s="20">
        <f t="shared" si="13"/>
        <v>242.90708874646216</v>
      </c>
      <c r="CX44" s="59">
        <f t="shared" si="14"/>
        <v>536.24042207979551</v>
      </c>
      <c r="CY44" s="59">
        <f ca="1">AVERAGE(OFFSET($CX$3,0,0,'Données projet'!$E$13+1,1))-AVERAGE(OFFSET($H$3,0,0,'Données projet'!$E$13+1,1))</f>
        <v>157.25319335691853</v>
      </c>
      <c r="CZ44" s="59">
        <f t="shared" si="42"/>
        <v>159.50903492442171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0.47985077050464969</v>
      </c>
      <c r="DG44" s="21">
        <f>EXP(-LN(2)/25)*DG43+(1-EXP(-LN(2)/25))/(LN(2)/25)*Calculateur!DB44*Calculateur!DD44*VLOOKUP('Données projet'!$B$13,Paramètres!$A$1:$I$89,3,0)*0.475*44/12</f>
        <v>5.0576882480097272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5.5375390185143765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</v>
      </c>
      <c r="DO44" s="12">
        <f>IF('Données projet'!$A$166&gt;35,DO43+DN44-DW43,IF(A44&lt;'Données projet'!$A$166,$DL$205^A44,IF(A44='Données projet'!$A$166,'Données projet'!$B$166,DO43+DN44-DW43)))</f>
        <v>152.00000000000009</v>
      </c>
      <c r="DP44" s="17">
        <f>DO44*VLOOKUP('Données projet'!$B$14,Paramètres!$A$1:$I$89,3,0)*VLOOKUP('Données projet'!$B$14,Paramètres!$A$1:$I$89,5,0)</f>
        <v>132.7872000000001</v>
      </c>
      <c r="DQ44" s="13">
        <f t="shared" si="43"/>
        <v>34.639602119854608</v>
      </c>
      <c r="DR44" s="20">
        <f t="shared" si="16"/>
        <v>291.60168035874693</v>
      </c>
      <c r="DS44" s="59">
        <f t="shared" si="17"/>
        <v>584.93501369208025</v>
      </c>
      <c r="DT44" s="59">
        <f ca="1">AVERAGE(OFFSET($DS$3,0,0,'Données projet'!$E$14+1,1))-AVERAGE(OFFSET($H$3,0,0,'Données projet'!$E$14+1,1))</f>
        <v>229.5312221178919</v>
      </c>
      <c r="DU44" s="59">
        <f t="shared" si="44"/>
        <v>218.1982095871906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4.6267014211887378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4.6267014211887378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5.3369963369963358</v>
      </c>
      <c r="EJ44" s="12">
        <f>IF('Données projet'!$A$192&gt;35,EJ43+EI44-ER43,IF(A44&lt;'Données projet'!$A$192,$EG$205^A44,IF(A44='Données projet'!$A$192,'Données projet'!$B$192,EJ43+EI44-ER43)))</f>
        <v>146.41208791208788</v>
      </c>
      <c r="EK44" s="17">
        <f>EJ44*VLOOKUP('Données projet'!$B$15,Paramètres!$A$1:$I$89,3,0)*VLOOKUP('Données projet'!$B$15,Paramètres!$A$1:$I$89,5,0)</f>
        <v>132.47365714285712</v>
      </c>
      <c r="EL44" s="13">
        <f t="shared" si="45"/>
        <v>34.567320307816402</v>
      </c>
      <c r="EM44" s="20">
        <f t="shared" si="19"/>
        <v>290.92970239325638</v>
      </c>
      <c r="EN44" s="59">
        <f t="shared" si="20"/>
        <v>584.26303572658969</v>
      </c>
      <c r="EO44" s="59">
        <f ca="1">AVERAGE(OFFSET($EN$3,0,0,'Données projet'!$E$15+1,1))-AVERAGE(OFFSET($H$3,0,0,'Données projet'!$E$15+1,1))</f>
        <v>204.39656982394689</v>
      </c>
      <c r="EP44" s="59">
        <f t="shared" si="46"/>
        <v>134.95704640904546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5.8630104463437798</v>
      </c>
      <c r="FE44" s="12">
        <f>IF('Données projet'!$A$218&gt;35,FE43+FD44-FM43,IF(A44&lt;'Données projet'!$A$218,$FB$205^A44,IF(A44='Données projet'!$A$218,'Données projet'!$B$218,FE43+FD44-FM43)))</f>
        <v>158.28157644824319</v>
      </c>
      <c r="FF44" s="17">
        <f>FE44*VLOOKUP('Données projet'!$B$16,Paramètres!$A$1:$I$89,3,0)*VLOOKUP('Données projet'!$B$16,Paramètres!$A$1:$I$89,5,0)</f>
        <v>135.80559259259266</v>
      </c>
      <c r="FG44" s="13">
        <f t="shared" si="47"/>
        <v>35.334431213837902</v>
      </c>
      <c r="FH44" s="20">
        <f t="shared" si="22"/>
        <v>298.06887479619991</v>
      </c>
      <c r="FI44" s="59">
        <f t="shared" si="23"/>
        <v>591.40220812953316</v>
      </c>
      <c r="FJ44" s="59">
        <f ca="1">AVERAGE(OFFSET($FI$3,0,0,'Données projet'!$E$16+1,1))-AVERAGE(OFFSET($H$3,0,0,'Données projet'!$E$16+1,1))</f>
        <v>199.60585215726968</v>
      </c>
      <c r="FK44" s="59">
        <f t="shared" si="48"/>
        <v>137.37366750114404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0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11.443589743589744</v>
      </c>
      <c r="N45" s="13">
        <f>IF('Données projet'!$A$36&gt;35,N44+M45-V44,IF(A45&lt;'Données projet'!$A$36,$K$205^A45,IF(A45='Données projet'!$A$36,'Données projet'!$B$36,N44+M45-V44)))</f>
        <v>284.57692307692309</v>
      </c>
      <c r="O45" s="13">
        <f>N45*VLOOKUP('Données projet'!$B$9,Paramètres!$A$1:$I$89,3,0)*VLOOKUP('Données projet'!$B$9,Paramètres!$A$1:$I$89,5,0)</f>
        <v>133.18200000000002</v>
      </c>
      <c r="P45" s="13">
        <f t="shared" si="33"/>
        <v>34.730588096149795</v>
      </c>
      <c r="Q45" s="20">
        <f t="shared" si="53"/>
        <v>292.44775760079426</v>
      </c>
      <c r="R45" s="59">
        <f t="shared" si="0"/>
        <v>585.78109093412763</v>
      </c>
      <c r="S45" s="59">
        <f ca="1">AVERAGE(OFFSET($R$3,0,0,'Données projet'!$E$9+1,1))-AVERAGE(OFFSET($H$3,0,0,'Données projet'!$E$9+1,1))</f>
        <v>164.93438869099657</v>
      </c>
      <c r="T45" s="59">
        <f t="shared" si="34"/>
        <v>112.28641356594233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273.81843612193632</v>
      </c>
      <c r="AO45" s="59">
        <f t="shared" si="36"/>
        <v>241.86405419073208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468.72307692307686</v>
      </c>
      <c r="BB45" s="12">
        <f>VLOOKUP(A45,'Données projet'!$A$87:$I$107,9,0)</f>
        <v>22.419230769230751</v>
      </c>
      <c r="BC45" s="12">
        <f t="array" ref="BC45">INDEX(BB:BB,MIN(IF(ISNUMBER(BB45:BB241),ROW(BB45:BB241),"")))</f>
        <v>22.419230769230751</v>
      </c>
      <c r="BD45" s="12">
        <f>IF('Données projet'!$A$88&gt;35,BD44+BC45-BL44,IF(A45&lt;'Données projet'!$A$88,$BA$205^A45,IF(A45='Données projet'!$A$88,'Données projet'!$B$88,BD44+BC45-BL44)))</f>
        <v>468.72307692307686</v>
      </c>
      <c r="BE45" s="13">
        <f>BD45*VLOOKUP('Données projet'!$B$11,Paramètres!$A$1:$I$89,3,0)*VLOOKUP('Données projet'!$B$11,Paramètres!$A$1:$I$89,5,0)</f>
        <v>262.01619999999997</v>
      </c>
      <c r="BF45" s="13">
        <f t="shared" si="37"/>
        <v>63.151956912854622</v>
      </c>
      <c r="BG45" s="20">
        <f t="shared" si="7"/>
        <v>566.33453995655509</v>
      </c>
      <c r="BH45" s="59">
        <f t="shared" si="8"/>
        <v>859.66787328988835</v>
      </c>
      <c r="BI45" s="59">
        <f ca="1">AVERAGE(OFFSET($BH$3,0,0,'Données projet'!$E$11+1,1))-AVERAGE(OFFSET($H$3,0,0,'Données projet'!$E$11+1,1))</f>
        <v>271.42245454555501</v>
      </c>
      <c r="BJ45" s="59">
        <f t="shared" si="38"/>
        <v>362.63944425429077</v>
      </c>
      <c r="BK45" s="15">
        <f>IF(ISNA(VLOOKUP(A45,'Données projet'!$A$87:$I$107,3,0)),0,VLOOKUP(A45,'Données projet'!$A$87:$I$107,3,0))</f>
        <v>5</v>
      </c>
      <c r="BL45" s="15">
        <f>IF(ISNA(VLOOKUP(A45,'Données projet'!$A$87:$I$107,4,0)),0,VLOOKUP(A45,'Données projet'!$A$87:$I$107,4,0))</f>
        <v>73.392307692307682</v>
      </c>
      <c r="BM45" s="16">
        <f>IF(ISNA(VLOOKUP(A45,'Données projet'!$A$87:$I$107,5,0)),0%,VLOOKUP(A45,'Données projet'!$A$87:$I$107,5,0)*VLOOKUP('Données projet'!$B$11,Paramètres!$A$1:$I$89,7,0))</f>
        <v>0.38500000000000001</v>
      </c>
      <c r="BN45" s="16">
        <f>IF(ISNA(VLOOKUP(A45,'Données projet'!$A$87:$I$107,6,0)),0%,VLOOKUP(A45,'Données projet'!$A$87:$I$107,6,0)*VLOOKUP('Données projet'!$B$11,Paramètres!$A$1:$I$89,7,0))</f>
        <v>9.240000000000001E-2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61.831684880697594</v>
      </c>
      <c r="BQ45" s="21">
        <f>EXP(-LN(2)/25)*BQ44+(1-EXP(-LN(2)/25))/(LN(2)/25)*Calculateur!BL45*Calculateur!BN45*VLOOKUP('Données projet'!$B$11,Paramètres!$A$1:$I$89,3,0)*0.475*44/12</f>
        <v>22.097488925021114</v>
      </c>
      <c r="BR45" s="21">
        <f>EXP(-LN(2)/2)*BR44+(1-EXP(-LN(2)/2))/(LN(2)/2)*BL45*BO45*VLOOKUP('Données projet'!$B$11,Paramètres!$A$1:$I$89,3,0)*0.475*44/12</f>
        <v>6.9526777981796624</v>
      </c>
      <c r="BS45" s="22">
        <f t="shared" si="9"/>
        <v>90.881851603898369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278</v>
      </c>
      <c r="BW45" s="12">
        <f>VLOOKUP(A45,'Données projet'!$A$113:$I$133,9,0)</f>
        <v>14</v>
      </c>
      <c r="BX45" s="12">
        <f t="array" ref="BX45">INDEX(BW:BW,MIN(IF(ISNUMBER(BW45:BW241),ROW(BW45:BW241),"")))</f>
        <v>14</v>
      </c>
      <c r="BY45" s="12">
        <f>IF('Données projet'!$A$114&gt;35,BY44+BX45-CG44,IF(A45&lt;'Données projet'!$A$114,$BV$205^A45,IF(A45='Données projet'!$A$114,'Données projet'!$B$114,BY44+BX45-CG44)))</f>
        <v>277.99999999999994</v>
      </c>
      <c r="BZ45" s="13">
        <f>BY45*VLOOKUP('Données projet'!$B$12,Paramètres!$A$1:$I$89,3,0)*VLOOKUP('Données projet'!$B$12,Paramètres!$A$1:$I$89,5,0)</f>
        <v>151.78799999999998</v>
      </c>
      <c r="CA45" s="13">
        <f t="shared" si="39"/>
        <v>38.984634390835623</v>
      </c>
      <c r="CB45" s="20">
        <f t="shared" si="10"/>
        <v>332.26233823070532</v>
      </c>
      <c r="CC45" s="59">
        <f t="shared" si="11"/>
        <v>625.59567156403864</v>
      </c>
      <c r="CD45" s="59">
        <f ca="1">AVERAGE(OFFSET($CC$3,0,0,'Données projet'!$E$12+1,1))-AVERAGE(OFFSET($H$3,0,0,'Données projet'!$E$12+1,1))</f>
        <v>154.35821558431712</v>
      </c>
      <c r="CE45" s="59">
        <f t="shared" si="40"/>
        <v>263.86720460501306</v>
      </c>
      <c r="CF45" s="15" t="str">
        <f>IF(ISNA(VLOOKUP(A45,'Données projet'!$A$113:$I$133,3,0)),0,VLOOKUP(A45,'Données projet'!$A$113:$I$133,3,0))</f>
        <v>CR</v>
      </c>
      <c r="CG45" s="15">
        <f>IF(ISNA(VLOOKUP(A45,'Données projet'!$A$113:$I$133,4,0)),0,VLOOKUP(A45,'Données projet'!$A$113:$I$133,4,0))</f>
        <v>278</v>
      </c>
      <c r="CH45" s="16">
        <f>IF(ISNA(VLOOKUP(A45,'Données projet'!$A$113:$I$133,5,0)),0%,VLOOKUP(A45,'Données projet'!$A$113:$I$133,5,0)*VLOOKUP('Données projet'!$B$12,Paramètres!$A$1:$I$89,7,0))</f>
        <v>0.24</v>
      </c>
      <c r="CI45" s="16">
        <f>IF(ISNA(VLOOKUP(A45,'Données projet'!$A$113:$I$133,6,0)),0%,VLOOKUP(A45,'Données projet'!$A$113:$I$133,6,0)*VLOOKUP('Données projet'!$B$12,Paramètres!$A$1:$I$89,7,0))</f>
        <v>0.36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64.820794369606588</v>
      </c>
      <c r="CL45" s="21">
        <f>EXP(-LN(2)/25)*CL44+(1-EXP(-LN(2)/25))/(LN(2)/25)*Calculateur!CG45*Calculateur!CI45*VLOOKUP('Données projet'!$B$12,Paramètres!$A$1:$I$89,3,0)*0.475*44/12</f>
        <v>141.83683912877169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206.65763349837829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6.4</v>
      </c>
      <c r="CT45" s="12">
        <f>IF('Données projet'!$A$140&gt;35,CT44+CS45-DB44,IF(A45&lt;'Données projet'!$A$140,$CQ$205^A45,IF(A45='Données projet'!$A$140,'Données projet'!$B$140,CT44+CS45-DB44)))</f>
        <v>144.79999999999995</v>
      </c>
      <c r="CU45" s="17">
        <f>CT45*VLOOKUP('Données projet'!$B$13,Paramètres!$A$1:$I$89,3,0)*VLOOKUP('Données projet'!$B$13,Paramètres!$A$1:$I$89,5,0)</f>
        <v>115.20287999999998</v>
      </c>
      <c r="CV45" s="13">
        <f t="shared" si="41"/>
        <v>30.553507147925856</v>
      </c>
      <c r="CW45" s="20">
        <f t="shared" si="13"/>
        <v>253.85904094930413</v>
      </c>
      <c r="CX45" s="59">
        <f t="shared" si="14"/>
        <v>547.1923742826375</v>
      </c>
      <c r="CY45" s="59">
        <f ca="1">AVERAGE(OFFSET($CX$3,0,0,'Données projet'!$E$13+1,1))-AVERAGE(OFFSET($H$3,0,0,'Données projet'!$E$13+1,1))</f>
        <v>157.25319335691853</v>
      </c>
      <c r="CZ45" s="59">
        <f t="shared" si="42"/>
        <v>159.50903492442171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0.47044118957512376</v>
      </c>
      <c r="DG45" s="21">
        <f>EXP(-LN(2)/25)*DG44+(1-EXP(-LN(2)/25))/(LN(2)/25)*Calculateur!DB45*Calculateur!DD45*VLOOKUP('Données projet'!$B$13,Paramètres!$A$1:$I$89,3,0)*0.475*44/12</f>
        <v>4.9193854968956359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5.3898266864707596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</v>
      </c>
      <c r="DO45" s="12">
        <f>IF('Données projet'!$A$166&gt;35,DO44+DN45-DW44,IF(A45&lt;'Données projet'!$A$166,$DL$205^A45,IF(A45='Données projet'!$A$166,'Données projet'!$B$166,DO44+DN45-DW44)))</f>
        <v>159.00000000000009</v>
      </c>
      <c r="DP45" s="17">
        <f>DO45*VLOOKUP('Données projet'!$B$14,Paramètres!$A$1:$I$89,3,0)*VLOOKUP('Données projet'!$B$14,Paramètres!$A$1:$I$89,5,0)</f>
        <v>138.90240000000011</v>
      </c>
      <c r="DQ45" s="13">
        <f t="shared" si="43"/>
        <v>36.045445680666461</v>
      </c>
      <c r="DR45" s="20">
        <f t="shared" si="16"/>
        <v>304.7008312271609</v>
      </c>
      <c r="DS45" s="59">
        <f t="shared" si="17"/>
        <v>598.03416456049422</v>
      </c>
      <c r="DT45" s="59">
        <f ca="1">AVERAGE(OFFSET($DS$3,0,0,'Données projet'!$E$14+1,1))-AVERAGE(OFFSET($H$3,0,0,'Données projet'!$E$14+1,1))</f>
        <v>229.5312221178919</v>
      </c>
      <c r="DU45" s="59">
        <f t="shared" si="44"/>
        <v>218.1982095871906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4.5001840275186789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4.5001840275186789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5.3369963369963358</v>
      </c>
      <c r="EJ45" s="12">
        <f>IF('Données projet'!$A$192&gt;35,EJ44+EI45-ER44,IF(A45&lt;'Données projet'!$A$192,$EG$205^A45,IF(A45='Données projet'!$A$192,'Données projet'!$B$192,EJ44+EI45-ER44)))</f>
        <v>151.74908424908421</v>
      </c>
      <c r="EK45" s="17">
        <f>EJ45*VLOOKUP('Données projet'!$B$15,Paramètres!$A$1:$I$89,3,0)*VLOOKUP('Données projet'!$B$15,Paramètres!$A$1:$I$89,5,0)</f>
        <v>137.30257142857138</v>
      </c>
      <c r="EL45" s="13">
        <f t="shared" si="45"/>
        <v>35.678364531877897</v>
      </c>
      <c r="EM45" s="20">
        <f t="shared" si="19"/>
        <v>301.27513013111576</v>
      </c>
      <c r="EN45" s="59">
        <f t="shared" si="20"/>
        <v>594.60846346444907</v>
      </c>
      <c r="EO45" s="59">
        <f ca="1">AVERAGE(OFFSET($EN$3,0,0,'Données projet'!$E$15+1,1))-AVERAGE(OFFSET($H$3,0,0,'Données projet'!$E$15+1,1))</f>
        <v>204.39656982394689</v>
      </c>
      <c r="EP45" s="59">
        <f t="shared" si="46"/>
        <v>134.95704640904546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5.8630104463437798</v>
      </c>
      <c r="FE45" s="12">
        <f>IF('Données projet'!$A$218&gt;35,FE44+FD45-FM44,IF(A45&lt;'Données projet'!$A$218,$FB$205^A45,IF(A45='Données projet'!$A$218,'Données projet'!$B$218,FE44+FD45-FM44)))</f>
        <v>164.14458689458698</v>
      </c>
      <c r="FF45" s="17">
        <f>FE45*VLOOKUP('Données projet'!$B$16,Paramètres!$A$1:$I$89,3,0)*VLOOKUP('Données projet'!$B$16,Paramètres!$A$1:$I$89,5,0)</f>
        <v>140.83605555555565</v>
      </c>
      <c r="FG45" s="13">
        <f t="shared" si="47"/>
        <v>36.488467662255132</v>
      </c>
      <c r="FH45" s="20">
        <f t="shared" si="22"/>
        <v>308.84021127102045</v>
      </c>
      <c r="FI45" s="59">
        <f t="shared" si="23"/>
        <v>602.17354460435376</v>
      </c>
      <c r="FJ45" s="59">
        <f ca="1">AVERAGE(OFFSET($FI$3,0,0,'Données projet'!$E$16+1,1))-AVERAGE(OFFSET($H$3,0,0,'Données projet'!$E$16+1,1))</f>
        <v>199.60585215726968</v>
      </c>
      <c r="FK45" s="59">
        <f t="shared" si="48"/>
        <v>137.37366750114404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0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11.443589743589744</v>
      </c>
      <c r="N46" s="13">
        <f>IF('Données projet'!$A$36&gt;35,N45+M46-V45,IF(A46&lt;'Données projet'!$A$36,$K$205^A46,IF(A46='Données projet'!$A$36,'Données projet'!$B$36,N45+M46-V45)))</f>
        <v>296.02051282051286</v>
      </c>
      <c r="O46" s="13">
        <f>N46*VLOOKUP('Données projet'!$B$9,Paramètres!$A$1:$I$89,3,0)*VLOOKUP('Données projet'!$B$9,Paramètres!$A$1:$I$89,5,0)</f>
        <v>138.53760000000003</v>
      </c>
      <c r="P46" s="13">
        <f t="shared" si="33"/>
        <v>35.9617857252005</v>
      </c>
      <c r="Q46" s="20">
        <f t="shared" si="53"/>
        <v>303.91976347139087</v>
      </c>
      <c r="R46" s="59">
        <f t="shared" si="0"/>
        <v>597.25309680472424</v>
      </c>
      <c r="S46" s="59">
        <f ca="1">AVERAGE(OFFSET($R$3,0,0,'Données projet'!$E$9+1,1))-AVERAGE(OFFSET($H$3,0,0,'Données projet'!$E$9+1,1))</f>
        <v>164.93438869099657</v>
      </c>
      <c r="T46" s="59">
        <f t="shared" si="34"/>
        <v>112.28641356594233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273.81843612193632</v>
      </c>
      <c r="AO46" s="59">
        <f t="shared" si="36"/>
        <v>241.86405419073208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21.625641025641034</v>
      </c>
      <c r="BD46" s="12">
        <f>IF('Données projet'!$A$88&gt;35,BD45+BC46-BL45,IF(A46&lt;'Données projet'!$A$88,$BA$205^A46,IF(A46='Données projet'!$A$88,'Données projet'!$B$88,BD45+BC46-BL45)))</f>
        <v>416.95641025641021</v>
      </c>
      <c r="BE46" s="13">
        <f>BD46*VLOOKUP('Données projet'!$B$11,Paramètres!$A$1:$I$89,3,0)*VLOOKUP('Données projet'!$B$11,Paramètres!$A$1:$I$89,5,0)</f>
        <v>233.0786333333333</v>
      </c>
      <c r="BF46" s="13">
        <f t="shared" si="37"/>
        <v>56.947838023653489</v>
      </c>
      <c r="BG46" s="20">
        <f t="shared" si="7"/>
        <v>505.1294376134187</v>
      </c>
      <c r="BH46" s="59">
        <f t="shared" si="8"/>
        <v>798.46277094675202</v>
      </c>
      <c r="BI46" s="59">
        <f ca="1">AVERAGE(OFFSET($BH$3,0,0,'Données projet'!$E$11+1,1))-AVERAGE(OFFSET($H$3,0,0,'Données projet'!$E$11+1,1))</f>
        <v>271.42245454555501</v>
      </c>
      <c r="BJ46" s="59">
        <f t="shared" si="38"/>
        <v>362.63944425429077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60.619203253790985</v>
      </c>
      <c r="BQ46" s="21">
        <f>EXP(-LN(2)/25)*BQ45+(1-EXP(-LN(2)/25))/(LN(2)/25)*Calculateur!BL46*Calculateur!BN46*VLOOKUP('Données projet'!$B$11,Paramètres!$A$1:$I$89,3,0)*0.475*44/12</f>
        <v>21.493231928309974</v>
      </c>
      <c r="BR46" s="21">
        <f>EXP(-LN(2)/2)*BR45+(1-EXP(-LN(2)/2))/(LN(2)/2)*BL46*BO46*VLOOKUP('Données projet'!$B$11,Paramètres!$A$1:$I$89,3,0)*0.475*44/12</f>
        <v>4.9162856184979935</v>
      </c>
      <c r="BS46" s="22">
        <f t="shared" si="9"/>
        <v>87.028720800598961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-5.6843418860808015E-14</v>
      </c>
      <c r="BZ46" s="13">
        <f>BY46*VLOOKUP('Données projet'!$B$12,Paramètres!$A$1:$I$89,3,0)*VLOOKUP('Données projet'!$B$12,Paramètres!$A$1:$I$89,5,0)</f>
        <v>-3.1036506698001178E-14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154.35821558431712</v>
      </c>
      <c r="CE46" s="59">
        <f t="shared" si="40"/>
        <v>263.86720460501306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63.549698128799236</v>
      </c>
      <c r="CL46" s="21">
        <f>EXP(-LN(2)/25)*CL45+(1-EXP(-LN(2)/25))/(LN(2)/25)*Calculateur!CG46*Calculateur!CI46*VLOOKUP('Données projet'!$B$12,Paramètres!$A$1:$I$89,3,0)*0.475*44/12</f>
        <v>137.95830330392022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201.50800143271945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6.4</v>
      </c>
      <c r="CT46" s="12">
        <f>IF('Données projet'!$A$140&gt;35,CT45+CS46-DB45,IF(A46&lt;'Données projet'!$A$140,$CQ$205^A46,IF(A46='Données projet'!$A$140,'Données projet'!$B$140,CT45+CS46-DB45)))</f>
        <v>151.19999999999996</v>
      </c>
      <c r="CU46" s="17">
        <f>CT46*VLOOKUP('Données projet'!$B$13,Paramètres!$A$1:$I$89,3,0)*VLOOKUP('Données projet'!$B$13,Paramètres!$A$1:$I$89,5,0)</f>
        <v>120.29471999999997</v>
      </c>
      <c r="CV46" s="13">
        <f t="shared" si="41"/>
        <v>31.743728077799098</v>
      </c>
      <c r="CW46" s="20">
        <f t="shared" si="13"/>
        <v>264.80029706883334</v>
      </c>
      <c r="CX46" s="59">
        <f t="shared" si="14"/>
        <v>558.13363040216666</v>
      </c>
      <c r="CY46" s="59">
        <f ca="1">AVERAGE(OFFSET($CX$3,0,0,'Données projet'!$E$13+1,1))-AVERAGE(OFFSET($H$3,0,0,'Données projet'!$E$13+1,1))</f>
        <v>157.25319335691853</v>
      </c>
      <c r="CZ46" s="59">
        <f t="shared" si="42"/>
        <v>159.50903492442171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0.46121612478834817</v>
      </c>
      <c r="DG46" s="21">
        <f>EXP(-LN(2)/25)*DG45+(1-EXP(-LN(2)/25))/(LN(2)/25)*Calculateur!DB46*Calculateur!DD46*VLOOKUP('Données projet'!$B$13,Paramètres!$A$1:$I$89,3,0)*0.475*44/12</f>
        <v>4.784864641783785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5.246080766572133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</v>
      </c>
      <c r="DO46" s="12">
        <f>IF('Données projet'!$A$166&gt;35,DO45+DN46-DW45,IF(A46&lt;'Données projet'!$A$166,$DL$205^A46,IF(A46='Données projet'!$A$166,'Données projet'!$B$166,DO45+DN46-DW45)))</f>
        <v>166.00000000000009</v>
      </c>
      <c r="DP46" s="17">
        <f>DO46*VLOOKUP('Données projet'!$B$14,Paramètres!$A$1:$I$89,3,0)*VLOOKUP('Données projet'!$B$14,Paramètres!$A$1:$I$89,5,0)</f>
        <v>145.01760000000007</v>
      </c>
      <c r="DQ46" s="13">
        <f t="shared" si="43"/>
        <v>37.444100932065268</v>
      </c>
      <c r="DR46" s="20">
        <f t="shared" si="16"/>
        <v>317.78746245668049</v>
      </c>
      <c r="DS46" s="59">
        <f t="shared" si="17"/>
        <v>611.12079579001374</v>
      </c>
      <c r="DT46" s="59">
        <f ca="1">AVERAGE(OFFSET($DS$3,0,0,'Données projet'!$E$14+1,1))-AVERAGE(OFFSET($H$3,0,0,'Données projet'!$E$14+1,1))</f>
        <v>229.5312221178919</v>
      </c>
      <c r="DU46" s="59">
        <f t="shared" si="44"/>
        <v>218.1982095871906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4.3771262586317876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4.3771262586317876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5.3369963369963358</v>
      </c>
      <c r="EJ46" s="12">
        <f>IF('Données projet'!$A$192&gt;35,EJ45+EI46-ER45,IF(A46&lt;'Données projet'!$A$192,$EG$205^A46,IF(A46='Données projet'!$A$192,'Données projet'!$B$192,EJ45+EI46-ER45)))</f>
        <v>157.08608058608053</v>
      </c>
      <c r="EK46" s="17">
        <f>EJ46*VLOOKUP('Données projet'!$B$15,Paramètres!$A$1:$I$89,3,0)*VLOOKUP('Données projet'!$B$15,Paramètres!$A$1:$I$89,5,0)</f>
        <v>142.13148571428567</v>
      </c>
      <c r="EL46" s="13">
        <f t="shared" si="45"/>
        <v>36.784868701185438</v>
      </c>
      <c r="EM46" s="20">
        <f t="shared" si="19"/>
        <v>311.61265060694552</v>
      </c>
      <c r="EN46" s="59">
        <f t="shared" si="20"/>
        <v>604.94598394027889</v>
      </c>
      <c r="EO46" s="59">
        <f ca="1">AVERAGE(OFFSET($EN$3,0,0,'Données projet'!$E$15+1,1))-AVERAGE(OFFSET($H$3,0,0,'Données projet'!$E$15+1,1))</f>
        <v>204.39656982394689</v>
      </c>
      <c r="EP46" s="59">
        <f t="shared" si="46"/>
        <v>134.95704640904546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5.8630104463437798</v>
      </c>
      <c r="FE46" s="12">
        <f>IF('Données projet'!$A$218&gt;35,FE45+FD46-FM45,IF(A46&lt;'Données projet'!$A$218,$FB$205^A46,IF(A46='Données projet'!$A$218,'Données projet'!$B$218,FE45+FD46-FM45)))</f>
        <v>170.00759734093077</v>
      </c>
      <c r="FF46" s="17">
        <f>FE46*VLOOKUP('Données projet'!$B$16,Paramètres!$A$1:$I$89,3,0)*VLOOKUP('Données projet'!$B$16,Paramètres!$A$1:$I$89,5,0)</f>
        <v>145.86651851851863</v>
      </c>
      <c r="FG46" s="13">
        <f t="shared" si="47"/>
        <v>37.637714925157788</v>
      </c>
      <c r="FH46" s="20">
        <f t="shared" si="22"/>
        <v>319.60320658106974</v>
      </c>
      <c r="FI46" s="59">
        <f t="shared" si="23"/>
        <v>612.93653991440306</v>
      </c>
      <c r="FJ46" s="59">
        <f ca="1">AVERAGE(OFFSET($FI$3,0,0,'Données projet'!$E$16+1,1))-AVERAGE(OFFSET($H$3,0,0,'Données projet'!$E$16+1,1))</f>
        <v>199.60585215726968</v>
      </c>
      <c r="FK46" s="59">
        <f t="shared" si="48"/>
        <v>137.37366750114404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0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11.443589743589744</v>
      </c>
      <c r="N47" s="13">
        <f>IF('Données projet'!$A$36&gt;35,N46+M47-V46,IF(A47&lt;'Données projet'!$A$36,$K$205^A47,IF(A47='Données projet'!$A$36,'Données projet'!$B$36,N46+M47-V46)))</f>
        <v>307.46410256410263</v>
      </c>
      <c r="O47" s="13">
        <f>N47*VLOOKUP('Données projet'!$B$9,Paramètres!$A$1:$I$89,3,0)*VLOOKUP('Données projet'!$B$9,Paramètres!$A$1:$I$89,5,0)</f>
        <v>143.89320000000004</v>
      </c>
      <c r="P47" s="13">
        <f t="shared" si="33"/>
        <v>37.187454199603145</v>
      </c>
      <c r="Q47" s="20">
        <f t="shared" si="53"/>
        <v>315.38213939764222</v>
      </c>
      <c r="R47" s="59">
        <f t="shared" si="0"/>
        <v>608.71547273097553</v>
      </c>
      <c r="S47" s="59">
        <f ca="1">AVERAGE(OFFSET($R$3,0,0,'Données projet'!$E$9+1,1))-AVERAGE(OFFSET($H$3,0,0,'Données projet'!$E$9+1,1))</f>
        <v>164.93438869099657</v>
      </c>
      <c r="T47" s="59">
        <f t="shared" si="34"/>
        <v>112.28641356594233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273.81843612193632</v>
      </c>
      <c r="AO47" s="59">
        <f t="shared" si="36"/>
        <v>241.86405419073208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21.625641025641034</v>
      </c>
      <c r="BD47" s="12">
        <f>IF('Données projet'!$A$88&gt;35,BD46+BC47-BL46,IF(A47&lt;'Données projet'!$A$88,$BA$205^A47,IF(A47='Données projet'!$A$88,'Données projet'!$B$88,BD46+BC47-BL46)))</f>
        <v>438.58205128205122</v>
      </c>
      <c r="BE47" s="13">
        <f>BD47*VLOOKUP('Données projet'!$B$11,Paramètres!$A$1:$I$89,3,0)*VLOOKUP('Données projet'!$B$11,Paramètres!$A$1:$I$89,5,0)</f>
        <v>245.16736666666665</v>
      </c>
      <c r="BF47" s="13">
        <f t="shared" si="37"/>
        <v>59.549932468183236</v>
      </c>
      <c r="BG47" s="20">
        <f t="shared" si="7"/>
        <v>530.71596265986352</v>
      </c>
      <c r="BH47" s="59">
        <f t="shared" si="8"/>
        <v>824.04929599319689</v>
      </c>
      <c r="BI47" s="59">
        <f ca="1">AVERAGE(OFFSET($BH$3,0,0,'Données projet'!$E$11+1,1))-AVERAGE(OFFSET($H$3,0,0,'Données projet'!$E$11+1,1))</f>
        <v>271.42245454555501</v>
      </c>
      <c r="BJ47" s="59">
        <f t="shared" si="38"/>
        <v>362.63944425429077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59.430497652047244</v>
      </c>
      <c r="BQ47" s="21">
        <f>EXP(-LN(2)/25)*BQ46+(1-EXP(-LN(2)/25))/(LN(2)/25)*Calculateur!BL47*Calculateur!BN47*VLOOKUP('Données projet'!$B$11,Paramètres!$A$1:$I$89,3,0)*0.475*44/12</f>
        <v>20.905498370950394</v>
      </c>
      <c r="BR47" s="21">
        <f>EXP(-LN(2)/2)*BR46+(1-EXP(-LN(2)/2))/(LN(2)/2)*BL47*BO47*VLOOKUP('Données projet'!$B$11,Paramètres!$A$1:$I$89,3,0)*0.475*44/12</f>
        <v>3.4763388990898312</v>
      </c>
      <c r="BS47" s="22">
        <f t="shared" si="9"/>
        <v>83.812334922087459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-5.6843418860808015E-14</v>
      </c>
      <c r="BZ47" s="13">
        <f>BY47*VLOOKUP('Données projet'!$B$12,Paramètres!$A$1:$I$89,3,0)*VLOOKUP('Données projet'!$B$12,Paramètres!$A$1:$I$89,5,0)</f>
        <v>-3.1036506698001178E-14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154.35821558431712</v>
      </c>
      <c r="CE47" s="59">
        <f t="shared" si="40"/>
        <v>263.86720460501306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62.303527309981959</v>
      </c>
      <c r="CL47" s="21">
        <f>EXP(-LN(2)/25)*CL46+(1-EXP(-LN(2)/25))/(LN(2)/25)*Calculateur!CG47*Calculateur!CI47*VLOOKUP('Données projet'!$B$12,Paramètres!$A$1:$I$89,3,0)*0.475*44/12</f>
        <v>134.18582624516264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196.48935355514459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6.4</v>
      </c>
      <c r="CT47" s="12">
        <f>IF('Données projet'!$A$140&gt;35,CT46+CS47-DB46,IF(A47&lt;'Données projet'!$A$140,$CQ$205^A47,IF(A47='Données projet'!$A$140,'Données projet'!$B$140,CT46+CS47-DB46)))</f>
        <v>157.59999999999997</v>
      </c>
      <c r="CU47" s="17">
        <f>CT47*VLOOKUP('Données projet'!$B$13,Paramètres!$A$1:$I$89,3,0)*VLOOKUP('Données projet'!$B$13,Paramètres!$A$1:$I$89,5,0)</f>
        <v>125.38655999999999</v>
      </c>
      <c r="CV47" s="13">
        <f t="shared" si="41"/>
        <v>32.928097385453498</v>
      </c>
      <c r="CW47" s="20">
        <f t="shared" si="13"/>
        <v>275.73136161299811</v>
      </c>
      <c r="CX47" s="59">
        <f t="shared" si="14"/>
        <v>569.06469494633143</v>
      </c>
      <c r="CY47" s="59">
        <f ca="1">AVERAGE(OFFSET($CX$3,0,0,'Données projet'!$E$13+1,1))-AVERAGE(OFFSET($H$3,0,0,'Données projet'!$E$13+1,1))</f>
        <v>157.25319335691853</v>
      </c>
      <c r="CZ47" s="59">
        <f t="shared" si="42"/>
        <v>159.50903492442171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0.45217195789530734</v>
      </c>
      <c r="DG47" s="21">
        <f>EXP(-LN(2)/25)*DG46+(1-EXP(-LN(2)/25))/(LN(2)/25)*Calculateur!DB47*Calculateur!DD47*VLOOKUP('Données projet'!$B$13,Paramètres!$A$1:$I$89,3,0)*0.475*44/12</f>
        <v>4.654022266529112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5.1061942244244189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</v>
      </c>
      <c r="DO47" s="12">
        <f>IF('Données projet'!$A$166&gt;35,DO46+DN47-DW46,IF(A47&lt;'Données projet'!$A$166,$DL$205^A47,IF(A47='Données projet'!$A$166,'Données projet'!$B$166,DO46+DN47-DW46)))</f>
        <v>173.00000000000009</v>
      </c>
      <c r="DP47" s="17">
        <f>DO47*VLOOKUP('Données projet'!$B$14,Paramètres!$A$1:$I$89,3,0)*VLOOKUP('Données projet'!$B$14,Paramètres!$A$1:$I$89,5,0)</f>
        <v>151.13280000000009</v>
      </c>
      <c r="DQ47" s="13">
        <f t="shared" si="43"/>
        <v>38.835905653934461</v>
      </c>
      <c r="DR47" s="20">
        <f t="shared" si="16"/>
        <v>330.8621623472693</v>
      </c>
      <c r="DS47" s="59">
        <f t="shared" si="17"/>
        <v>624.19549568060256</v>
      </c>
      <c r="DT47" s="59">
        <f ca="1">AVERAGE(OFFSET($DS$3,0,0,'Données projet'!$E$14+1,1))-AVERAGE(OFFSET($H$3,0,0,'Données projet'!$E$14+1,1))</f>
        <v>229.5312221178919</v>
      </c>
      <c r="DU47" s="59">
        <f t="shared" si="44"/>
        <v>218.1982095871906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4.2574335109064352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4.2574335109064352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162.42307692307691</v>
      </c>
      <c r="EH47" s="12">
        <f>VLOOKUP(A47,'Données projet'!$A$191:$I$211,9,0)</f>
        <v>5.3369963369963358</v>
      </c>
      <c r="EI47" s="12">
        <f t="array" ref="EI47">INDEX(EH:EH,MIN(IF(ISNUMBER(EH47:EH243),ROW(EH47:EH243),"")))</f>
        <v>5.3369963369963358</v>
      </c>
      <c r="EJ47" s="12">
        <f>IF('Données projet'!$A$192&gt;35,EJ46+EI47-ER46,IF(A47&lt;'Données projet'!$A$192,$EG$205^A47,IF(A47='Données projet'!$A$192,'Données projet'!$B$192,EJ46+EI47-ER46)))</f>
        <v>162.42307692307685</v>
      </c>
      <c r="EK47" s="17">
        <f>EJ47*VLOOKUP('Données projet'!$B$15,Paramètres!$A$1:$I$89,3,0)*VLOOKUP('Données projet'!$B$15,Paramètres!$A$1:$I$89,5,0)</f>
        <v>146.96039999999991</v>
      </c>
      <c r="EL47" s="13">
        <f t="shared" si="45"/>
        <v>37.887004745652405</v>
      </c>
      <c r="EM47" s="20">
        <f t="shared" si="19"/>
        <v>321.94256326534446</v>
      </c>
      <c r="EN47" s="59">
        <f t="shared" si="20"/>
        <v>615.27589659867772</v>
      </c>
      <c r="EO47" s="59">
        <f ca="1">AVERAGE(OFFSET($EN$3,0,0,'Données projet'!$E$15+1,1))-AVERAGE(OFFSET($H$3,0,0,'Données projet'!$E$15+1,1))</f>
        <v>204.39656982394689</v>
      </c>
      <c r="EP47" s="59">
        <f t="shared" si="46"/>
        <v>134.95704640904546</v>
      </c>
      <c r="EQ47" s="15">
        <f>IF(ISNA(VLOOKUP(A47,'Données projet'!$A$191:$I$211,3,0)),0,VLOOKUP(A47,'Données projet'!$A$191:$I$211,3,0))</f>
        <v>1</v>
      </c>
      <c r="ER47" s="15">
        <f>IF(ISNA(VLOOKUP(A47,'Données projet'!$A$191:$I$211,4,0)),0,VLOOKUP(A47,'Données projet'!$A$191:$I$211,4,0))</f>
        <v>64.416666666666657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5.8630104463437798</v>
      </c>
      <c r="FE47" s="12">
        <f>IF('Données projet'!$A$218&gt;35,FE46+FD47-FM46,IF(A47&lt;'Données projet'!$A$218,$FB$205^A47,IF(A47='Données projet'!$A$218,'Données projet'!$B$218,FE46+FD47-FM46)))</f>
        <v>175.87060778727457</v>
      </c>
      <c r="FF47" s="17">
        <f>FE47*VLOOKUP('Données projet'!$B$16,Paramètres!$A$1:$I$89,3,0)*VLOOKUP('Données projet'!$B$16,Paramètres!$A$1:$I$89,5,0)</f>
        <v>150.89698148148159</v>
      </c>
      <c r="FG47" s="13">
        <f t="shared" si="47"/>
        <v>38.782357095608631</v>
      </c>
      <c r="FH47" s="20">
        <f t="shared" si="22"/>
        <v>330.35818135509879</v>
      </c>
      <c r="FI47" s="59">
        <f t="shared" si="23"/>
        <v>623.69151468843211</v>
      </c>
      <c r="FJ47" s="59">
        <f ca="1">AVERAGE(OFFSET($FI$3,0,0,'Données projet'!$E$16+1,1))-AVERAGE(OFFSET($H$3,0,0,'Données projet'!$E$16+1,1))</f>
        <v>199.60585215726968</v>
      </c>
      <c r="FK47" s="59">
        <f t="shared" si="48"/>
        <v>137.37366750114404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0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11.443589743589744</v>
      </c>
      <c r="N48" s="13">
        <f>IF('Données projet'!$A$36&gt;35,N47+M48-V47,IF(A48&lt;'Données projet'!$A$36,$K$205^A48,IF(A48='Données projet'!$A$36,'Données projet'!$B$36,N47+M48-V47)))</f>
        <v>318.9076923076924</v>
      </c>
      <c r="O48" s="13">
        <f>N48*VLOOKUP('Données projet'!$B$9,Paramètres!$A$1:$I$89,3,0)*VLOOKUP('Données projet'!$B$9,Paramètres!$A$1:$I$89,5,0)</f>
        <v>149.24880000000005</v>
      </c>
      <c r="P48" s="13">
        <f t="shared" si="33"/>
        <v>38.40782287536252</v>
      </c>
      <c r="Q48" s="20">
        <f t="shared" si="53"/>
        <v>326.83528484125645</v>
      </c>
      <c r="R48" s="59">
        <f t="shared" si="0"/>
        <v>620.16861817458971</v>
      </c>
      <c r="S48" s="59">
        <f ca="1">AVERAGE(OFFSET($R$3,0,0,'Données projet'!$E$9+1,1))-AVERAGE(OFFSET($H$3,0,0,'Données projet'!$E$9+1,1))</f>
        <v>164.93438869099657</v>
      </c>
      <c r="T48" s="59">
        <f t="shared" si="34"/>
        <v>112.28641356594233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273.81843612193632</v>
      </c>
      <c r="AO48" s="59">
        <f t="shared" si="36"/>
        <v>241.86405419073208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21.625641025641034</v>
      </c>
      <c r="BD48" s="12">
        <f>IF('Données projet'!$A$88&gt;35,BD47+BC48-BL47,IF(A48&lt;'Données projet'!$A$88,$BA$205^A48,IF(A48='Données projet'!$A$88,'Données projet'!$B$88,BD47+BC48-BL47)))</f>
        <v>460.20769230769224</v>
      </c>
      <c r="BE48" s="13">
        <f>BD48*VLOOKUP('Données projet'!$B$11,Paramètres!$A$1:$I$89,3,0)*VLOOKUP('Données projet'!$B$11,Paramètres!$A$1:$I$89,5,0)</f>
        <v>257.25609999999995</v>
      </c>
      <c r="BF48" s="13">
        <f t="shared" si="37"/>
        <v>62.137128695600659</v>
      </c>
      <c r="BG48" s="20">
        <f t="shared" si="7"/>
        <v>556.27653997817106</v>
      </c>
      <c r="BH48" s="59">
        <f t="shared" si="8"/>
        <v>849.60987331150432</v>
      </c>
      <c r="BI48" s="59">
        <f ca="1">AVERAGE(OFFSET($BH$3,0,0,'Données projet'!$E$11+1,1))-AVERAGE(OFFSET($H$3,0,0,'Données projet'!$E$11+1,1))</f>
        <v>271.42245454555501</v>
      </c>
      <c r="BJ48" s="59">
        <f t="shared" si="38"/>
        <v>362.63944425429077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58.265101842114873</v>
      </c>
      <c r="BQ48" s="21">
        <f>EXP(-LN(2)/25)*BQ47+(1-EXP(-LN(2)/25))/(LN(2)/25)*Calculateur!BL48*Calculateur!BN48*VLOOKUP('Données projet'!$B$11,Paramètres!$A$1:$I$89,3,0)*0.475*44/12</f>
        <v>20.333836418624376</v>
      </c>
      <c r="BR48" s="21">
        <f>EXP(-LN(2)/2)*BR47+(1-EXP(-LN(2)/2))/(LN(2)/2)*BL48*BO48*VLOOKUP('Données projet'!$B$11,Paramètres!$A$1:$I$89,3,0)*0.475*44/12</f>
        <v>2.4581428092489968</v>
      </c>
      <c r="BS48" s="22">
        <f t="shared" si="9"/>
        <v>81.057081069988243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-5.6843418860808015E-14</v>
      </c>
      <c r="BZ48" s="13">
        <f>BY48*VLOOKUP('Données projet'!$B$12,Paramètres!$A$1:$I$89,3,0)*VLOOKUP('Données projet'!$B$12,Paramètres!$A$1:$I$89,5,0)</f>
        <v>-3.1036506698001178E-14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154.35821558431712</v>
      </c>
      <c r="CE48" s="59">
        <f t="shared" si="40"/>
        <v>263.86720460501306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61.081793140832545</v>
      </c>
      <c r="CL48" s="21">
        <f>EXP(-LN(2)/25)*CL47+(1-EXP(-LN(2)/25))/(LN(2)/25)*Calculateur!CG48*Calculateur!CI48*VLOOKUP('Données projet'!$B$12,Paramètres!$A$1:$I$89,3,0)*0.475*44/12</f>
        <v>130.51650776996274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191.59830091079527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164</v>
      </c>
      <c r="CR48" s="12">
        <f>VLOOKUP(A48,'Données projet'!$A$139:$I$159,9,0)</f>
        <v>6.4</v>
      </c>
      <c r="CS48" s="12">
        <f t="array" ref="CS48">INDEX(CR:CR,MIN(IF(ISNUMBER(CR48:CR244),ROW(CR48:CR244),"")))</f>
        <v>6.4</v>
      </c>
      <c r="CT48" s="12">
        <f>IF('Données projet'!$A$140&gt;35,CT47+CS48-DB47,IF(A48&lt;'Données projet'!$A$140,$CQ$205^A48,IF(A48='Données projet'!$A$140,'Données projet'!$B$140,CT47+CS48-DB47)))</f>
        <v>163.99999999999997</v>
      </c>
      <c r="CU48" s="17">
        <f>CT48*VLOOKUP('Données projet'!$B$13,Paramètres!$A$1:$I$89,3,0)*VLOOKUP('Données projet'!$B$13,Paramètres!$A$1:$I$89,5,0)</f>
        <v>130.47839999999999</v>
      </c>
      <c r="CV48" s="13">
        <f t="shared" si="41"/>
        <v>34.106879882626828</v>
      </c>
      <c r="CW48" s="20">
        <f t="shared" si="13"/>
        <v>286.65269579557503</v>
      </c>
      <c r="CX48" s="59">
        <f t="shared" si="14"/>
        <v>579.98602912890829</v>
      </c>
      <c r="CY48" s="59">
        <f ca="1">AVERAGE(OFFSET($CX$3,0,0,'Données projet'!$E$13+1,1))-AVERAGE(OFFSET($H$3,0,0,'Données projet'!$E$13+1,1))</f>
        <v>157.25319335691853</v>
      </c>
      <c r="CZ48" s="59">
        <f t="shared" si="42"/>
        <v>159.50903492442171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18</v>
      </c>
      <c r="DC48" s="16">
        <f>IF(ISNA(VLOOKUP(A48,'Données projet'!$A$139:$I$159,5,0)),0%,VLOOKUP(A48,'Données projet'!$A$139:$I$159,5,0)*VLOOKUP('Données projet'!$B$13,Paramètres!$A$1:$I$89,7,0))</f>
        <v>9.0100000000000013E-2</v>
      </c>
      <c r="DD48" s="16">
        <f>IF(ISNA(VLOOKUP(A48,'Données projet'!$A$139:$I$159,6,0)),0%,VLOOKUP(A48,'Données projet'!$A$139:$I$159,6,0)*VLOOKUP('Données projet'!$B$13,Paramètres!$A$1:$I$89,7,0))</f>
        <v>0.20670000000000002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1.869698082629156</v>
      </c>
      <c r="DG48" s="21">
        <f>EXP(-LN(2)/25)*DG47+(1-EXP(-LN(2)/25))/(LN(2)/25)*Calculateur!DB48*Calculateur!DD48*VLOOKUP('Données projet'!$B$13,Paramètres!$A$1:$I$89,3,0)*0.475*44/12</f>
        <v>7.7861866565777103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9.6558847392068667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180</v>
      </c>
      <c r="DM48" s="12">
        <f>VLOOKUP(A48,'Données projet'!$A$165:$I$185,9,0)</f>
        <v>7</v>
      </c>
      <c r="DN48" s="12">
        <f t="array" ref="DN48">INDEX(DM:DM,MIN(IF(ISNUMBER(DM48:DM244),ROW(DM48:DM244),"")))</f>
        <v>7</v>
      </c>
      <c r="DO48" s="12">
        <f>IF('Données projet'!$A$166&gt;35,DO47+DN48-DW47,IF(A48&lt;'Données projet'!$A$166,$DL$205^A48,IF(A48='Données projet'!$A$166,'Données projet'!$B$166,DO47+DN48-DW47)))</f>
        <v>180.00000000000009</v>
      </c>
      <c r="DP48" s="17">
        <f>DO48*VLOOKUP('Données projet'!$B$14,Paramètres!$A$1:$I$89,3,0)*VLOOKUP('Données projet'!$B$14,Paramètres!$A$1:$I$89,5,0)</f>
        <v>157.24800000000008</v>
      </c>
      <c r="DQ48" s="13">
        <f t="shared" si="43"/>
        <v>40.221168744348645</v>
      </c>
      <c r="DR48" s="20">
        <f t="shared" si="16"/>
        <v>343.92546889640738</v>
      </c>
      <c r="DS48" s="59">
        <f t="shared" si="17"/>
        <v>637.2588022297407</v>
      </c>
      <c r="DT48" s="59">
        <f ca="1">AVERAGE(OFFSET($DS$3,0,0,'Données projet'!$E$14+1,1))-AVERAGE(OFFSET($H$3,0,0,'Données projet'!$E$14+1,1))</f>
        <v>229.5312221178919</v>
      </c>
      <c r="DU48" s="59">
        <f t="shared" si="44"/>
        <v>218.1982095871906</v>
      </c>
      <c r="DV48" s="15">
        <f>IF(ISNA(VLOOKUP(A48,'Données projet'!$A$165:$I$185,3,0)),0,VLOOKUP(A48,'Données projet'!$A$165:$I$185,3,0))</f>
        <v>6</v>
      </c>
      <c r="DW48" s="15" t="str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0.215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8.6909731356852671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8.6909731356852671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6.826007326007324</v>
      </c>
      <c r="EJ48" s="12">
        <f>IF('Données projet'!$A$192&gt;35,EJ47+EI48-ER47,IF(A48&lt;'Données projet'!$A$192,$EG$205^A48,IF(A48='Données projet'!$A$192,'Données projet'!$B$192,EJ47+EI48-ER47)))</f>
        <v>104.83241758241752</v>
      </c>
      <c r="EK48" s="17">
        <f>EJ48*VLOOKUP('Données projet'!$B$15,Paramètres!$A$1:$I$89,3,0)*VLOOKUP('Données projet'!$B$15,Paramètres!$A$1:$I$89,5,0)</f>
        <v>94.852371428571374</v>
      </c>
      <c r="EL48" s="13">
        <f t="shared" si="45"/>
        <v>25.731899613510901</v>
      </c>
      <c r="EM48" s="20">
        <f t="shared" si="19"/>
        <v>210.01760539829328</v>
      </c>
      <c r="EN48" s="59">
        <f t="shared" si="20"/>
        <v>503.35093873162657</v>
      </c>
      <c r="EO48" s="59">
        <f ca="1">AVERAGE(OFFSET($EN$3,0,0,'Données projet'!$E$15+1,1))-AVERAGE(OFFSET($H$3,0,0,'Données projet'!$E$15+1,1))</f>
        <v>204.39656982394689</v>
      </c>
      <c r="EP48" s="59">
        <f t="shared" si="46"/>
        <v>134.95704640904546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5.8630104463437798</v>
      </c>
      <c r="FE48" s="12">
        <f>IF('Données projet'!$A$218&gt;35,FE47+FD48-FM47,IF(A48&lt;'Données projet'!$A$218,$FB$205^A48,IF(A48='Données projet'!$A$218,'Données projet'!$B$218,FE47+FD48-FM47)))</f>
        <v>181.73361823361836</v>
      </c>
      <c r="FF48" s="17">
        <f>FE48*VLOOKUP('Données projet'!$B$16,Paramètres!$A$1:$I$89,3,0)*VLOOKUP('Données projet'!$B$16,Paramètres!$A$1:$I$89,5,0)</f>
        <v>155.92744444444457</v>
      </c>
      <c r="FG48" s="13">
        <f t="shared" si="47"/>
        <v>39.922565295925914</v>
      </c>
      <c r="FH48" s="20">
        <f t="shared" si="22"/>
        <v>341.10543363114522</v>
      </c>
      <c r="FI48" s="59">
        <f t="shared" si="23"/>
        <v>634.43876696447853</v>
      </c>
      <c r="FJ48" s="59">
        <f ca="1">AVERAGE(OFFSET($FI$3,0,0,'Données projet'!$E$16+1,1))-AVERAGE(OFFSET($H$3,0,0,'Données projet'!$E$16+1,1))</f>
        <v>199.60585215726968</v>
      </c>
      <c r="FK48" s="59">
        <f t="shared" si="48"/>
        <v>137.37366750114404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0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11.443589743589744</v>
      </c>
      <c r="N49" s="13">
        <f>IF('Données projet'!$A$36&gt;35,N48+M49-V48,IF(A49&lt;'Données projet'!$A$36,$K$205^A49,IF(A49='Données projet'!$A$36,'Données projet'!$B$36,N48+M49-V48)))</f>
        <v>330.35128205128217</v>
      </c>
      <c r="O49" s="13">
        <f>N49*VLOOKUP('Données projet'!$B$9,Paramètres!$A$1:$I$89,3,0)*VLOOKUP('Données projet'!$B$9,Paramètres!$A$1:$I$89,5,0)</f>
        <v>154.60440000000006</v>
      </c>
      <c r="P49" s="13">
        <f t="shared" si="33"/>
        <v>39.623103715153171</v>
      </c>
      <c r="Q49" s="20">
        <f t="shared" si="53"/>
        <v>338.2795689705585</v>
      </c>
      <c r="R49" s="59">
        <f t="shared" si="0"/>
        <v>631.61290230389181</v>
      </c>
      <c r="S49" s="59">
        <f ca="1">AVERAGE(OFFSET($R$3,0,0,'Données projet'!$E$9+1,1))-AVERAGE(OFFSET($H$3,0,0,'Données projet'!$E$9+1,1))</f>
        <v>164.93438869099657</v>
      </c>
      <c r="T49" s="59">
        <f t="shared" si="34"/>
        <v>112.28641356594233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273.81843612193632</v>
      </c>
      <c r="AO49" s="59">
        <f t="shared" si="36"/>
        <v>241.86405419073208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21.625641025641034</v>
      </c>
      <c r="BD49" s="12">
        <f>IF('Données projet'!$A$88&gt;35,BD48+BC49-BL48,IF(A49&lt;'Données projet'!$A$88,$BA$205^A49,IF(A49='Données projet'!$A$88,'Données projet'!$B$88,BD48+BC49-BL48)))</f>
        <v>481.83333333333326</v>
      </c>
      <c r="BE49" s="13">
        <f>BD49*VLOOKUP('Données projet'!$B$11,Paramètres!$A$1:$I$89,3,0)*VLOOKUP('Données projet'!$B$11,Paramètres!$A$1:$I$89,5,0)</f>
        <v>269.34483333333333</v>
      </c>
      <c r="BF49" s="13">
        <f t="shared" si="37"/>
        <v>64.710206731812576</v>
      </c>
      <c r="BG49" s="20">
        <f t="shared" si="7"/>
        <v>581.81252811346246</v>
      </c>
      <c r="BH49" s="59">
        <f t="shared" si="8"/>
        <v>875.14586144679583</v>
      </c>
      <c r="BI49" s="59">
        <f ca="1">AVERAGE(OFFSET($BH$3,0,0,'Données projet'!$E$11+1,1))-AVERAGE(OFFSET($H$3,0,0,'Données projet'!$E$11+1,1))</f>
        <v>271.42245454555501</v>
      </c>
      <c r="BJ49" s="59">
        <f t="shared" si="38"/>
        <v>362.63944425429077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57.122558733194019</v>
      </c>
      <c r="BQ49" s="21">
        <f>EXP(-LN(2)/25)*BQ48+(1-EXP(-LN(2)/25))/(LN(2)/25)*Calculateur!BL49*Calculateur!BN49*VLOOKUP('Données projet'!$B$11,Paramètres!$A$1:$I$89,3,0)*0.475*44/12</f>
        <v>19.77780659244711</v>
      </c>
      <c r="BR49" s="21">
        <f>EXP(-LN(2)/2)*BR48+(1-EXP(-LN(2)/2))/(LN(2)/2)*BL49*BO49*VLOOKUP('Données projet'!$B$11,Paramètres!$A$1:$I$89,3,0)*0.475*44/12</f>
        <v>1.7381694495449156</v>
      </c>
      <c r="BS49" s="22">
        <f t="shared" si="9"/>
        <v>78.638534775186045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-5.6843418860808015E-14</v>
      </c>
      <c r="BZ49" s="13">
        <f>BY49*VLOOKUP('Données projet'!$B$12,Paramètres!$A$1:$I$89,3,0)*VLOOKUP('Données projet'!$B$12,Paramètres!$A$1:$I$89,5,0)</f>
        <v>-3.1036506698001178E-14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154.35821558431712</v>
      </c>
      <c r="CE49" s="59">
        <f t="shared" si="40"/>
        <v>263.86720460501306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59.884016433555892</v>
      </c>
      <c r="CL49" s="21">
        <f>EXP(-LN(2)/25)*CL48+(1-EXP(-LN(2)/25))/(LN(2)/25)*Calculateur!CG49*Calculateur!CI49*VLOOKUP('Données projet'!$B$12,Paramètres!$A$1:$I$89,3,0)*0.475*44/12</f>
        <v>126.94752700142827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186.83154343498416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5.6</v>
      </c>
      <c r="CT49" s="12">
        <f>IF('Données projet'!$A$140&gt;35,CT48+CS49-DB48,IF(A49&lt;'Données projet'!$A$140,$CQ$205^A49,IF(A49='Données projet'!$A$140,'Données projet'!$B$140,CT48+CS49-DB48)))</f>
        <v>151.59999999999997</v>
      </c>
      <c r="CU49" s="17">
        <f>CT49*VLOOKUP('Données projet'!$B$13,Paramètres!$A$1:$I$89,3,0)*VLOOKUP('Données projet'!$B$13,Paramètres!$A$1:$I$89,5,0)</f>
        <v>120.61295999999999</v>
      </c>
      <c r="CV49" s="13">
        <f t="shared" si="41"/>
        <v>31.817919727949569</v>
      </c>
      <c r="CW49" s="20">
        <f t="shared" si="13"/>
        <v>265.48378219284547</v>
      </c>
      <c r="CX49" s="59">
        <f t="shared" si="14"/>
        <v>558.81711552617878</v>
      </c>
      <c r="CY49" s="59">
        <f ca="1">AVERAGE(OFFSET($CX$3,0,0,'Données projet'!$E$13+1,1))-AVERAGE(OFFSET($H$3,0,0,'Données projet'!$E$13+1,1))</f>
        <v>157.25319335691853</v>
      </c>
      <c r="CZ49" s="59">
        <f t="shared" si="42"/>
        <v>159.50903492442171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1.8330344436320232</v>
      </c>
      <c r="DG49" s="21">
        <f>EXP(-LN(2)/25)*DG48+(1-EXP(-LN(2)/25))/(LN(2)/25)*Calculateur!DB49*Calculateur!DD49*VLOOKUP('Données projet'!$B$13,Paramètres!$A$1:$I$89,3,0)*0.475*44/12</f>
        <v>7.5732729729958317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9.406307416627854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6.6</v>
      </c>
      <c r="DO49" s="12">
        <f>IF('Données projet'!$A$166&gt;35,DO48+DN49-DW48,IF(A49&lt;'Données projet'!$A$166,$DL$205^A49,IF(A49='Données projet'!$A$166,'Données projet'!$B$166,DO48+DN49-DW48)))</f>
        <v>164.60000000000008</v>
      </c>
      <c r="DP49" s="17">
        <f>DO49*VLOOKUP('Données projet'!$B$14,Paramètres!$A$1:$I$89,3,0)*VLOOKUP('Données projet'!$B$14,Paramètres!$A$1:$I$89,5,0)</f>
        <v>143.7945600000001</v>
      </c>
      <c r="DQ49" s="13">
        <f t="shared" si="43"/>
        <v>37.164928293001893</v>
      </c>
      <c r="DR49" s="20">
        <f t="shared" si="16"/>
        <v>315.17110877697843</v>
      </c>
      <c r="DS49" s="59">
        <f t="shared" si="17"/>
        <v>608.50444211031174</v>
      </c>
      <c r="DT49" s="59">
        <f ca="1">AVERAGE(OFFSET($DS$3,0,0,'Données projet'!$E$14+1,1))-AVERAGE(OFFSET($H$3,0,0,'Données projet'!$E$14+1,1))</f>
        <v>229.5312221178919</v>
      </c>
      <c r="DU49" s="59">
        <f t="shared" si="44"/>
        <v>218.1982095871906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8.4533180182515402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8.4533180182515402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6.826007326007324</v>
      </c>
      <c r="EJ49" s="12">
        <f>IF('Données projet'!$A$192&gt;35,EJ48+EI49-ER48,IF(A49&lt;'Données projet'!$A$192,$EG$205^A49,IF(A49='Données projet'!$A$192,'Données projet'!$B$192,EJ48+EI49-ER48)))</f>
        <v>111.65842490842485</v>
      </c>
      <c r="EK49" s="17">
        <f>EJ49*VLOOKUP('Données projet'!$B$15,Paramètres!$A$1:$I$89,3,0)*VLOOKUP('Données projet'!$B$15,Paramètres!$A$1:$I$89,5,0)</f>
        <v>101.0285428571428</v>
      </c>
      <c r="EL49" s="13">
        <f t="shared" si="45"/>
        <v>27.206887577634099</v>
      </c>
      <c r="EM49" s="20">
        <f t="shared" si="19"/>
        <v>223.3433746739031</v>
      </c>
      <c r="EN49" s="59">
        <f t="shared" si="20"/>
        <v>516.67670800723636</v>
      </c>
      <c r="EO49" s="59">
        <f ca="1">AVERAGE(OFFSET($EN$3,0,0,'Données projet'!$E$15+1,1))-AVERAGE(OFFSET($H$3,0,0,'Données projet'!$E$15+1,1))</f>
        <v>204.39656982394689</v>
      </c>
      <c r="EP49" s="59">
        <f t="shared" si="46"/>
        <v>134.95704640904546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5.8630104463437798</v>
      </c>
      <c r="FE49" s="12">
        <f>IF('Données projet'!$A$218&gt;35,FE48+FD49-FM48,IF(A49&lt;'Données projet'!$A$218,$FB$205^A49,IF(A49='Données projet'!$A$218,'Données projet'!$B$218,FE48+FD49-FM48)))</f>
        <v>187.59662867996215</v>
      </c>
      <c r="FF49" s="17">
        <f>FE49*VLOOKUP('Données projet'!$B$16,Paramètres!$A$1:$I$89,3,0)*VLOOKUP('Données projet'!$B$16,Paramètres!$A$1:$I$89,5,0)</f>
        <v>160.95790740740756</v>
      </c>
      <c r="FG49" s="13">
        <f t="shared" si="47"/>
        <v>41.058498980237559</v>
      </c>
      <c r="FH49" s="20">
        <f t="shared" si="22"/>
        <v>351.84524112514856</v>
      </c>
      <c r="FI49" s="59">
        <f t="shared" si="23"/>
        <v>645.17857445848188</v>
      </c>
      <c r="FJ49" s="59">
        <f ca="1">AVERAGE(OFFSET($FI$3,0,0,'Données projet'!$E$16+1,1))-AVERAGE(OFFSET($H$3,0,0,'Données projet'!$E$16+1,1))</f>
        <v>199.60585215726968</v>
      </c>
      <c r="FK49" s="59">
        <f t="shared" si="48"/>
        <v>137.37366750114404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0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11.443589743589744</v>
      </c>
      <c r="N50" s="13">
        <f>IF('Données projet'!$A$36&gt;35,N49+M50-V49,IF(A50&lt;'Données projet'!$A$36,$K$205^A50,IF(A50='Données projet'!$A$36,'Données projet'!$B$36,N49+M50-V49)))</f>
        <v>341.79487179487194</v>
      </c>
      <c r="O50" s="13">
        <f>N50*VLOOKUP('Données projet'!$B$9,Paramètres!$A$1:$I$89,3,0)*VLOOKUP('Données projet'!$B$9,Paramètres!$A$1:$I$89,5,0)</f>
        <v>159.96000000000006</v>
      </c>
      <c r="P50" s="13">
        <f t="shared" si="33"/>
        <v>40.833493163758575</v>
      </c>
      <c r="Q50" s="20">
        <f t="shared" si="53"/>
        <v>349.71533392687957</v>
      </c>
      <c r="R50" s="59">
        <f t="shared" si="0"/>
        <v>643.04866726021282</v>
      </c>
      <c r="S50" s="59">
        <f ca="1">AVERAGE(OFFSET($R$3,0,0,'Données projet'!$E$9+1,1))-AVERAGE(OFFSET($H$3,0,0,'Données projet'!$E$9+1,1))</f>
        <v>164.93438869099657</v>
      </c>
      <c r="T50" s="59">
        <f t="shared" si="34"/>
        <v>112.28641356594233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273.81843612193632</v>
      </c>
      <c r="AO50" s="59">
        <f t="shared" si="36"/>
        <v>241.86405419073208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21.625641025641034</v>
      </c>
      <c r="BD50" s="12">
        <f>IF('Données projet'!$A$88&gt;35,BD49+BC50-BL49,IF(A50&lt;'Données projet'!$A$88,$BA$205^A50,IF(A50='Données projet'!$A$88,'Données projet'!$B$88,BD49+BC50-BL49)))</f>
        <v>503.45897435897427</v>
      </c>
      <c r="BE50" s="13">
        <f>BD50*VLOOKUP('Données projet'!$B$11,Paramètres!$A$1:$I$89,3,0)*VLOOKUP('Données projet'!$B$11,Paramètres!$A$1:$I$89,5,0)</f>
        <v>281.43356666666659</v>
      </c>
      <c r="BF50" s="13">
        <f t="shared" si="37"/>
        <v>67.26987262617007</v>
      </c>
      <c r="BG50" s="20">
        <f t="shared" si="7"/>
        <v>607.32515676835726</v>
      </c>
      <c r="BH50" s="59">
        <f t="shared" si="8"/>
        <v>900.65849010169063</v>
      </c>
      <c r="BI50" s="59">
        <f ca="1">AVERAGE(OFFSET($BH$3,0,0,'Données projet'!$E$11+1,1))-AVERAGE(OFFSET($H$3,0,0,'Données projet'!$E$11+1,1))</f>
        <v>271.42245454555501</v>
      </c>
      <c r="BJ50" s="59">
        <f t="shared" si="38"/>
        <v>362.63944425429077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56.002420197756614</v>
      </c>
      <c r="BQ50" s="21">
        <f>EXP(-LN(2)/25)*BQ49+(1-EXP(-LN(2)/25))/(LN(2)/25)*Calculateur!BL50*Calculateur!BN50*VLOOKUP('Données projet'!$B$11,Paramètres!$A$1:$I$89,3,0)*0.475*44/12</f>
        <v>19.236981431106997</v>
      </c>
      <c r="BR50" s="21">
        <f>EXP(-LN(2)/2)*BR49+(1-EXP(-LN(2)/2))/(LN(2)/2)*BL50*BO50*VLOOKUP('Données projet'!$B$11,Paramètres!$A$1:$I$89,3,0)*0.475*44/12</f>
        <v>1.2290714046244984</v>
      </c>
      <c r="BS50" s="22">
        <f t="shared" si="9"/>
        <v>76.46847303348811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-5.6843418860808015E-14</v>
      </c>
      <c r="BZ50" s="13">
        <f>BY50*VLOOKUP('Données projet'!$B$12,Paramètres!$A$1:$I$89,3,0)*VLOOKUP('Données projet'!$B$12,Paramètres!$A$1:$I$89,5,0)</f>
        <v>-3.1036506698001178E-14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154.35821558431712</v>
      </c>
      <c r="CE50" s="59">
        <f t="shared" si="40"/>
        <v>263.86720460501306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58.709727396937275</v>
      </c>
      <c r="CL50" s="21">
        <f>EXP(-LN(2)/25)*CL49+(1-EXP(-LN(2)/25))/(LN(2)/25)*Calculateur!CG50*Calculateur!CI50*VLOOKUP('Données projet'!$B$12,Paramètres!$A$1:$I$89,3,0)*0.475*44/12</f>
        <v>123.47614019969392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182.1858675966312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5.6</v>
      </c>
      <c r="CT50" s="12">
        <f>IF('Données projet'!$A$140&gt;35,CT49+CS50-DB49,IF(A50&lt;'Données projet'!$A$140,$CQ$205^A50,IF(A50='Données projet'!$A$140,'Données projet'!$B$140,CT49+CS50-DB49)))</f>
        <v>157.19999999999996</v>
      </c>
      <c r="CU50" s="17">
        <f>CT50*VLOOKUP('Données projet'!$B$13,Paramètres!$A$1:$I$89,3,0)*VLOOKUP('Données projet'!$B$13,Paramètres!$A$1:$I$89,5,0)</f>
        <v>125.06831999999997</v>
      </c>
      <c r="CV50" s="13">
        <f t="shared" si="41"/>
        <v>32.854240611993333</v>
      </c>
      <c r="CW50" s="20">
        <f t="shared" si="13"/>
        <v>275.04845973255499</v>
      </c>
      <c r="CX50" s="59">
        <f t="shared" si="14"/>
        <v>568.38179306588836</v>
      </c>
      <c r="CY50" s="59">
        <f ca="1">AVERAGE(OFFSET($CX$3,0,0,'Données projet'!$E$13+1,1))-AVERAGE(OFFSET($H$3,0,0,'Données projet'!$E$13+1,1))</f>
        <v>157.25319335691853</v>
      </c>
      <c r="CZ50" s="59">
        <f t="shared" si="42"/>
        <v>159.50903492442171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1.7970897562330124</v>
      </c>
      <c r="DG50" s="21">
        <f>EXP(-LN(2)/25)*DG49+(1-EXP(-LN(2)/25))/(LN(2)/25)*Calculateur!DB50*Calculateur!DD50*VLOOKUP('Données projet'!$B$13,Paramètres!$A$1:$I$89,3,0)*0.475*44/12</f>
        <v>7.3661814252881443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9.1632711815211572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6.6</v>
      </c>
      <c r="DO50" s="12">
        <f>IF('Données projet'!$A$166&gt;35,DO49+DN50-DW49,IF(A50&lt;'Données projet'!$A$166,$DL$205^A50,IF(A50='Données projet'!$A$166,'Données projet'!$B$166,DO49+DN50-DW49)))</f>
        <v>171.20000000000007</v>
      </c>
      <c r="DP50" s="17">
        <f>DO50*VLOOKUP('Données projet'!$B$14,Paramètres!$A$1:$I$89,3,0)*VLOOKUP('Données projet'!$B$14,Paramètres!$A$1:$I$89,5,0)</f>
        <v>149.5603200000001</v>
      </c>
      <c r="DQ50" s="13">
        <f t="shared" si="43"/>
        <v>38.478649698758076</v>
      </c>
      <c r="DR50" s="20">
        <f t="shared" si="16"/>
        <v>327.50120555867051</v>
      </c>
      <c r="DS50" s="59">
        <f t="shared" si="17"/>
        <v>620.83453889200382</v>
      </c>
      <c r="DT50" s="59">
        <f ca="1">AVERAGE(OFFSET($DS$3,0,0,'Données projet'!$E$14+1,1))-AVERAGE(OFFSET($H$3,0,0,'Données projet'!$E$14+1,1))</f>
        <v>229.5312221178919</v>
      </c>
      <c r="DU50" s="59">
        <f t="shared" si="44"/>
        <v>218.1982095871906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8.2221615925017772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8.2221615925017772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6.826007326007324</v>
      </c>
      <c r="EJ50" s="12">
        <f>IF('Données projet'!$A$192&gt;35,EJ49+EI50-ER49,IF(A50&lt;'Données projet'!$A$192,$EG$205^A50,IF(A50='Données projet'!$A$192,'Données projet'!$B$192,EJ49+EI50-ER49)))</f>
        <v>118.48443223443218</v>
      </c>
      <c r="EK50" s="17">
        <f>EJ50*VLOOKUP('Données projet'!$B$15,Paramètres!$A$1:$I$89,3,0)*VLOOKUP('Données projet'!$B$15,Paramètres!$A$1:$I$89,5,0)</f>
        <v>107.20471428571423</v>
      </c>
      <c r="EL50" s="13">
        <f t="shared" si="45"/>
        <v>28.671410088969473</v>
      </c>
      <c r="EM50" s="20">
        <f t="shared" si="19"/>
        <v>236.65091661924077</v>
      </c>
      <c r="EN50" s="59">
        <f t="shared" si="20"/>
        <v>529.98424995257415</v>
      </c>
      <c r="EO50" s="59">
        <f ca="1">AVERAGE(OFFSET($EN$3,0,0,'Données projet'!$E$15+1,1))-AVERAGE(OFFSET($H$3,0,0,'Données projet'!$E$15+1,1))</f>
        <v>204.39656982394689</v>
      </c>
      <c r="EP50" s="59">
        <f t="shared" si="46"/>
        <v>134.95704640904546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5.8630104463437798</v>
      </c>
      <c r="FE50" s="12">
        <f>IF('Données projet'!$A$218&gt;35,FE49+FD50-FM49,IF(A50&lt;'Données projet'!$A$218,$FB$205^A50,IF(A50='Données projet'!$A$218,'Données projet'!$B$218,FE49+FD50-FM49)))</f>
        <v>193.45963912630594</v>
      </c>
      <c r="FF50" s="17">
        <f>FE50*VLOOKUP('Données projet'!$B$16,Paramètres!$A$1:$I$89,3,0)*VLOOKUP('Données projet'!$B$16,Paramètres!$A$1:$I$89,5,0)</f>
        <v>165.98837037037052</v>
      </c>
      <c r="FG50" s="13">
        <f t="shared" si="47"/>
        <v>42.190307069624708</v>
      </c>
      <c r="FH50" s="20">
        <f t="shared" si="22"/>
        <v>362.57786320799164</v>
      </c>
      <c r="FI50" s="59">
        <f t="shared" si="23"/>
        <v>655.9111965413249</v>
      </c>
      <c r="FJ50" s="59">
        <f ca="1">AVERAGE(OFFSET($FI$3,0,0,'Données projet'!$E$16+1,1))-AVERAGE(OFFSET($H$3,0,0,'Données projet'!$E$16+1,1))</f>
        <v>199.60585215726968</v>
      </c>
      <c r="FK50" s="59">
        <f t="shared" si="48"/>
        <v>137.37366750114404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0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11.443589743589744</v>
      </c>
      <c r="N51" s="13">
        <f>IF('Données projet'!$A$36&gt;35,N50+M51-V50,IF(A51&lt;'Données projet'!$A$36,$K$205^A51,IF(A51='Données projet'!$A$36,'Données projet'!$B$36,N50+M51-V50)))</f>
        <v>353.23846153846171</v>
      </c>
      <c r="O51" s="13">
        <f>N51*VLOOKUP('Données projet'!$B$9,Paramètres!$A$1:$I$89,3,0)*VLOOKUP('Données projet'!$B$9,Paramètres!$A$1:$I$89,5,0)</f>
        <v>165.31560000000007</v>
      </c>
      <c r="P51" s="13">
        <f t="shared" si="33"/>
        <v>42.039173765288623</v>
      </c>
      <c r="Q51" s="20">
        <f t="shared" si="53"/>
        <v>361.14289764121116</v>
      </c>
      <c r="R51" s="59">
        <f t="shared" si="0"/>
        <v>654.47623097454448</v>
      </c>
      <c r="S51" s="59">
        <f ca="1">AVERAGE(OFFSET($R$3,0,0,'Données projet'!$E$9+1,1))-AVERAGE(OFFSET($H$3,0,0,'Données projet'!$E$9+1,1))</f>
        <v>164.93438869099657</v>
      </c>
      <c r="T51" s="59">
        <f t="shared" si="34"/>
        <v>112.28641356594233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273.81843612193632</v>
      </c>
      <c r="AO51" s="59">
        <f t="shared" si="36"/>
        <v>241.86405419073208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525.0846153846154</v>
      </c>
      <c r="BB51" s="12">
        <f>VLOOKUP(A51,'Données projet'!$A$87:$I$107,9,0)</f>
        <v>21.625641025641034</v>
      </c>
      <c r="BC51" s="12">
        <f t="array" ref="BC51">INDEX(BB:BB,MIN(IF(ISNUMBER(BB51:BB247),ROW(BB51:BB247),"")))</f>
        <v>21.625641025641034</v>
      </c>
      <c r="BD51" s="12">
        <f>IF('Données projet'!$A$88&gt;35,BD50+BC51-BL50,IF(A51&lt;'Données projet'!$A$88,$BA$205^A51,IF(A51='Données projet'!$A$88,'Données projet'!$B$88,BD50+BC51-BL50)))</f>
        <v>525.08461538461529</v>
      </c>
      <c r="BE51" s="13">
        <f>BD51*VLOOKUP('Données projet'!$B$11,Paramètres!$A$1:$I$89,3,0)*VLOOKUP('Données projet'!$B$11,Paramètres!$A$1:$I$89,5,0)</f>
        <v>293.52229999999997</v>
      </c>
      <c r="BF51" s="13">
        <f t="shared" si="37"/>
        <v>69.816768342057628</v>
      </c>
      <c r="BG51" s="20">
        <f t="shared" si="7"/>
        <v>632.81554402908364</v>
      </c>
      <c r="BH51" s="59">
        <f t="shared" si="8"/>
        <v>926.1488773624169</v>
      </c>
      <c r="BI51" s="59">
        <f ca="1">AVERAGE(OFFSET($BH$3,0,0,'Données projet'!$E$11+1,1))-AVERAGE(OFFSET($H$3,0,0,'Données projet'!$E$11+1,1))</f>
        <v>271.42245454555501</v>
      </c>
      <c r="BJ51" s="59">
        <f t="shared" si="38"/>
        <v>362.63944425429077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81.330769230769235</v>
      </c>
      <c r="BM51" s="16">
        <f>IF(ISNA(VLOOKUP(A51,'Données projet'!$A$87:$I$107,5,0)),0%,VLOOKUP(A51,'Données projet'!$A$87:$I$107,5,0)*VLOOKUP('Données projet'!$B$11,Paramètres!$A$1:$I$89,7,0))</f>
        <v>0.38500000000000001</v>
      </c>
      <c r="BN51" s="16">
        <f>IF(ISNA(VLOOKUP(A51,'Données projet'!$A$87:$I$107,6,0)),0%,VLOOKUP(A51,'Données projet'!$A$87:$I$107,6,0)*VLOOKUP('Données projet'!$B$11,Paramètres!$A$1:$I$89,7,0))</f>
        <v>9.240000000000001E-2</v>
      </c>
      <c r="BO51" s="16">
        <f>IF(ISNA(VLOOKUP(A51,'Données projet'!$A$87:$I$107,7,0)),0%,VLOOKUP(A51,'Données projet'!$A$87:$I$107,7,0))</f>
        <v>0.13200000000000001</v>
      </c>
      <c r="BP51" s="21">
        <f>EXP(-LN(2)/35)*BP50+(1-EXP(-LN(2)/35))/(LN(2)/35)*BL51*BM51*VLOOKUP('Données projet'!$B$11,Paramètres!$A$1:$I$89,3,0)*0.475*44/12</f>
        <v>78.12390248786032</v>
      </c>
      <c r="BQ51" s="21">
        <f>EXP(-LN(2)/25)*BQ50+(1-EXP(-LN(2)/25))/(LN(2)/25)*Calculateur!BL51*Calculateur!BN51*VLOOKUP('Données projet'!$B$11,Paramètres!$A$1:$I$89,3,0)*0.475*44/12</f>
        <v>24.261720592795644</v>
      </c>
      <c r="BR51" s="21">
        <f>EXP(-LN(2)/2)*BR50+(1-EXP(-LN(2)/2))/(LN(2)/2)*BL51*BO51*VLOOKUP('Données projet'!$B$11,Paramètres!$A$1:$I$89,3,0)*0.475*44/12</f>
        <v>7.6638765903722392</v>
      </c>
      <c r="BS51" s="22">
        <f t="shared" si="9"/>
        <v>110.0494996710282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-5.6843418860808015E-14</v>
      </c>
      <c r="BZ51" s="13">
        <f>BY51*VLOOKUP('Données projet'!$B$12,Paramètres!$A$1:$I$89,3,0)*VLOOKUP('Données projet'!$B$12,Paramètres!$A$1:$I$89,5,0)</f>
        <v>-3.1036506698001178E-14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154.35821558431712</v>
      </c>
      <c r="CE51" s="59">
        <f t="shared" si="40"/>
        <v>263.86720460501306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57.558465452081165</v>
      </c>
      <c r="CL51" s="21">
        <f>EXP(-LN(2)/25)*CL50+(1-EXP(-LN(2)/25))/(LN(2)/25)*Calculateur!CG51*Calculateur!CI51*VLOOKUP('Données projet'!$B$12,Paramètres!$A$1:$I$89,3,0)*0.475*44/12</f>
        <v>120.09967865260528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177.65814410468644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5.6</v>
      </c>
      <c r="CT51" s="12">
        <f>IF('Données projet'!$A$140&gt;35,CT50+CS51-DB50,IF(A51&lt;'Données projet'!$A$140,$CQ$205^A51,IF(A51='Données projet'!$A$140,'Données projet'!$B$140,CT50+CS51-DB50)))</f>
        <v>162.79999999999995</v>
      </c>
      <c r="CU51" s="17">
        <f>CT51*VLOOKUP('Données projet'!$B$13,Paramètres!$A$1:$I$89,3,0)*VLOOKUP('Données projet'!$B$13,Paramètres!$A$1:$I$89,5,0)</f>
        <v>129.52367999999996</v>
      </c>
      <c r="CV51" s="13">
        <f t="shared" si="41"/>
        <v>33.886272262901727</v>
      </c>
      <c r="CW51" s="20">
        <f t="shared" si="13"/>
        <v>284.60566685788712</v>
      </c>
      <c r="CX51" s="59">
        <f t="shared" si="14"/>
        <v>577.93900019122043</v>
      </c>
      <c r="CY51" s="59">
        <f ca="1">AVERAGE(OFFSET($CX$3,0,0,'Données projet'!$E$13+1,1))-AVERAGE(OFFSET($H$3,0,0,'Données projet'!$E$13+1,1))</f>
        <v>157.25319335691853</v>
      </c>
      <c r="CZ51" s="59">
        <f t="shared" si="42"/>
        <v>159.50903492442171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1.7618499222298019</v>
      </c>
      <c r="DG51" s="21">
        <f>EXP(-LN(2)/25)*DG50+(1-EXP(-LN(2)/25))/(LN(2)/25)*Calculateur!DB51*Calculateur!DD51*VLOOKUP('Données projet'!$B$13,Paramètres!$A$1:$I$89,3,0)*0.475*44/12</f>
        <v>7.1647528068429942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8.9266027290727958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6.6</v>
      </c>
      <c r="DO51" s="12">
        <f>IF('Données projet'!$A$166&gt;35,DO50+DN51-DW50,IF(A51&lt;'Données projet'!$A$166,$DL$205^A51,IF(A51='Données projet'!$A$166,'Données projet'!$B$166,DO50+DN51-DW50)))</f>
        <v>177.80000000000007</v>
      </c>
      <c r="DP51" s="17">
        <f>DO51*VLOOKUP('Données projet'!$B$14,Paramètres!$A$1:$I$89,3,0)*VLOOKUP('Données projet'!$B$14,Paramètres!$A$1:$I$89,5,0)</f>
        <v>155.3260800000001</v>
      </c>
      <c r="DQ51" s="13">
        <f t="shared" si="43"/>
        <v>39.786487601092446</v>
      </c>
      <c r="DR51" s="20">
        <f t="shared" si="16"/>
        <v>339.8210552385695</v>
      </c>
      <c r="DS51" s="59">
        <f t="shared" si="17"/>
        <v>633.15438857190281</v>
      </c>
      <c r="DT51" s="59">
        <f ca="1">AVERAGE(OFFSET($DS$3,0,0,'Données projet'!$E$14+1,1))-AVERAGE(OFFSET($H$3,0,0,'Données projet'!$E$14+1,1))</f>
        <v>229.5312221178919</v>
      </c>
      <c r="DU51" s="59">
        <f t="shared" si="44"/>
        <v>218.1982095871906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7.9973261513701299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7.9973261513701299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6.826007326007324</v>
      </c>
      <c r="EJ51" s="12">
        <f>IF('Données projet'!$A$192&gt;35,EJ50+EI51-ER50,IF(A51&lt;'Données projet'!$A$192,$EG$205^A51,IF(A51='Données projet'!$A$192,'Données projet'!$B$192,EJ50+EI51-ER50)))</f>
        <v>125.31043956043951</v>
      </c>
      <c r="EK51" s="17">
        <f>EJ51*VLOOKUP('Données projet'!$B$15,Paramètres!$A$1:$I$89,3,0)*VLOOKUP('Données projet'!$B$15,Paramètres!$A$1:$I$89,5,0)</f>
        <v>113.38088571428565</v>
      </c>
      <c r="EL51" s="13">
        <f t="shared" si="45"/>
        <v>30.126138765380961</v>
      </c>
      <c r="EM51" s="20">
        <f t="shared" si="19"/>
        <v>249.94140096875267</v>
      </c>
      <c r="EN51" s="59">
        <f t="shared" si="20"/>
        <v>543.27473430208602</v>
      </c>
      <c r="EO51" s="59">
        <f ca="1">AVERAGE(OFFSET($EN$3,0,0,'Données projet'!$E$15+1,1))-AVERAGE(OFFSET($H$3,0,0,'Données projet'!$E$15+1,1))</f>
        <v>204.39656982394689</v>
      </c>
      <c r="EP51" s="59">
        <f t="shared" si="46"/>
        <v>134.95704640904546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5.8630104463437798</v>
      </c>
      <c r="FE51" s="12">
        <f>IF('Données projet'!$A$218&gt;35,FE50+FD51-FM50,IF(A51&lt;'Données projet'!$A$218,$FB$205^A51,IF(A51='Données projet'!$A$218,'Données projet'!$B$218,FE50+FD51-FM50)))</f>
        <v>199.32264957264974</v>
      </c>
      <c r="FF51" s="17">
        <f>FE51*VLOOKUP('Données projet'!$B$16,Paramètres!$A$1:$I$89,3,0)*VLOOKUP('Données projet'!$B$16,Paramètres!$A$1:$I$89,5,0)</f>
        <v>171.0188333333335</v>
      </c>
      <c r="FG51" s="13">
        <f t="shared" si="47"/>
        <v>43.31812894579177</v>
      </c>
      <c r="FH51" s="20">
        <f t="shared" si="22"/>
        <v>373.30354263614316</v>
      </c>
      <c r="FI51" s="59">
        <f t="shared" si="23"/>
        <v>666.63687596947648</v>
      </c>
      <c r="FJ51" s="59">
        <f ca="1">AVERAGE(OFFSET($FI$3,0,0,'Données projet'!$E$16+1,1))-AVERAGE(OFFSET($H$3,0,0,'Données projet'!$E$16+1,1))</f>
        <v>199.60585215726968</v>
      </c>
      <c r="FK51" s="59">
        <f t="shared" si="48"/>
        <v>137.37366750114404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0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11.443589743589744</v>
      </c>
      <c r="N52" s="13">
        <f>IF('Données projet'!$A$36&gt;35,N51+M52-V51,IF(A52&lt;'Données projet'!$A$36,$K$205^A52,IF(A52='Données projet'!$A$36,'Données projet'!$B$36,N51+M52-V51)))</f>
        <v>364.68205128205148</v>
      </c>
      <c r="O52" s="13">
        <f>N52*VLOOKUP('Données projet'!$B$9,Paramètres!$A$1:$I$89,3,0)*VLOOKUP('Données projet'!$B$9,Paramètres!$A$1:$I$89,5,0)</f>
        <v>170.67120000000008</v>
      </c>
      <c r="P52" s="13">
        <f t="shared" si="33"/>
        <v>43.240315564943899</v>
      </c>
      <c r="Q52" s="20">
        <f t="shared" si="53"/>
        <v>372.56255627561069</v>
      </c>
      <c r="R52" s="59">
        <f t="shared" si="0"/>
        <v>665.895889608944</v>
      </c>
      <c r="S52" s="59">
        <f ca="1">AVERAGE(OFFSET($R$3,0,0,'Données projet'!$E$9+1,1))-AVERAGE(OFFSET($H$3,0,0,'Données projet'!$E$9+1,1))</f>
        <v>164.93438869099657</v>
      </c>
      <c r="T52" s="59">
        <f t="shared" si="34"/>
        <v>112.28641356594233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273.81843612193632</v>
      </c>
      <c r="AO52" s="59">
        <f t="shared" si="36"/>
        <v>241.86405419073208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20.507692307692299</v>
      </c>
      <c r="BD52" s="12">
        <f>IF('Données projet'!$A$88&gt;35,BD51+BC52-BL51,IF(A52&lt;'Données projet'!$A$88,$BA$205^A52,IF(A52='Données projet'!$A$88,'Données projet'!$B$88,BD51+BC52-BL51)))</f>
        <v>464.26153846153835</v>
      </c>
      <c r="BE52" s="13">
        <f>BD52*VLOOKUP('Données projet'!$B$11,Paramètres!$A$1:$I$89,3,0)*VLOOKUP('Données projet'!$B$11,Paramètres!$A$1:$I$89,5,0)</f>
        <v>259.52219999999994</v>
      </c>
      <c r="BF52" s="13">
        <f t="shared" si="37"/>
        <v>62.620519404058925</v>
      </c>
      <c r="BG52" s="20">
        <f t="shared" si="7"/>
        <v>561.06523629540254</v>
      </c>
      <c r="BH52" s="59">
        <f t="shared" si="8"/>
        <v>854.39856962873591</v>
      </c>
      <c r="BI52" s="59">
        <f ca="1">AVERAGE(OFFSET($BH$3,0,0,'Données projet'!$E$11+1,1))-AVERAGE(OFFSET($H$3,0,0,'Données projet'!$E$11+1,1))</f>
        <v>271.42245454555501</v>
      </c>
      <c r="BJ52" s="59">
        <f t="shared" si="38"/>
        <v>362.63944425429077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76.591940410948766</v>
      </c>
      <c r="BQ52" s="21">
        <f>EXP(-LN(2)/25)*BQ51+(1-EXP(-LN(2)/25))/(LN(2)/25)*Calculateur!BL52*Calculateur!BN52*VLOOKUP('Données projet'!$B$11,Paramètres!$A$1:$I$89,3,0)*0.475*44/12</f>
        <v>23.598282567317213</v>
      </c>
      <c r="BR52" s="21">
        <f>EXP(-LN(2)/2)*BR51+(1-EXP(-LN(2)/2))/(LN(2)/2)*BL52*BO52*VLOOKUP('Données projet'!$B$11,Paramètres!$A$1:$I$89,3,0)*0.475*44/12</f>
        <v>5.4191791072290476</v>
      </c>
      <c r="BS52" s="22">
        <f t="shared" si="9"/>
        <v>105.60940208549502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-5.6843418860808015E-14</v>
      </c>
      <c r="BZ52" s="13">
        <f>BY52*VLOOKUP('Données projet'!$B$12,Paramètres!$A$1:$I$89,3,0)*VLOOKUP('Données projet'!$B$12,Paramètres!$A$1:$I$89,5,0)</f>
        <v>-3.1036506698001178E-14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154.35821558431712</v>
      </c>
      <c r="CE52" s="59">
        <f t="shared" si="40"/>
        <v>263.86720460501306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56.429779051763234</v>
      </c>
      <c r="CL52" s="21">
        <f>EXP(-LN(2)/25)*CL51+(1-EXP(-LN(2)/25))/(LN(2)/25)*Calculateur!CG52*Calculateur!CI52*VLOOKUP('Données projet'!$B$12,Paramètres!$A$1:$I$89,3,0)*0.475*44/12</f>
        <v>116.81554662408217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173.24532567584541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5.6</v>
      </c>
      <c r="CT52" s="12">
        <f>IF('Données projet'!$A$140&gt;35,CT51+CS52-DB51,IF(A52&lt;'Données projet'!$A$140,$CQ$205^A52,IF(A52='Données projet'!$A$140,'Données projet'!$B$140,CT51+CS52-DB51)))</f>
        <v>168.39999999999995</v>
      </c>
      <c r="CU52" s="17">
        <f>CT52*VLOOKUP('Données projet'!$B$13,Paramètres!$A$1:$I$89,3,0)*VLOOKUP('Données projet'!$B$13,Paramètres!$A$1:$I$89,5,0)</f>
        <v>133.97903999999997</v>
      </c>
      <c r="CV52" s="13">
        <f t="shared" si="41"/>
        <v>34.914179132249863</v>
      </c>
      <c r="CW52" s="20">
        <f t="shared" si="13"/>
        <v>294.15568998866848</v>
      </c>
      <c r="CX52" s="59">
        <f t="shared" si="14"/>
        <v>587.4890233220018</v>
      </c>
      <c r="CY52" s="59">
        <f ca="1">AVERAGE(OFFSET($CX$3,0,0,'Données projet'!$E$13+1,1))-AVERAGE(OFFSET($H$3,0,0,'Données projet'!$E$13+1,1))</f>
        <v>157.25319335691853</v>
      </c>
      <c r="CZ52" s="59">
        <f t="shared" si="42"/>
        <v>159.50903492442171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1.7273011198772179</v>
      </c>
      <c r="DG52" s="21">
        <f>EXP(-LN(2)/25)*DG51+(1-EXP(-LN(2)/25))/(LN(2)/25)*Calculateur!DB52*Calculateur!DD52*VLOOKUP('Données projet'!$B$13,Paramètres!$A$1:$I$89,3,0)*0.475*44/12</f>
        <v>6.9688322645618976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8.6961333844391149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6.6</v>
      </c>
      <c r="DO52" s="12">
        <f>IF('Données projet'!$A$166&gt;35,DO51+DN52-DW51,IF(A52&lt;'Données projet'!$A$166,$DL$205^A52,IF(A52='Données projet'!$A$166,'Données projet'!$B$166,DO51+DN52-DW51)))</f>
        <v>184.40000000000006</v>
      </c>
      <c r="DP52" s="17">
        <f>DO52*VLOOKUP('Données projet'!$B$14,Paramètres!$A$1:$I$89,3,0)*VLOOKUP('Données projet'!$B$14,Paramètres!$A$1:$I$89,5,0)</f>
        <v>161.09184000000008</v>
      </c>
      <c r="DQ52" s="13">
        <f t="shared" si="43"/>
        <v>41.088685407030859</v>
      </c>
      <c r="DR52" s="20">
        <f t="shared" si="16"/>
        <v>352.13108175057886</v>
      </c>
      <c r="DS52" s="59">
        <f t="shared" si="17"/>
        <v>645.46441508391217</v>
      </c>
      <c r="DT52" s="59">
        <f ca="1">AVERAGE(OFFSET($DS$3,0,0,'Données projet'!$E$14+1,1))-AVERAGE(OFFSET($H$3,0,0,'Données projet'!$E$14+1,1))</f>
        <v>229.5312221178919</v>
      </c>
      <c r="DU52" s="59">
        <f t="shared" si="44"/>
        <v>218.1982095871906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7.7786388471998098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7.7786388471998098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6.826007326007324</v>
      </c>
      <c r="EJ52" s="12">
        <f>IF('Données projet'!$A$192&gt;35,EJ51+EI52-ER51,IF(A52&lt;'Données projet'!$A$192,$EG$205^A52,IF(A52='Données projet'!$A$192,'Données projet'!$B$192,EJ51+EI52-ER51)))</f>
        <v>132.13644688644683</v>
      </c>
      <c r="EK52" s="17">
        <f>EJ52*VLOOKUP('Données projet'!$B$15,Paramètres!$A$1:$I$89,3,0)*VLOOKUP('Données projet'!$B$15,Paramètres!$A$1:$I$89,5,0)</f>
        <v>119.55705714285709</v>
      </c>
      <c r="EL52" s="13">
        <f t="shared" si="45"/>
        <v>31.571667922473026</v>
      </c>
      <c r="EM52" s="20">
        <f t="shared" si="19"/>
        <v>263.21586282211655</v>
      </c>
      <c r="EN52" s="59">
        <f t="shared" si="20"/>
        <v>556.54919615544986</v>
      </c>
      <c r="EO52" s="59">
        <f ca="1">AVERAGE(OFFSET($EN$3,0,0,'Données projet'!$E$15+1,1))-AVERAGE(OFFSET($H$3,0,0,'Données projet'!$E$15+1,1))</f>
        <v>204.39656982394689</v>
      </c>
      <c r="EP52" s="59">
        <f t="shared" si="46"/>
        <v>134.95704640904546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5.8630104463437798</v>
      </c>
      <c r="FE52" s="12">
        <f>IF('Données projet'!$A$218&gt;35,FE51+FD52-FM51,IF(A52&lt;'Données projet'!$A$218,$FB$205^A52,IF(A52='Données projet'!$A$218,'Données projet'!$B$218,FE51+FD52-FM51)))</f>
        <v>205.18566001899353</v>
      </c>
      <c r="FF52" s="17">
        <f>FE52*VLOOKUP('Données projet'!$B$16,Paramètres!$A$1:$I$89,3,0)*VLOOKUP('Données projet'!$B$16,Paramètres!$A$1:$I$89,5,0)</f>
        <v>176.04929629629646</v>
      </c>
      <c r="FG52" s="13">
        <f t="shared" si="47"/>
        <v>44.442095324537249</v>
      </c>
      <c r="FH52" s="20">
        <f t="shared" si="22"/>
        <v>384.02250707295207</v>
      </c>
      <c r="FI52" s="59">
        <f t="shared" si="23"/>
        <v>677.35584040628532</v>
      </c>
      <c r="FJ52" s="59">
        <f ca="1">AVERAGE(OFFSET($FI$3,0,0,'Données projet'!$E$16+1,1))-AVERAGE(OFFSET($H$3,0,0,'Données projet'!$E$16+1,1))</f>
        <v>199.60585215726968</v>
      </c>
      <c r="FK52" s="59">
        <f t="shared" si="48"/>
        <v>137.37366750114404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0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11.443589743589744</v>
      </c>
      <c r="N53" s="13">
        <f>IF('Données projet'!$A$36&gt;35,N52+M53-V52,IF(A53&lt;'Données projet'!$A$36,$K$205^A53,IF(A53='Données projet'!$A$36,'Données projet'!$B$36,N52+M53-V52)))</f>
        <v>376.12564102564124</v>
      </c>
      <c r="O53" s="13">
        <f>N53*VLOOKUP('Données projet'!$B$9,Paramètres!$A$1:$I$89,3,0)*VLOOKUP('Données projet'!$B$9,Paramètres!$A$1:$I$89,5,0)</f>
        <v>176.02680000000012</v>
      </c>
      <c r="P53" s="13">
        <f t="shared" si="33"/>
        <v>44.437077329889675</v>
      </c>
      <c r="Q53" s="20">
        <f t="shared" si="53"/>
        <v>383.97458634955802</v>
      </c>
      <c r="R53" s="59">
        <f t="shared" si="0"/>
        <v>677.30791968289134</v>
      </c>
      <c r="S53" s="59">
        <f ca="1">AVERAGE(OFFSET($R$3,0,0,'Données projet'!$E$9+1,1))-AVERAGE(OFFSET($H$3,0,0,'Données projet'!$E$9+1,1))</f>
        <v>164.93438869099657</v>
      </c>
      <c r="T53" s="59">
        <f t="shared" si="34"/>
        <v>112.28641356594233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273.81843612193632</v>
      </c>
      <c r="AO53" s="59">
        <f t="shared" si="36"/>
        <v>241.86405419073208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20.507692307692299</v>
      </c>
      <c r="BD53" s="12">
        <f>IF('Données projet'!$A$88&gt;35,BD52+BC53-BL52,IF(A53&lt;'Données projet'!$A$88,$BA$205^A53,IF(A53='Données projet'!$A$88,'Données projet'!$B$88,BD52+BC53-BL52)))</f>
        <v>484.76923076923066</v>
      </c>
      <c r="BE53" s="13">
        <f>BD53*VLOOKUP('Données projet'!$B$11,Paramètres!$A$1:$I$89,3,0)*VLOOKUP('Données projet'!$B$11,Paramètres!$A$1:$I$89,5,0)</f>
        <v>270.98599999999993</v>
      </c>
      <c r="BF53" s="13">
        <f t="shared" si="37"/>
        <v>65.058478958733772</v>
      </c>
      <c r="BG53" s="20">
        <f t="shared" si="7"/>
        <v>585.27746751979453</v>
      </c>
      <c r="BH53" s="59">
        <f t="shared" si="8"/>
        <v>878.61080085312778</v>
      </c>
      <c r="BI53" s="59">
        <f ca="1">AVERAGE(OFFSET($BH$3,0,0,'Données projet'!$E$11+1,1))-AVERAGE(OFFSET($H$3,0,0,'Données projet'!$E$11+1,1))</f>
        <v>271.42245454555501</v>
      </c>
      <c r="BJ53" s="59">
        <f t="shared" si="38"/>
        <v>362.63944425429077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75.090019175960848</v>
      </c>
      <c r="BQ53" s="21">
        <f>EXP(-LN(2)/25)*BQ52+(1-EXP(-LN(2)/25))/(LN(2)/25)*Calculateur!BL53*Calculateur!BN53*VLOOKUP('Données projet'!$B$11,Paramètres!$A$1:$I$89,3,0)*0.475*44/12</f>
        <v>22.952986289534177</v>
      </c>
      <c r="BR53" s="21">
        <f>EXP(-LN(2)/2)*BR52+(1-EXP(-LN(2)/2))/(LN(2)/2)*BL53*BO53*VLOOKUP('Données projet'!$B$11,Paramètres!$A$1:$I$89,3,0)*0.475*44/12</f>
        <v>3.8319382951861205</v>
      </c>
      <c r="BS53" s="22">
        <f t="shared" si="9"/>
        <v>101.87494376068115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-5.6843418860808015E-14</v>
      </c>
      <c r="BZ53" s="13">
        <f>BY53*VLOOKUP('Données projet'!$B$12,Paramètres!$A$1:$I$89,3,0)*VLOOKUP('Données projet'!$B$12,Paramètres!$A$1:$I$89,5,0)</f>
        <v>-3.1036506698001178E-14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154.35821558431712</v>
      </c>
      <c r="CE53" s="59">
        <f t="shared" si="40"/>
        <v>263.86720460501306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55.323225503324807</v>
      </c>
      <c r="CL53" s="21">
        <f>EXP(-LN(2)/25)*CL52+(1-EXP(-LN(2)/25))/(LN(2)/25)*Calculateur!CG53*Calculateur!CI53*VLOOKUP('Données projet'!$B$12,Paramètres!$A$1:$I$89,3,0)*0.475*44/12</f>
        <v>113.62121935858404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168.94444486190883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174</v>
      </c>
      <c r="CR53" s="12">
        <f>VLOOKUP(A53,'Données projet'!$A$139:$I$159,9,0)</f>
        <v>5.6</v>
      </c>
      <c r="CS53" s="12">
        <f t="array" ref="CS53">INDEX(CR:CR,MIN(IF(ISNUMBER(CR53:CR249),ROW(CR53:CR249),"")))</f>
        <v>5.6</v>
      </c>
      <c r="CT53" s="12">
        <f>IF('Données projet'!$A$140&gt;35,CT52+CS53-DB52,IF(A53&lt;'Données projet'!$A$140,$CQ$205^A53,IF(A53='Données projet'!$A$140,'Données projet'!$B$140,CT52+CS53-DB52)))</f>
        <v>173.99999999999994</v>
      </c>
      <c r="CU53" s="17">
        <f>CT53*VLOOKUP('Données projet'!$B$13,Paramètres!$A$1:$I$89,3,0)*VLOOKUP('Données projet'!$B$13,Paramètres!$A$1:$I$89,5,0)</f>
        <v>138.43439999999995</v>
      </c>
      <c r="CV53" s="13">
        <f t="shared" si="41"/>
        <v>35.938114113553581</v>
      </c>
      <c r="CW53" s="20">
        <f t="shared" si="13"/>
        <v>303.69879541443908</v>
      </c>
      <c r="CX53" s="59">
        <f t="shared" si="14"/>
        <v>597.03212874777239</v>
      </c>
      <c r="CY53" s="59">
        <f ca="1">AVERAGE(OFFSET($CX$3,0,0,'Données projet'!$E$13+1,1))-AVERAGE(OFFSET($H$3,0,0,'Données projet'!$E$13+1,1))</f>
        <v>157.25319335691853</v>
      </c>
      <c r="CZ53" s="59">
        <f t="shared" si="42"/>
        <v>159.50903492442171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13</v>
      </c>
      <c r="DC53" s="16">
        <f>IF(ISNA(VLOOKUP(A53,'Données projet'!$A$139:$I$159,5,0)),0%,VLOOKUP(A53,'Données projet'!$A$139:$I$159,5,0)*VLOOKUP('Données projet'!$B$13,Paramètres!$A$1:$I$89,7,0))</f>
        <v>0.12190000000000001</v>
      </c>
      <c r="DD53" s="16">
        <f>IF(ISNA(VLOOKUP(A53,'Données projet'!$A$139:$I$159,6,0)),0%,VLOOKUP(A53,'Données projet'!$A$139:$I$159,6,0)*VLOOKUP('Données projet'!$B$13,Paramètres!$A$1:$I$89,7,0))</f>
        <v>0.24380000000000002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3.0871928356168103</v>
      </c>
      <c r="DG53" s="21">
        <f>EXP(-LN(2)/25)*DG52+(1-EXP(-LN(2)/25))/(LN(2)/25)*Calculateur!DB53*Calculateur!DD53*VLOOKUP('Données projet'!$B$13,Paramètres!$A$1:$I$89,3,0)*0.475*44/12</f>
        <v>9.5548197018287233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12.642012537445535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191</v>
      </c>
      <c r="DM53" s="12">
        <f>VLOOKUP(A53,'Données projet'!$A$165:$I$185,9,0)</f>
        <v>6.6</v>
      </c>
      <c r="DN53" s="12">
        <f t="array" ref="DN53">INDEX(DM:DM,MIN(IF(ISNUMBER(DM53:DM249),ROW(DM53:DM249),"")))</f>
        <v>6.6</v>
      </c>
      <c r="DO53" s="12">
        <f>IF('Données projet'!$A$166&gt;35,DO52+DN53-DW52,IF(A53&lt;'Données projet'!$A$166,$DL$205^A53,IF(A53='Données projet'!$A$166,'Données projet'!$B$166,DO52+DN53-DW52)))</f>
        <v>191.00000000000006</v>
      </c>
      <c r="DP53" s="17">
        <f>DO53*VLOOKUP('Données projet'!$B$14,Paramètres!$A$1:$I$89,3,0)*VLOOKUP('Données projet'!$B$14,Paramètres!$A$1:$I$89,5,0)</f>
        <v>166.85760000000008</v>
      </c>
      <c r="DQ53" s="13">
        <f t="shared" si="43"/>
        <v>42.385468111966098</v>
      </c>
      <c r="DR53" s="20">
        <f t="shared" si="16"/>
        <v>364.43167696167438</v>
      </c>
      <c r="DS53" s="59">
        <f t="shared" si="17"/>
        <v>657.76501029500764</v>
      </c>
      <c r="DT53" s="59">
        <f ca="1">AVERAGE(OFFSET($DS$3,0,0,'Données projet'!$E$14+1,1))-AVERAGE(OFFSET($H$3,0,0,'Données projet'!$E$14+1,1))</f>
        <v>229.5312221178919</v>
      </c>
      <c r="DU53" s="59">
        <f t="shared" si="44"/>
        <v>218.1982095871906</v>
      </c>
      <c r="DV53" s="15">
        <f>IF(ISNA(VLOOKUP(A53,'Données projet'!$A$165:$I$185,3,0)),0,VLOOKUP(A53,'Données projet'!$A$165:$I$185,3,0))</f>
        <v>7</v>
      </c>
      <c r="DW53" s="15" t="str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0.215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11.90907459197541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11.90907459197541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6.826007326007324</v>
      </c>
      <c r="EJ53" s="12">
        <f>IF('Données projet'!$A$192&gt;35,EJ52+EI53-ER52,IF(A53&lt;'Données projet'!$A$192,$EG$205^A53,IF(A53='Données projet'!$A$192,'Données projet'!$B$192,EJ52+EI53-ER52)))</f>
        <v>138.96245421245416</v>
      </c>
      <c r="EK53" s="17">
        <f>EJ53*VLOOKUP('Données projet'!$B$15,Paramètres!$A$1:$I$89,3,0)*VLOOKUP('Données projet'!$B$15,Paramètres!$A$1:$I$89,5,0)</f>
        <v>125.73322857142851</v>
      </c>
      <c r="EL53" s="13">
        <f t="shared" si="45"/>
        <v>33.008527004415768</v>
      </c>
      <c r="EM53" s="20">
        <f t="shared" si="19"/>
        <v>276.47522429459542</v>
      </c>
      <c r="EN53" s="59">
        <f t="shared" si="20"/>
        <v>569.80855762792874</v>
      </c>
      <c r="EO53" s="59">
        <f ca="1">AVERAGE(OFFSET($EN$3,0,0,'Données projet'!$E$15+1,1))-AVERAGE(OFFSET($H$3,0,0,'Données projet'!$E$15+1,1))</f>
        <v>204.39656982394689</v>
      </c>
      <c r="EP53" s="59">
        <f t="shared" si="46"/>
        <v>134.95704640904546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5.8630104463437798</v>
      </c>
      <c r="FE53" s="12">
        <f>IF('Données projet'!$A$218&gt;35,FE52+FD53-FM52,IF(A53&lt;'Données projet'!$A$218,$FB$205^A53,IF(A53='Données projet'!$A$218,'Données projet'!$B$218,FE52+FD53-FM52)))</f>
        <v>211.04867046533732</v>
      </c>
      <c r="FF53" s="17">
        <f>FE53*VLOOKUP('Données projet'!$B$16,Paramètres!$A$1:$I$89,3,0)*VLOOKUP('Données projet'!$B$16,Paramètres!$A$1:$I$89,5,0)</f>
        <v>181.07975925925945</v>
      </c>
      <c r="FG53" s="13">
        <f t="shared" si="47"/>
        <v>45.562329026583676</v>
      </c>
      <c r="FH53" s="20">
        <f t="shared" si="22"/>
        <v>394.73497043117681</v>
      </c>
      <c r="FI53" s="59">
        <f t="shared" si="23"/>
        <v>688.06830376451012</v>
      </c>
      <c r="FJ53" s="59">
        <f ca="1">AVERAGE(OFFSET($FI$3,0,0,'Données projet'!$E$16+1,1))-AVERAGE(OFFSET($H$3,0,0,'Données projet'!$E$16+1,1))</f>
        <v>199.60585215726968</v>
      </c>
      <c r="FK53" s="59">
        <f t="shared" si="48"/>
        <v>137.37366750114404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0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387.56923076923078</v>
      </c>
      <c r="L54" s="12">
        <f>VLOOKUP(A54,'Données projet'!$A$35:$I$55,9,0)</f>
        <v>11.443589743589744</v>
      </c>
      <c r="M54" s="12">
        <f t="array" ref="M54">INDEX(L:L,MIN(IF(ISNUMBER(L54:L250),ROW(L54:L250),"")))</f>
        <v>11.443589743589744</v>
      </c>
      <c r="N54" s="13">
        <f>IF('Données projet'!$A$36&gt;35,N53+M54-V53,IF(A54&lt;'Données projet'!$A$36,$K$205^A54,IF(A54='Données projet'!$A$36,'Données projet'!$B$36,N53+M54-V53)))</f>
        <v>387.56923076923101</v>
      </c>
      <c r="O54" s="13">
        <f>N54*VLOOKUP('Données projet'!$B$9,Paramètres!$A$1:$I$89,3,0)*VLOOKUP('Données projet'!$B$9,Paramètres!$A$1:$I$89,5,0)</f>
        <v>181.3824000000001</v>
      </c>
      <c r="P54" s="13">
        <f t="shared" si="33"/>
        <v>45.629607617375228</v>
      </c>
      <c r="Q54" s="20">
        <f t="shared" si="53"/>
        <v>395.37924660026198</v>
      </c>
      <c r="R54" s="59">
        <f t="shared" si="0"/>
        <v>688.71257993359529</v>
      </c>
      <c r="S54" s="59">
        <f ca="1">AVERAGE(OFFSET($R$3,0,0,'Données projet'!$E$9+1,1))-AVERAGE(OFFSET($H$3,0,0,'Données projet'!$E$9+1,1))</f>
        <v>164.93438869099657</v>
      </c>
      <c r="T54" s="59">
        <f t="shared" si="34"/>
        <v>112.28641356594233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170.16153846153847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0.30800000000000005</v>
      </c>
      <c r="Y54" s="16">
        <f>IF(ISNA(VLOOKUP(A54,'Données projet'!$A$35:$I$55,7,0)),0%,VLOOKUP(A54,'Données projet'!$A$35:$I$55,7,0))</f>
        <v>0.44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32.409547786060251</v>
      </c>
      <c r="AB54" s="21">
        <f>EXP(-LN(2)/2)*AB53+(1-EXP(-LN(2)/2))/(LN(2)/2)*V54*Y54*VLOOKUP('Données projet'!$B$9,Paramètres!$A$1:$I$89,3,0)*0.475*44/12</f>
        <v>39.673039275275386</v>
      </c>
      <c r="AC54" s="22">
        <f t="shared" si="3"/>
        <v>72.08258706133563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273.81843612193632</v>
      </c>
      <c r="AO54" s="59">
        <f t="shared" si="36"/>
        <v>241.86405419073208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20.507692307692299</v>
      </c>
      <c r="BD54" s="12">
        <f>IF('Données projet'!$A$88&gt;35,BD53+BC54-BL53,IF(A54&lt;'Données projet'!$A$88,$BA$205^A54,IF(A54='Données projet'!$A$88,'Données projet'!$B$88,BD53+BC54-BL53)))</f>
        <v>505.27692307692297</v>
      </c>
      <c r="BE54" s="13">
        <f>BD54*VLOOKUP('Données projet'!$B$11,Paramètres!$A$1:$I$89,3,0)*VLOOKUP('Données projet'!$B$11,Paramètres!$A$1:$I$89,5,0)</f>
        <v>282.44979999999998</v>
      </c>
      <c r="BF54" s="13">
        <f t="shared" si="37"/>
        <v>67.484459274997945</v>
      </c>
      <c r="BG54" s="20">
        <f t="shared" si="7"/>
        <v>609.46883490395464</v>
      </c>
      <c r="BH54" s="59">
        <f t="shared" si="8"/>
        <v>902.80216823728802</v>
      </c>
      <c r="BI54" s="59">
        <f ca="1">AVERAGE(OFFSET($BH$3,0,0,'Données projet'!$E$11+1,1))-AVERAGE(OFFSET($H$3,0,0,'Données projet'!$E$11+1,1))</f>
        <v>271.42245454555501</v>
      </c>
      <c r="BJ54" s="59">
        <f t="shared" si="38"/>
        <v>362.63944425429077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73.617549700309539</v>
      </c>
      <c r="BQ54" s="21">
        <f>EXP(-LN(2)/25)*BQ53+(1-EXP(-LN(2)/25))/(LN(2)/25)*Calculateur!BL54*Calculateur!BN54*VLOOKUP('Données projet'!$B$11,Paramètres!$A$1:$I$89,3,0)*0.475*44/12</f>
        <v>22.325335672401774</v>
      </c>
      <c r="BR54" s="21">
        <f>EXP(-LN(2)/2)*BR53+(1-EXP(-LN(2)/2))/(LN(2)/2)*BL54*BO54*VLOOKUP('Données projet'!$B$11,Paramètres!$A$1:$I$89,3,0)*0.475*44/12</f>
        <v>2.7095895536145242</v>
      </c>
      <c r="BS54" s="22">
        <f t="shared" si="9"/>
        <v>98.652474926325837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-5.6843418860808015E-14</v>
      </c>
      <c r="BZ54" s="13">
        <f>BY54*VLOOKUP('Données projet'!$B$12,Paramètres!$A$1:$I$89,3,0)*VLOOKUP('Données projet'!$B$12,Paramètres!$A$1:$I$89,5,0)</f>
        <v>-3.1036506698001178E-14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154.35821558431712</v>
      </c>
      <c r="CE54" s="59">
        <f t="shared" si="40"/>
        <v>263.86720460501306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54.23837079504024</v>
      </c>
      <c r="CL54" s="21">
        <f>EXP(-LN(2)/25)*CL53+(1-EXP(-LN(2)/25))/(LN(2)/25)*Calculateur!CG54*Calculateur!CI54*VLOOKUP('Données projet'!$B$12,Paramètres!$A$1:$I$89,3,0)*0.475*44/12</f>
        <v>110.51424114014333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164.75261193518355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4.8</v>
      </c>
      <c r="CT54" s="12">
        <f>IF('Données projet'!$A$140&gt;35,CT53+CS54-DB53,IF(A54&lt;'Données projet'!$A$140,$CQ$205^A54,IF(A54='Données projet'!$A$140,'Données projet'!$B$140,CT53+CS54-DB53)))</f>
        <v>165.79999999999995</v>
      </c>
      <c r="CU54" s="17">
        <f>CT54*VLOOKUP('Données projet'!$B$13,Paramètres!$A$1:$I$89,3,0)*VLOOKUP('Données projet'!$B$13,Paramètres!$A$1:$I$89,5,0)</f>
        <v>131.91047999999998</v>
      </c>
      <c r="CV54" s="13">
        <f t="shared" si="41"/>
        <v>34.437439635950163</v>
      </c>
      <c r="CW54" s="20">
        <f t="shared" si="13"/>
        <v>289.72262669927983</v>
      </c>
      <c r="CX54" s="59">
        <f t="shared" si="14"/>
        <v>583.05596003261314</v>
      </c>
      <c r="CY54" s="59">
        <f ca="1">AVERAGE(OFFSET($CX$3,0,0,'Données projet'!$E$13+1,1))-AVERAGE(OFFSET($H$3,0,0,'Données projet'!$E$13+1,1))</f>
        <v>157.25319335691853</v>
      </c>
      <c r="CZ54" s="59">
        <f t="shared" si="42"/>
        <v>159.50903492442171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3.0266548671120637</v>
      </c>
      <c r="DG54" s="21">
        <f>EXP(-LN(2)/25)*DG53+(1-EXP(-LN(2)/25))/(LN(2)/25)*Calculateur!DB54*Calculateur!DD54*VLOOKUP('Données projet'!$B$13,Paramètres!$A$1:$I$89,3,0)*0.475*44/12</f>
        <v>9.2935426546160862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12.320197521728151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6.2</v>
      </c>
      <c r="DO54" s="12">
        <f>IF('Données projet'!$A$166&gt;35,DO53+DN54-DW53,IF(A54&lt;'Données projet'!$A$166,$DL$205^A54,IF(A54='Données projet'!$A$166,'Données projet'!$B$166,DO53+DN54-DW53)))</f>
        <v>176.20000000000005</v>
      </c>
      <c r="DP54" s="17">
        <f>DO54*VLOOKUP('Données projet'!$B$14,Paramètres!$A$1:$I$89,3,0)*VLOOKUP('Données projet'!$B$14,Paramètres!$A$1:$I$89,5,0)</f>
        <v>153.92832000000007</v>
      </c>
      <c r="DQ54" s="13">
        <f t="shared" si="43"/>
        <v>39.46996283651783</v>
      </c>
      <c r="DR54" s="20">
        <f t="shared" si="16"/>
        <v>336.83534260693528</v>
      </c>
      <c r="DS54" s="59">
        <f t="shared" si="17"/>
        <v>630.1686759402686</v>
      </c>
      <c r="DT54" s="59">
        <f ca="1">AVERAGE(OFFSET($DS$3,0,0,'Données projet'!$E$14+1,1))-AVERAGE(OFFSET($H$3,0,0,'Données projet'!$E$14+1,1))</f>
        <v>229.5312221178919</v>
      </c>
      <c r="DU54" s="59">
        <f t="shared" si="44"/>
        <v>218.1982095871906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11.583420320986829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11.583420320986829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>
        <f>VLOOKUP(A54,'Données projet'!$A$191:$I$211,2,0)</f>
        <v>145.78846153846152</v>
      </c>
      <c r="EH54" s="12">
        <f>VLOOKUP(A54,'Données projet'!$A$191:$I$211,9,0)</f>
        <v>6.826007326007324</v>
      </c>
      <c r="EI54" s="12">
        <f t="array" ref="EI54">INDEX(EH:EH,MIN(IF(ISNUMBER(EH54:EH250),ROW(EH54:EH250),"")))</f>
        <v>6.826007326007324</v>
      </c>
      <c r="EJ54" s="12">
        <f>IF('Données projet'!$A$192&gt;35,EJ53+EI54-ER53,IF(A54&lt;'Données projet'!$A$192,$EG$205^A54,IF(A54='Données projet'!$A$192,'Données projet'!$B$192,EJ53+EI54-ER53)))</f>
        <v>145.78846153846149</v>
      </c>
      <c r="EK54" s="17">
        <f>EJ54*VLOOKUP('Données projet'!$B$15,Paramètres!$A$1:$I$89,3,0)*VLOOKUP('Données projet'!$B$15,Paramètres!$A$1:$I$89,5,0)</f>
        <v>131.90939999999995</v>
      </c>
      <c r="EL54" s="13">
        <f t="shared" si="45"/>
        <v>34.437190502969557</v>
      </c>
      <c r="EM54" s="20">
        <f t="shared" si="19"/>
        <v>289.72031179267179</v>
      </c>
      <c r="EN54" s="59">
        <f t="shared" si="20"/>
        <v>583.05364512600511</v>
      </c>
      <c r="EO54" s="59">
        <f ca="1">AVERAGE(OFFSET($EN$3,0,0,'Données projet'!$E$15+1,1))-AVERAGE(OFFSET($H$3,0,0,'Données projet'!$E$15+1,1))</f>
        <v>204.39656982394689</v>
      </c>
      <c r="EP54" s="59">
        <f t="shared" si="46"/>
        <v>134.95704640904546</v>
      </c>
      <c r="EQ54" s="15">
        <f>IF(ISNA(VLOOKUP(A54,'Données projet'!$A$191:$I$211,3,0)),0,VLOOKUP(A54,'Données projet'!$A$191:$I$211,3,0))</f>
        <v>2</v>
      </c>
      <c r="ER54" s="15">
        <f>IF(ISNA(VLOOKUP(A54,'Données projet'!$A$191:$I$211,4,0)),0,VLOOKUP(A54,'Données projet'!$A$191:$I$211,4,0))</f>
        <v>37.685897435897431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5.8630104463437798</v>
      </c>
      <c r="FE54" s="12">
        <f>IF('Données projet'!$A$218&gt;35,FE53+FD54-FM53,IF(A54&lt;'Données projet'!$A$218,$FB$205^A54,IF(A54='Données projet'!$A$218,'Données projet'!$B$218,FE53+FD54-FM53)))</f>
        <v>216.91168091168112</v>
      </c>
      <c r="FF54" s="17">
        <f>FE54*VLOOKUP('Données projet'!$B$16,Paramètres!$A$1:$I$89,3,0)*VLOOKUP('Données projet'!$B$16,Paramètres!$A$1:$I$89,5,0)</f>
        <v>186.1102222222224</v>
      </c>
      <c r="FG54" s="13">
        <f t="shared" si="47"/>
        <v>46.678945660343551</v>
      </c>
      <c r="FH54" s="20">
        <f t="shared" si="22"/>
        <v>405.44113406213569</v>
      </c>
      <c r="FI54" s="59">
        <f t="shared" si="23"/>
        <v>698.77446739546895</v>
      </c>
      <c r="FJ54" s="59">
        <f ca="1">AVERAGE(OFFSET($FI$3,0,0,'Données projet'!$E$16+1,1))-AVERAGE(OFFSET($H$3,0,0,'Données projet'!$E$16+1,1))</f>
        <v>199.60585215726968</v>
      </c>
      <c r="FK54" s="59">
        <f t="shared" si="48"/>
        <v>137.37366750114404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0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11.170769230769233</v>
      </c>
      <c r="N55" s="13">
        <f>IF('Données projet'!$A$36&gt;35,N54+M55-V54,IF(A55&lt;'Données projet'!$A$36,$K$205^A55,IF(A55='Données projet'!$A$36,'Données projet'!$B$36,N54+M55-V54)))</f>
        <v>228.57846153846177</v>
      </c>
      <c r="O55" s="13">
        <f>N55*VLOOKUP('Données projet'!$B$9,Paramètres!$A$1:$I$89,3,0)*VLOOKUP('Données projet'!$B$9,Paramètres!$A$1:$I$89,5,0)</f>
        <v>106.9747200000001</v>
      </c>
      <c r="P55" s="13">
        <f t="shared" si="33"/>
        <v>28.617052249308387</v>
      </c>
      <c r="Q55" s="20">
        <f t="shared" si="53"/>
        <v>236.15567000087893</v>
      </c>
      <c r="R55" s="59">
        <f t="shared" si="0"/>
        <v>529.48900333421227</v>
      </c>
      <c r="S55" s="59">
        <f ca="1">AVERAGE(OFFSET($R$3,0,0,'Données projet'!$E$9+1,1))-AVERAGE(OFFSET($H$3,0,0,'Données projet'!$E$9+1,1))</f>
        <v>164.93438869099657</v>
      </c>
      <c r="T55" s="59">
        <f t="shared" si="34"/>
        <v>112.28641356594233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31.523306997506388</v>
      </c>
      <c r="AB55" s="21">
        <f>EXP(-LN(2)/2)*AB54+(1-EXP(-LN(2)/2))/(LN(2)/2)*V55*Y55*VLOOKUP('Données projet'!$B$9,Paramètres!$A$1:$I$89,3,0)*0.475*44/12</f>
        <v>28.05307510182746</v>
      </c>
      <c r="AC55" s="22">
        <f t="shared" si="3"/>
        <v>59.576382099333848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273.81843612193632</v>
      </c>
      <c r="AO55" s="59">
        <f t="shared" si="36"/>
        <v>241.86405419073208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20.507692307692299</v>
      </c>
      <c r="BD55" s="12">
        <f>IF('Données projet'!$A$88&gt;35,BD54+BC55-BL54,IF(A55&lt;'Données projet'!$A$88,$BA$205^A55,IF(A55='Données projet'!$A$88,'Données projet'!$B$88,BD54+BC55-BL54)))</f>
        <v>525.78461538461522</v>
      </c>
      <c r="BE55" s="13">
        <f>BD55*VLOOKUP('Données projet'!$B$11,Paramètres!$A$1:$I$89,3,0)*VLOOKUP('Données projet'!$B$11,Paramètres!$A$1:$I$89,5,0)</f>
        <v>293.91359999999992</v>
      </c>
      <c r="BF55" s="13">
        <f t="shared" si="37"/>
        <v>69.899002171586702</v>
      </c>
      <c r="BG55" s="20">
        <f t="shared" si="7"/>
        <v>633.64028211551329</v>
      </c>
      <c r="BH55" s="59">
        <f t="shared" si="8"/>
        <v>926.97361544884666</v>
      </c>
      <c r="BI55" s="59">
        <f ca="1">AVERAGE(OFFSET($BH$3,0,0,'Données projet'!$E$11+1,1))-AVERAGE(OFFSET($H$3,0,0,'Données projet'!$E$11+1,1))</f>
        <v>271.42245454555501</v>
      </c>
      <c r="BJ55" s="59">
        <f t="shared" si="38"/>
        <v>362.63944425429077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72.173954452958057</v>
      </c>
      <c r="BQ55" s="21">
        <f>EXP(-LN(2)/25)*BQ54+(1-EXP(-LN(2)/25))/(LN(2)/25)*Calculateur!BL55*Calculateur!BN55*VLOOKUP('Données projet'!$B$11,Paramètres!$A$1:$I$89,3,0)*0.475*44/12</f>
        <v>21.714848194401569</v>
      </c>
      <c r="BR55" s="21">
        <f>EXP(-LN(2)/2)*BR54+(1-EXP(-LN(2)/2))/(LN(2)/2)*BL55*BO55*VLOOKUP('Données projet'!$B$11,Paramètres!$A$1:$I$89,3,0)*0.475*44/12</f>
        <v>1.9159691475930605</v>
      </c>
      <c r="BS55" s="22">
        <f t="shared" si="9"/>
        <v>95.804771794952686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-5.6843418860808015E-14</v>
      </c>
      <c r="BZ55" s="13">
        <f>BY55*VLOOKUP('Données projet'!$B$12,Paramètres!$A$1:$I$89,3,0)*VLOOKUP('Données projet'!$B$12,Paramètres!$A$1:$I$89,5,0)</f>
        <v>-3.1036506698001178E-14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154.35821558431712</v>
      </c>
      <c r="CE55" s="59">
        <f t="shared" si="40"/>
        <v>263.86720460501306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53.174789425889095</v>
      </c>
      <c r="CL55" s="21">
        <f>EXP(-LN(2)/25)*CL54+(1-EXP(-LN(2)/25))/(LN(2)/25)*Calculateur!CG55*Calculateur!CI55*VLOOKUP('Données projet'!$B$12,Paramètres!$A$1:$I$89,3,0)*0.475*44/12</f>
        <v>107.49222340447474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160.66701283036383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4.8</v>
      </c>
      <c r="CT55" s="12">
        <f>IF('Données projet'!$A$140&gt;35,CT54+CS55-DB54,IF(A55&lt;'Données projet'!$A$140,$CQ$205^A55,IF(A55='Données projet'!$A$140,'Données projet'!$B$140,CT54+CS55-DB54)))</f>
        <v>170.59999999999997</v>
      </c>
      <c r="CU55" s="17">
        <f>CT55*VLOOKUP('Données projet'!$B$13,Paramètres!$A$1:$I$89,3,0)*VLOOKUP('Données projet'!$B$13,Paramètres!$A$1:$I$89,5,0)</f>
        <v>135.72935999999999</v>
      </c>
      <c r="CV55" s="13">
        <f t="shared" si="41"/>
        <v>35.316904881686277</v>
      </c>
      <c r="CW55" s="20">
        <f t="shared" si="13"/>
        <v>297.9055780022702</v>
      </c>
      <c r="CX55" s="59">
        <f t="shared" si="14"/>
        <v>591.23891133560346</v>
      </c>
      <c r="CY55" s="59">
        <f ca="1">AVERAGE(OFFSET($CX$3,0,0,'Données projet'!$E$13+1,1))-AVERAGE(OFFSET($H$3,0,0,'Données projet'!$E$13+1,1))</f>
        <v>157.25319335691853</v>
      </c>
      <c r="CZ55" s="59">
        <f t="shared" si="42"/>
        <v>159.50903492442171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2.9673040112451798</v>
      </c>
      <c r="DG55" s="21">
        <f>EXP(-LN(2)/25)*DG54+(1-EXP(-LN(2)/25))/(LN(2)/25)*Calculateur!DB55*Calculateur!DD55*VLOOKUP('Données projet'!$B$13,Paramètres!$A$1:$I$89,3,0)*0.475*44/12</f>
        <v>9.0394102419994411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12.00671425324462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6.2</v>
      </c>
      <c r="DO55" s="12">
        <f>IF('Données projet'!$A$166&gt;35,DO54+DN55-DW54,IF(A55&lt;'Données projet'!$A$166,$DL$205^A55,IF(A55='Données projet'!$A$166,'Données projet'!$B$166,DO54+DN55-DW54)))</f>
        <v>182.40000000000003</v>
      </c>
      <c r="DP55" s="17">
        <f>DO55*VLOOKUP('Données projet'!$B$14,Paramètres!$A$1:$I$89,3,0)*VLOOKUP('Données projet'!$B$14,Paramètres!$A$1:$I$89,5,0)</f>
        <v>159.34464000000006</v>
      </c>
      <c r="DQ55" s="13">
        <f t="shared" si="43"/>
        <v>40.694661837553809</v>
      </c>
      <c r="DR55" s="20">
        <f t="shared" si="16"/>
        <v>348.40178403373966</v>
      </c>
      <c r="DS55" s="59">
        <f t="shared" si="17"/>
        <v>641.73511736707292</v>
      </c>
      <c r="DT55" s="59">
        <f ca="1">AVERAGE(OFFSET($DS$3,0,0,'Données projet'!$E$14+1,1))-AVERAGE(OFFSET($H$3,0,0,'Données projet'!$E$14+1,1))</f>
        <v>229.5312221178919</v>
      </c>
      <c r="DU55" s="59">
        <f t="shared" si="44"/>
        <v>218.1982095871906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11.266671083163843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11.266671083163843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6.3942307692307701</v>
      </c>
      <c r="EJ55" s="12">
        <f>IF('Données projet'!$A$192&gt;35,EJ54+EI55-ER54,IF(A55&lt;'Données projet'!$A$192,$EG$205^A55,IF(A55='Données projet'!$A$192,'Données projet'!$B$192,EJ54+EI55-ER54)))</f>
        <v>114.49679487179483</v>
      </c>
      <c r="EK55" s="17">
        <f>EJ55*VLOOKUP('Données projet'!$B$15,Paramètres!$A$1:$I$89,3,0)*VLOOKUP('Données projet'!$B$15,Paramètres!$A$1:$I$89,5,0)</f>
        <v>103.59669999999997</v>
      </c>
      <c r="EL55" s="13">
        <f t="shared" si="45"/>
        <v>27.817091630299288</v>
      </c>
      <c r="EM55" s="20">
        <f t="shared" si="19"/>
        <v>228.87902042277122</v>
      </c>
      <c r="EN55" s="59">
        <f t="shared" si="20"/>
        <v>522.21235375610456</v>
      </c>
      <c r="EO55" s="59">
        <f ca="1">AVERAGE(OFFSET($EN$3,0,0,'Données projet'!$E$15+1,1))-AVERAGE(OFFSET($H$3,0,0,'Données projet'!$E$15+1,1))</f>
        <v>204.39656982394689</v>
      </c>
      <c r="EP55" s="59">
        <f t="shared" si="46"/>
        <v>134.95704640904546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5.8630104463437798</v>
      </c>
      <c r="FE55" s="12">
        <f>IF('Données projet'!$A$218&gt;35,FE54+FD55-FM54,IF(A55&lt;'Données projet'!$A$218,$FB$205^A55,IF(A55='Données projet'!$A$218,'Données projet'!$B$218,FE54+FD55-FM54)))</f>
        <v>222.77469135802491</v>
      </c>
      <c r="FF55" s="17">
        <f>FE55*VLOOKUP('Données projet'!$B$16,Paramètres!$A$1:$I$89,3,0)*VLOOKUP('Données projet'!$B$16,Paramètres!$A$1:$I$89,5,0)</f>
        <v>191.14068518518539</v>
      </c>
      <c r="FG55" s="13">
        <f t="shared" si="47"/>
        <v>47.792054228790619</v>
      </c>
      <c r="FH55" s="20">
        <f t="shared" si="22"/>
        <v>416.14118781267484</v>
      </c>
      <c r="FI55" s="59">
        <f t="shared" si="23"/>
        <v>709.4745211460081</v>
      </c>
      <c r="FJ55" s="59">
        <f ca="1">AVERAGE(OFFSET($FI$3,0,0,'Données projet'!$E$16+1,1))-AVERAGE(OFFSET($H$3,0,0,'Données projet'!$E$16+1,1))</f>
        <v>199.60585215726968</v>
      </c>
      <c r="FK55" s="59">
        <f t="shared" si="48"/>
        <v>137.37366750114404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0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11.170769230769233</v>
      </c>
      <c r="N56" s="13">
        <f>IF('Données projet'!$A$36&gt;35,N55+M56-V55,IF(A56&lt;'Données projet'!$A$36,$K$205^A56,IF(A56='Données projet'!$A$36,'Données projet'!$B$36,N55+M56-V55)))</f>
        <v>239.74923076923099</v>
      </c>
      <c r="O56" s="13">
        <f>N56*VLOOKUP('Données projet'!$B$9,Paramètres!$A$1:$I$89,3,0)*VLOOKUP('Données projet'!$B$9,Paramètres!$A$1:$I$89,5,0)</f>
        <v>112.2026400000001</v>
      </c>
      <c r="P56" s="13">
        <f t="shared" si="33"/>
        <v>29.84934340268536</v>
      </c>
      <c r="Q56" s="20">
        <f t="shared" si="53"/>
        <v>247.40720442634384</v>
      </c>
      <c r="R56" s="59">
        <f t="shared" si="0"/>
        <v>540.74053775967718</v>
      </c>
      <c r="S56" s="59">
        <f ca="1">AVERAGE(OFFSET($R$3,0,0,'Données projet'!$E$9+1,1))-AVERAGE(OFFSET($H$3,0,0,'Données projet'!$E$9+1,1))</f>
        <v>164.93438869099657</v>
      </c>
      <c r="T56" s="59">
        <f t="shared" si="34"/>
        <v>112.28641356594233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30.66130050992091</v>
      </c>
      <c r="AB56" s="21">
        <f>EXP(-LN(2)/2)*AB55+(1-EXP(-LN(2)/2))/(LN(2)/2)*V56*Y56*VLOOKUP('Données projet'!$B$9,Paramètres!$A$1:$I$89,3,0)*0.475*44/12</f>
        <v>19.836519637637696</v>
      </c>
      <c r="AC56" s="22">
        <f t="shared" si="3"/>
        <v>50.497820147558606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273.81843612193632</v>
      </c>
      <c r="AO56" s="59">
        <f t="shared" si="36"/>
        <v>241.86405419073208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20.507692307692299</v>
      </c>
      <c r="BD56" s="12">
        <f>IF('Données projet'!$A$88&gt;35,BD55+BC56-BL55,IF(A56&lt;'Données projet'!$A$88,$BA$205^A56,IF(A56='Données projet'!$A$88,'Données projet'!$B$88,BD55+BC56-BL55)))</f>
        <v>546.29230769230753</v>
      </c>
      <c r="BE56" s="13">
        <f>BD56*VLOOKUP('Données projet'!$B$11,Paramètres!$A$1:$I$89,3,0)*VLOOKUP('Données projet'!$B$11,Paramètres!$A$1:$I$89,5,0)</f>
        <v>305.37739999999991</v>
      </c>
      <c r="BF56" s="13">
        <f t="shared" si="37"/>
        <v>72.302604807906476</v>
      </c>
      <c r="BG56" s="20">
        <f t="shared" si="7"/>
        <v>657.79267504043685</v>
      </c>
      <c r="BH56" s="59">
        <f t="shared" si="8"/>
        <v>951.12600837377022</v>
      </c>
      <c r="BI56" s="59">
        <f ca="1">AVERAGE(OFFSET($BH$3,0,0,'Données projet'!$E$11+1,1))-AVERAGE(OFFSET($H$3,0,0,'Données projet'!$E$11+1,1))</f>
        <v>271.42245454555501</v>
      </c>
      <c r="BJ56" s="59">
        <f t="shared" si="38"/>
        <v>362.63944425429077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70.758667227900972</v>
      </c>
      <c r="BQ56" s="21">
        <f>EXP(-LN(2)/25)*BQ55+(1-EXP(-LN(2)/25))/(LN(2)/25)*Calculateur!BL56*Calculateur!BN56*VLOOKUP('Données projet'!$B$11,Paramètres!$A$1:$I$89,3,0)*0.475*44/12</f>
        <v>21.121054528591422</v>
      </c>
      <c r="BR56" s="21">
        <f>EXP(-LN(2)/2)*BR55+(1-EXP(-LN(2)/2))/(LN(2)/2)*BL56*BO56*VLOOKUP('Données projet'!$B$11,Paramètres!$A$1:$I$89,3,0)*0.475*44/12</f>
        <v>1.3547947768072623</v>
      </c>
      <c r="BS56" s="22">
        <f t="shared" si="9"/>
        <v>93.234516533299654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-5.6843418860808015E-14</v>
      </c>
      <c r="BZ56" s="13">
        <f>BY56*VLOOKUP('Données projet'!$B$12,Paramètres!$A$1:$I$89,3,0)*VLOOKUP('Données projet'!$B$12,Paramètres!$A$1:$I$89,5,0)</f>
        <v>-3.1036506698001178E-14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154.35821558431712</v>
      </c>
      <c r="CE56" s="59">
        <f t="shared" si="40"/>
        <v>263.86720460501306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52.132064238666423</v>
      </c>
      <c r="CL56" s="21">
        <f>EXP(-LN(2)/25)*CL55+(1-EXP(-LN(2)/25))/(LN(2)/25)*Calculateur!CG56*Calculateur!CI56*VLOOKUP('Données projet'!$B$12,Paramètres!$A$1:$I$89,3,0)*0.475*44/12</f>
        <v>104.55284290270903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156.68490714137545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4.8</v>
      </c>
      <c r="CT56" s="12">
        <f>IF('Données projet'!$A$140&gt;35,CT55+CS56-DB55,IF(A56&lt;'Données projet'!$A$140,$CQ$205^A56,IF(A56='Données projet'!$A$140,'Données projet'!$B$140,CT55+CS56-DB55)))</f>
        <v>175.39999999999998</v>
      </c>
      <c r="CU56" s="17">
        <f>CT56*VLOOKUP('Données projet'!$B$13,Paramètres!$A$1:$I$89,3,0)*VLOOKUP('Données projet'!$B$13,Paramètres!$A$1:$I$89,5,0)</f>
        <v>139.54823999999999</v>
      </c>
      <c r="CV56" s="13">
        <f t="shared" si="41"/>
        <v>36.193494163358288</v>
      </c>
      <c r="CW56" s="20">
        <f t="shared" si="13"/>
        <v>306.08352033451564</v>
      </c>
      <c r="CX56" s="59">
        <f t="shared" si="14"/>
        <v>599.41685366784895</v>
      </c>
      <c r="CY56" s="59">
        <f ca="1">AVERAGE(OFFSET($CX$3,0,0,'Données projet'!$E$13+1,1))-AVERAGE(OFFSET($H$3,0,0,'Données projet'!$E$13+1,1))</f>
        <v>157.25319335691853</v>
      </c>
      <c r="CZ56" s="59">
        <f t="shared" si="42"/>
        <v>159.50903492442171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2.9091169894613982</v>
      </c>
      <c r="DG56" s="21">
        <f>EXP(-LN(2)/25)*DG55+(1-EXP(-LN(2)/25))/(LN(2)/25)*Calculateur!DB56*Calculateur!DD56*VLOOKUP('Données projet'!$B$13,Paramètres!$A$1:$I$89,3,0)*0.475*44/12</f>
        <v>8.7922270935700411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11.70134408303144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6.2</v>
      </c>
      <c r="DO56" s="12">
        <f>IF('Données projet'!$A$166&gt;35,DO55+DN56-DW55,IF(A56&lt;'Données projet'!$A$166,$DL$205^A56,IF(A56='Données projet'!$A$166,'Données projet'!$B$166,DO55+DN56-DW55)))</f>
        <v>188.60000000000002</v>
      </c>
      <c r="DP56" s="17">
        <f>DO56*VLOOKUP('Données projet'!$B$14,Paramètres!$A$1:$I$89,3,0)*VLOOKUP('Données projet'!$B$14,Paramètres!$A$1:$I$89,5,0)</f>
        <v>164.76096000000004</v>
      </c>
      <c r="DQ56" s="13">
        <f t="shared" si="43"/>
        <v>41.914523809719945</v>
      </c>
      <c r="DR56" s="20">
        <f t="shared" si="16"/>
        <v>359.95980096859563</v>
      </c>
      <c r="DS56" s="59">
        <f t="shared" si="17"/>
        <v>653.29313430192894</v>
      </c>
      <c r="DT56" s="59">
        <f ca="1">AVERAGE(OFFSET($DS$3,0,0,'Données projet'!$E$14+1,1))-AVERAGE(OFFSET($H$3,0,0,'Données projet'!$E$14+1,1))</f>
        <v>229.5312221178919</v>
      </c>
      <c r="DU56" s="59">
        <f t="shared" si="44"/>
        <v>218.1982095871906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10.958583369906245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10.958583369906245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6.3942307692307701</v>
      </c>
      <c r="EJ56" s="12">
        <f>IF('Données projet'!$A$192&gt;35,EJ55+EI56-ER55,IF(A56&lt;'Données projet'!$A$192,$EG$205^A56,IF(A56='Données projet'!$A$192,'Données projet'!$B$192,EJ55+EI56-ER55)))</f>
        <v>120.89102564102561</v>
      </c>
      <c r="EK56" s="17">
        <f>EJ56*VLOOKUP('Données projet'!$B$15,Paramètres!$A$1:$I$89,3,0)*VLOOKUP('Données projet'!$B$15,Paramètres!$A$1:$I$89,5,0)</f>
        <v>109.38219999999997</v>
      </c>
      <c r="EL56" s="13">
        <f t="shared" si="45"/>
        <v>29.185378395108014</v>
      </c>
      <c r="EM56" s="20">
        <f t="shared" si="19"/>
        <v>241.33853237147972</v>
      </c>
      <c r="EN56" s="59">
        <f t="shared" si="20"/>
        <v>534.67186570481306</v>
      </c>
      <c r="EO56" s="59">
        <f ca="1">AVERAGE(OFFSET($EN$3,0,0,'Données projet'!$E$15+1,1))-AVERAGE(OFFSET($H$3,0,0,'Données projet'!$E$15+1,1))</f>
        <v>204.39656982394689</v>
      </c>
      <c r="EP56" s="59">
        <f t="shared" si="46"/>
        <v>134.95704640904546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5.8630104463437798</v>
      </c>
      <c r="FE56" s="12">
        <f>IF('Données projet'!$A$218&gt;35,FE55+FD56-FM55,IF(A56&lt;'Données projet'!$A$218,$FB$205^A56,IF(A56='Données projet'!$A$218,'Données projet'!$B$218,FE55+FD56-FM55)))</f>
        <v>228.6377018043687</v>
      </c>
      <c r="FF56" s="17">
        <f>FE56*VLOOKUP('Données projet'!$B$16,Paramètres!$A$1:$I$89,3,0)*VLOOKUP('Données projet'!$B$16,Paramètres!$A$1:$I$89,5,0)</f>
        <v>196.17114814814838</v>
      </c>
      <c r="FG56" s="13">
        <f t="shared" si="47"/>
        <v>48.901757670646425</v>
      </c>
      <c r="FH56" s="20">
        <f t="shared" si="22"/>
        <v>426.8353109677343</v>
      </c>
      <c r="FI56" s="59">
        <f t="shared" si="23"/>
        <v>720.16864430106762</v>
      </c>
      <c r="FJ56" s="59">
        <f ca="1">AVERAGE(OFFSET($FI$3,0,0,'Données projet'!$E$16+1,1))-AVERAGE(OFFSET($H$3,0,0,'Données projet'!$E$16+1,1))</f>
        <v>199.60585215726968</v>
      </c>
      <c r="FK56" s="59">
        <f t="shared" si="48"/>
        <v>137.37366750114404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0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11.170769230769233</v>
      </c>
      <c r="N57" s="13">
        <f>IF('Données projet'!$A$36&gt;35,N56+M57-V56,IF(A57&lt;'Données projet'!$A$36,$K$205^A57,IF(A57='Données projet'!$A$36,'Données projet'!$B$36,N56+M57-V56)))</f>
        <v>250.92000000000021</v>
      </c>
      <c r="O57" s="13">
        <f>N57*VLOOKUP('Données projet'!$B$9,Paramètres!$A$1:$I$89,3,0)*VLOOKUP('Données projet'!$B$9,Paramètres!$A$1:$I$89,5,0)</f>
        <v>117.43056000000011</v>
      </c>
      <c r="P57" s="13">
        <f t="shared" si="33"/>
        <v>31.074966780724139</v>
      </c>
      <c r="Q57" s="20">
        <f t="shared" si="53"/>
        <v>258.64712580976141</v>
      </c>
      <c r="R57" s="59">
        <f t="shared" si="0"/>
        <v>551.98045914309478</v>
      </c>
      <c r="S57" s="59">
        <f ca="1">AVERAGE(OFFSET($R$3,0,0,'Données projet'!$E$9+1,1))-AVERAGE(OFFSET($H$3,0,0,'Données projet'!$E$9+1,1))</f>
        <v>164.93438869099657</v>
      </c>
      <c r="T57" s="59">
        <f t="shared" si="34"/>
        <v>112.28641356594233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29.822865635069405</v>
      </c>
      <c r="AB57" s="21">
        <f>EXP(-LN(2)/2)*AB56+(1-EXP(-LN(2)/2))/(LN(2)/2)*V57*Y57*VLOOKUP('Données projet'!$B$9,Paramètres!$A$1:$I$89,3,0)*0.475*44/12</f>
        <v>14.026537550913732</v>
      </c>
      <c r="AC57" s="22">
        <f t="shared" si="3"/>
        <v>43.849403185983135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273.81843612193632</v>
      </c>
      <c r="AO57" s="59">
        <f t="shared" si="36"/>
        <v>241.86405419073208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566.79999999999995</v>
      </c>
      <c r="BB57" s="12">
        <f>VLOOKUP(A57,'Données projet'!$A$87:$I$107,9,0)</f>
        <v>20.507692307692299</v>
      </c>
      <c r="BC57" s="12">
        <f t="array" ref="BC57">INDEX(BB:BB,MIN(IF(ISNUMBER(BB57:BB253),ROW(BB57:BB253),"")))</f>
        <v>20.507692307692299</v>
      </c>
      <c r="BD57" s="12">
        <f>IF('Données projet'!$A$88&gt;35,BD56+BC57-BL56,IF(A57&lt;'Données projet'!$A$88,$BA$205^A57,IF(A57='Données projet'!$A$88,'Données projet'!$B$88,BD56+BC57-BL56)))</f>
        <v>566.79999999999984</v>
      </c>
      <c r="BE57" s="13">
        <f>BD57*VLOOKUP('Données projet'!$B$11,Paramètres!$A$1:$I$89,3,0)*VLOOKUP('Données projet'!$B$11,Paramètres!$A$1:$I$89,5,0)</f>
        <v>316.8411999999999</v>
      </c>
      <c r="BF57" s="13">
        <f t="shared" si="37"/>
        <v>74.695724902330795</v>
      </c>
      <c r="BG57" s="20">
        <f t="shared" si="7"/>
        <v>681.92681087155927</v>
      </c>
      <c r="BH57" s="59">
        <f t="shared" si="8"/>
        <v>975.26014420489264</v>
      </c>
      <c r="BI57" s="59">
        <f ca="1">AVERAGE(OFFSET($BH$3,0,0,'Données projet'!$E$11+1,1))-AVERAGE(OFFSET($H$3,0,0,'Données projet'!$E$11+1,1))</f>
        <v>271.42245454555501</v>
      </c>
      <c r="BJ57" s="59">
        <f t="shared" si="38"/>
        <v>362.63944425429077</v>
      </c>
      <c r="BK57" s="15">
        <f>IF(ISNA(VLOOKUP(A57,'Données projet'!$A$87:$I$107,3,0)),0,VLOOKUP(A57,'Données projet'!$A$87:$I$107,3,0))</f>
        <v>7</v>
      </c>
      <c r="BL57" s="15">
        <f>IF(ISNA(VLOOKUP(A57,'Données projet'!$A$87:$I$107,4,0)),0,VLOOKUP(A57,'Données projet'!$A$87:$I$107,4,0))</f>
        <v>566.79999999999995</v>
      </c>
      <c r="BM57" s="16">
        <f>IF(ISNA(VLOOKUP(A57,'Données projet'!$A$87:$I$107,5,0)),0%,VLOOKUP(A57,'Données projet'!$A$87:$I$107,5,0)*VLOOKUP('Données projet'!$B$11,Paramètres!$A$1:$I$89,7,0))</f>
        <v>0.38500000000000001</v>
      </c>
      <c r="BN57" s="16">
        <f>IF(ISNA(VLOOKUP(A57,'Données projet'!$A$87:$I$107,6,0)),0%,VLOOKUP(A57,'Données projet'!$A$87:$I$107,6,0)*VLOOKUP('Données projet'!$B$11,Paramètres!$A$1:$I$89,7,0))</f>
        <v>9.240000000000001E-2</v>
      </c>
      <c r="BO57" s="16">
        <f>IF(ISNA(VLOOKUP(A57,'Données projet'!$A$87:$I$107,7,0)),0%,VLOOKUP(A57,'Données projet'!$A$87:$I$107,7,0))</f>
        <v>0.13200000000000001</v>
      </c>
      <c r="BP57" s="21">
        <f>EXP(-LN(2)/35)*BP56+(1-EXP(-LN(2)/35))/(LN(2)/35)*BL57*BM57*VLOOKUP('Données projet'!$B$11,Paramètres!$A$1:$I$89,3,0)*0.475*44/12</f>
        <v>231.19058838852931</v>
      </c>
      <c r="BQ57" s="21">
        <f>EXP(-LN(2)/25)*BQ56+(1-EXP(-LN(2)/25))/(LN(2)/25)*Calculateur!BL57*Calculateur!BN57*VLOOKUP('Données projet'!$B$11,Paramètres!$A$1:$I$89,3,0)*0.475*44/12</f>
        <v>59.227252728732921</v>
      </c>
      <c r="BR57" s="21">
        <f>EXP(-LN(2)/2)*BR56+(1-EXP(-LN(2)/2))/(LN(2)/2)*BL57*BO57*VLOOKUP('Données projet'!$B$11,Paramètres!$A$1:$I$89,3,0)*0.475*44/12</f>
        <v>48.311379430966142</v>
      </c>
      <c r="BS57" s="22">
        <f t="shared" si="9"/>
        <v>338.7292205482284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-5.6843418860808015E-14</v>
      </c>
      <c r="BZ57" s="13">
        <f>BY57*VLOOKUP('Données projet'!$B$12,Paramètres!$A$1:$I$89,3,0)*VLOOKUP('Données projet'!$B$12,Paramètres!$A$1:$I$89,5,0)</f>
        <v>-3.1036506698001178E-14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154.35821558431712</v>
      </c>
      <c r="CE57" s="59">
        <f t="shared" si="40"/>
        <v>263.86720460501306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51.109786256365624</v>
      </c>
      <c r="CL57" s="21">
        <f>EXP(-LN(2)/25)*CL56+(1-EXP(-LN(2)/25))/(LN(2)/25)*Calculateur!CG57*Calculateur!CI57*VLOOKUP('Données projet'!$B$12,Paramètres!$A$1:$I$89,3,0)*0.475*44/12</f>
        <v>101.69383991533941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152.80362617170505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4.8</v>
      </c>
      <c r="CT57" s="12">
        <f>IF('Données projet'!$A$140&gt;35,CT56+CS57-DB56,IF(A57&lt;'Données projet'!$A$140,$CQ$205^A57,IF(A57='Données projet'!$A$140,'Données projet'!$B$140,CT56+CS57-DB56)))</f>
        <v>180.2</v>
      </c>
      <c r="CU57" s="17">
        <f>CT57*VLOOKUP('Données projet'!$B$13,Paramètres!$A$1:$I$89,3,0)*VLOOKUP('Données projet'!$B$13,Paramètres!$A$1:$I$89,5,0)</f>
        <v>143.36712</v>
      </c>
      <c r="CV57" s="13">
        <f t="shared" si="41"/>
        <v>37.067295228155103</v>
      </c>
      <c r="CW57" s="20">
        <f t="shared" si="13"/>
        <v>314.25660652237013</v>
      </c>
      <c r="CX57" s="59">
        <f t="shared" si="14"/>
        <v>607.58993985570351</v>
      </c>
      <c r="CY57" s="59">
        <f ca="1">AVERAGE(OFFSET($CX$3,0,0,'Données projet'!$E$13+1,1))-AVERAGE(OFFSET($H$3,0,0,'Données projet'!$E$13+1,1))</f>
        <v>157.25319335691853</v>
      </c>
      <c r="CZ57" s="59">
        <f t="shared" si="42"/>
        <v>159.50903492442171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2.8520709796842176</v>
      </c>
      <c r="DG57" s="21">
        <f>EXP(-LN(2)/25)*DG56+(1-EXP(-LN(2)/25))/(LN(2)/25)*Calculateur!DB57*Calculateur!DD57*VLOOKUP('Données projet'!$B$13,Paramètres!$A$1:$I$89,3,0)*0.475*44/12</f>
        <v>8.5518031813332396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11.403874161017457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6.2</v>
      </c>
      <c r="DO57" s="12">
        <f>IF('Données projet'!$A$166&gt;35,DO56+DN57-DW56,IF(A57&lt;'Données projet'!$A$166,$DL$205^A57,IF(A57='Données projet'!$A$166,'Données projet'!$B$166,DO56+DN57-DW56)))</f>
        <v>194.8</v>
      </c>
      <c r="DP57" s="17">
        <f>DO57*VLOOKUP('Données projet'!$B$14,Paramètres!$A$1:$I$89,3,0)*VLOOKUP('Données projet'!$B$14,Paramètres!$A$1:$I$89,5,0)</f>
        <v>170.17728000000005</v>
      </c>
      <c r="DQ57" s="13">
        <f t="shared" si="43"/>
        <v>43.129725999134671</v>
      </c>
      <c r="DR57" s="20">
        <f t="shared" si="16"/>
        <v>371.50970211515966</v>
      </c>
      <c r="DS57" s="59">
        <f t="shared" si="17"/>
        <v>664.84303544849297</v>
      </c>
      <c r="DT57" s="59">
        <f ca="1">AVERAGE(OFFSET($DS$3,0,0,'Données projet'!$E$14+1,1))-AVERAGE(OFFSET($H$3,0,0,'Données projet'!$E$14+1,1))</f>
        <v>229.5312221178919</v>
      </c>
      <c r="DU57" s="59">
        <f t="shared" si="44"/>
        <v>218.1982095871906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10.658920331369306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10.658920331369306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6.3942307692307701</v>
      </c>
      <c r="EJ57" s="12">
        <f>IF('Données projet'!$A$192&gt;35,EJ56+EI57-ER56,IF(A57&lt;'Données projet'!$A$192,$EG$205^A57,IF(A57='Données projet'!$A$192,'Données projet'!$B$192,EJ56+EI57-ER56)))</f>
        <v>127.28525641025638</v>
      </c>
      <c r="EK57" s="17">
        <f>EJ57*VLOOKUP('Données projet'!$B$15,Paramètres!$A$1:$I$89,3,0)*VLOOKUP('Données projet'!$B$15,Paramètres!$A$1:$I$89,5,0)</f>
        <v>115.16769999999995</v>
      </c>
      <c r="EL57" s="13">
        <f t="shared" si="45"/>
        <v>30.545262787038261</v>
      </c>
      <c r="EM57" s="20">
        <f t="shared" si="19"/>
        <v>253.78341018742489</v>
      </c>
      <c r="EN57" s="59">
        <f t="shared" si="20"/>
        <v>547.11674352075818</v>
      </c>
      <c r="EO57" s="59">
        <f ca="1">AVERAGE(OFFSET($EN$3,0,0,'Données projet'!$E$15+1,1))-AVERAGE(OFFSET($H$3,0,0,'Données projet'!$E$15+1,1))</f>
        <v>204.39656982394689</v>
      </c>
      <c r="EP57" s="59">
        <f t="shared" si="46"/>
        <v>134.95704640904546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5.8630104463437798</v>
      </c>
      <c r="FE57" s="12">
        <f>IF('Données projet'!$A$218&gt;35,FE56+FD57-FM56,IF(A57&lt;'Données projet'!$A$218,$FB$205^A57,IF(A57='Données projet'!$A$218,'Données projet'!$B$218,FE56+FD57-FM56)))</f>
        <v>234.5007122507125</v>
      </c>
      <c r="FF57" s="17">
        <f>FE57*VLOOKUP('Données projet'!$B$16,Paramètres!$A$1:$I$89,3,0)*VLOOKUP('Données projet'!$B$16,Paramètres!$A$1:$I$89,5,0)</f>
        <v>201.20161111111136</v>
      </c>
      <c r="FG57" s="13">
        <f t="shared" si="47"/>
        <v>50.008153344494211</v>
      </c>
      <c r="FH57" s="20">
        <f t="shared" si="22"/>
        <v>437.52367309351303</v>
      </c>
      <c r="FI57" s="59">
        <f t="shared" si="23"/>
        <v>730.85700642684628</v>
      </c>
      <c r="FJ57" s="59">
        <f ca="1">AVERAGE(OFFSET($FI$3,0,0,'Données projet'!$E$16+1,1))-AVERAGE(OFFSET($H$3,0,0,'Données projet'!$E$16+1,1))</f>
        <v>199.60585215726968</v>
      </c>
      <c r="FK57" s="59">
        <f t="shared" si="48"/>
        <v>137.37366750114404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0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11.170769230769233</v>
      </c>
      <c r="N58" s="13">
        <f>IF('Données projet'!$A$36&gt;35,N57+M58-V57,IF(A58&lt;'Données projet'!$A$36,$K$205^A58,IF(A58='Données projet'!$A$36,'Données projet'!$B$36,N57+M58-V57)))</f>
        <v>262.09076923076947</v>
      </c>
      <c r="O58" s="13">
        <f>N58*VLOOKUP('Données projet'!$B$9,Paramètres!$A$1:$I$89,3,0)*VLOOKUP('Données projet'!$B$9,Paramètres!$A$1:$I$89,5,0)</f>
        <v>122.6584800000001</v>
      </c>
      <c r="P58" s="13">
        <f t="shared" si="33"/>
        <v>32.294253146422101</v>
      </c>
      <c r="Q58" s="20">
        <f t="shared" si="53"/>
        <v>269.87601023001861</v>
      </c>
      <c r="R58" s="59">
        <f t="shared" si="0"/>
        <v>563.20934356335192</v>
      </c>
      <c r="S58" s="59">
        <f ca="1">AVERAGE(OFFSET($R$3,0,0,'Données projet'!$E$9+1,1))-AVERAGE(OFFSET($H$3,0,0,'Données projet'!$E$9+1,1))</f>
        <v>164.93438869099657</v>
      </c>
      <c r="T58" s="59">
        <f t="shared" si="34"/>
        <v>112.28641356594233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29.007357805962091</v>
      </c>
      <c r="AB58" s="21">
        <f>EXP(-LN(2)/2)*AB57+(1-EXP(-LN(2)/2))/(LN(2)/2)*V58*Y58*VLOOKUP('Données projet'!$B$9,Paramètres!$A$1:$I$89,3,0)*0.475*44/12</f>
        <v>9.9182598188188482</v>
      </c>
      <c r="AC58" s="22">
        <f t="shared" si="3"/>
        <v>38.925617624780941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273.81843612193632</v>
      </c>
      <c r="AO58" s="59">
        <f t="shared" si="36"/>
        <v>241.86405419073208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-1.1368683772161603E-13</v>
      </c>
      <c r="BE58" s="13">
        <f>BD58*VLOOKUP('Données projet'!$B$11,Paramètres!$A$1:$I$89,3,0)*VLOOKUP('Données projet'!$B$11,Paramètres!$A$1:$I$89,5,0)</f>
        <v>-6.3550942286383367E-14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271.42245454555501</v>
      </c>
      <c r="BJ58" s="59">
        <f t="shared" si="38"/>
        <v>362.63944425429077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226.65708196256534</v>
      </c>
      <c r="BQ58" s="21">
        <f>EXP(-LN(2)/25)*BQ57+(1-EXP(-LN(2)/25))/(LN(2)/25)*Calculateur!BL58*Calculateur!BN58*VLOOKUP('Données projet'!$B$11,Paramètres!$A$1:$I$89,3,0)*0.475*44/12</f>
        <v>57.607680388239864</v>
      </c>
      <c r="BR58" s="21">
        <f>EXP(-LN(2)/2)*BR57+(1-EXP(-LN(2)/2))/(LN(2)/2)*BL58*BO58*VLOOKUP('Données projet'!$B$11,Paramètres!$A$1:$I$89,3,0)*0.475*44/12</f>
        <v>34.161304004112452</v>
      </c>
      <c r="BS58" s="22">
        <f t="shared" si="9"/>
        <v>318.42606635491768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-5.6843418860808015E-14</v>
      </c>
      <c r="BZ58" s="13">
        <f>BY58*VLOOKUP('Données projet'!$B$12,Paramètres!$A$1:$I$89,3,0)*VLOOKUP('Données projet'!$B$12,Paramètres!$A$1:$I$89,5,0)</f>
        <v>-3.1036506698001178E-14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154.35821558431712</v>
      </c>
      <c r="CE58" s="59">
        <f t="shared" si="40"/>
        <v>263.86720460501306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50.107554521769742</v>
      </c>
      <c r="CL58" s="21">
        <f>EXP(-LN(2)/25)*CL57+(1-EXP(-LN(2)/25))/(LN(2)/25)*Calculateur!CG58*Calculateur!CI58*VLOOKUP('Données projet'!$B$12,Paramètres!$A$1:$I$89,3,0)*0.475*44/12</f>
        <v>98.91301651500784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149.0205710367776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185</v>
      </c>
      <c r="CR58" s="12">
        <f>VLOOKUP(A58,'Données projet'!$A$139:$I$159,9,0)</f>
        <v>4.8</v>
      </c>
      <c r="CS58" s="12">
        <f t="array" ref="CS58">INDEX(CR:CR,MIN(IF(ISNUMBER(CR58:CR254),ROW(CR58:CR254),"")))</f>
        <v>4.8</v>
      </c>
      <c r="CT58" s="12">
        <f>IF('Données projet'!$A$140&gt;35,CT57+CS58-DB57,IF(A58&lt;'Données projet'!$A$140,$CQ$205^A58,IF(A58='Données projet'!$A$140,'Données projet'!$B$140,CT57+CS58-DB57)))</f>
        <v>185</v>
      </c>
      <c r="CU58" s="17">
        <f>CT58*VLOOKUP('Données projet'!$B$13,Paramètres!$A$1:$I$89,3,0)*VLOOKUP('Données projet'!$B$13,Paramètres!$A$1:$I$89,5,0)</f>
        <v>147.18600000000001</v>
      </c>
      <c r="CV58" s="13">
        <f t="shared" si="41"/>
        <v>37.938390882441361</v>
      </c>
      <c r="CW58" s="20">
        <f t="shared" si="13"/>
        <v>322.4249807869187</v>
      </c>
      <c r="CX58" s="59">
        <f t="shared" si="14"/>
        <v>615.75831412025195</v>
      </c>
      <c r="CY58" s="59">
        <f ca="1">AVERAGE(OFFSET($CX$3,0,0,'Données projet'!$E$13+1,1))-AVERAGE(OFFSET($H$3,0,0,'Données projet'!$E$13+1,1))</f>
        <v>157.25319335691853</v>
      </c>
      <c r="CZ58" s="59">
        <f t="shared" si="42"/>
        <v>159.50903492442171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11</v>
      </c>
      <c r="DC58" s="16">
        <f>IF(ISNA(VLOOKUP(A58,'Données projet'!$A$139:$I$159,5,0)),0%,VLOOKUP(A58,'Données projet'!$A$139:$I$159,5,0)*VLOOKUP('Données projet'!$B$13,Paramètres!$A$1:$I$89,7,0))</f>
        <v>0.1908</v>
      </c>
      <c r="DD58" s="16">
        <f>IF(ISNA(VLOOKUP(A58,'Données projet'!$A$139:$I$159,6,0)),0%,VLOOKUP(A58,'Données projet'!$A$139:$I$159,6,0)*VLOOKUP('Données projet'!$B$13,Paramètres!$A$1:$I$89,7,0))</f>
        <v>0.1908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4.6420638839918622</v>
      </c>
      <c r="DG58" s="21">
        <f>EXP(-LN(2)/25)*DG57+(1-EXP(-LN(2)/25))/(LN(2)/25)*Calculateur!DB58*Calculateur!DD58*VLOOKUP('Données projet'!$B$13,Paramètres!$A$1:$I$89,3,0)*0.475*44/12</f>
        <v>10.156605858767772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14.798669742759635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201</v>
      </c>
      <c r="DM58" s="12">
        <f>VLOOKUP(A58,'Données projet'!$A$165:$I$185,9,0)</f>
        <v>6.2</v>
      </c>
      <c r="DN58" s="12">
        <f t="array" ref="DN58">INDEX(DM:DM,MIN(IF(ISNUMBER(DM58:DM254),ROW(DM58:DM254),"")))</f>
        <v>6.2</v>
      </c>
      <c r="DO58" s="12">
        <f>IF('Données projet'!$A$166&gt;35,DO57+DN58-DW57,IF(A58&lt;'Données projet'!$A$166,$DL$205^A58,IF(A58='Données projet'!$A$166,'Données projet'!$B$166,DO57+DN58-DW57)))</f>
        <v>201</v>
      </c>
      <c r="DP58" s="17">
        <f>DO58*VLOOKUP('Données projet'!$B$14,Paramètres!$A$1:$I$89,3,0)*VLOOKUP('Données projet'!$B$14,Paramètres!$A$1:$I$89,5,0)</f>
        <v>175.59360000000004</v>
      </c>
      <c r="DQ58" s="13">
        <f t="shared" si="43"/>
        <v>44.340433728638573</v>
      </c>
      <c r="DR58" s="20">
        <f t="shared" si="16"/>
        <v>383.05177541071225</v>
      </c>
      <c r="DS58" s="59">
        <f t="shared" si="17"/>
        <v>676.38510874404551</v>
      </c>
      <c r="DT58" s="59">
        <f ca="1">AVERAGE(OFFSET($DS$3,0,0,'Données projet'!$E$14+1,1))-AVERAGE(OFFSET($H$3,0,0,'Données projet'!$E$14+1,1))</f>
        <v>229.5312221178919</v>
      </c>
      <c r="DU58" s="59">
        <f t="shared" si="44"/>
        <v>218.1982095871906</v>
      </c>
      <c r="DV58" s="15">
        <f>IF(ISNA(VLOOKUP(A58,'Données projet'!$A$165:$I$185,3,0)),0,VLOOKUP(A58,'Données projet'!$A$165:$I$185,3,0))</f>
        <v>8</v>
      </c>
      <c r="DW58" s="15" t="str">
        <f>IF(ISNA(VLOOKUP(A58,'Données projet'!$A$165:$I$185,4,0)),0,VLOOKUP(A58,'Données projet'!$A$165:$I$185,4,0))</f>
        <v>20</v>
      </c>
      <c r="DX58" s="16">
        <f>IF(ISNA(VLOOKUP(A58,'Données projet'!$A$165:$I$185,5,0)),0%,VLOOKUP(A58,'Données projet'!$A$165:$I$185,5,0)*VLOOKUP('Données projet'!$B$14,Paramètres!$A$1:$I$89,7,0))</f>
        <v>0.17200000000000001</v>
      </c>
      <c r="DY58" s="16">
        <f>IF(ISNA(VLOOKUP(A58,'Données projet'!$A$165:$I$185,6,0)),0%,VLOOKUP(A58,'Données projet'!$A$165:$I$185,6,0)*VLOOKUP('Données projet'!$B$14,Paramètres!$A$1:$I$89,7,0))</f>
        <v>0.17200000000000001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3.3221418970463499</v>
      </c>
      <c r="EB58" s="21">
        <f>EXP(-LN(2)/25)*EB57+(1-EXP(-LN(2)/25))/(LN(2)/25)*Calculateur!DW58*Calculateur!DY58*VLOOKUP('Données projet'!$B$14,Paramètres!$A$1:$I$89,3,0)*0.475*44/12</f>
        <v>13.676512952942129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16.99865484998848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6.3942307692307701</v>
      </c>
      <c r="EJ58" s="12">
        <f>IF('Données projet'!$A$192&gt;35,EJ57+EI58-ER57,IF(A58&lt;'Données projet'!$A$192,$EG$205^A58,IF(A58='Données projet'!$A$192,'Données projet'!$B$192,EJ57+EI58-ER57)))</f>
        <v>133.67948717948715</v>
      </c>
      <c r="EK58" s="17">
        <f>EJ58*VLOOKUP('Données projet'!$B$15,Paramètres!$A$1:$I$89,3,0)*VLOOKUP('Données projet'!$B$15,Paramètres!$A$1:$I$89,5,0)</f>
        <v>120.95319999999997</v>
      </c>
      <c r="EL58" s="13">
        <f t="shared" si="45"/>
        <v>31.897215065171491</v>
      </c>
      <c r="EM58" s="20">
        <f t="shared" si="19"/>
        <v>266.21447290517364</v>
      </c>
      <c r="EN58" s="59">
        <f t="shared" si="20"/>
        <v>559.54780623850695</v>
      </c>
      <c r="EO58" s="59">
        <f ca="1">AVERAGE(OFFSET($EN$3,0,0,'Données projet'!$E$15+1,1))-AVERAGE(OFFSET($H$3,0,0,'Données projet'!$E$15+1,1))</f>
        <v>204.39656982394689</v>
      </c>
      <c r="EP58" s="59">
        <f t="shared" si="46"/>
        <v>134.95704640904546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5.8630104463437798</v>
      </c>
      <c r="FE58" s="12">
        <f>IF('Données projet'!$A$218&gt;35,FE57+FD58-FM57,IF(A58&lt;'Données projet'!$A$218,$FB$205^A58,IF(A58='Données projet'!$A$218,'Données projet'!$B$218,FE57+FD58-FM57)))</f>
        <v>240.36372269705629</v>
      </c>
      <c r="FF58" s="17">
        <f>FE58*VLOOKUP('Données projet'!$B$16,Paramètres!$A$1:$I$89,3,0)*VLOOKUP('Données projet'!$B$16,Paramètres!$A$1:$I$89,5,0)</f>
        <v>206.23207407407429</v>
      </c>
      <c r="FG58" s="13">
        <f t="shared" si="47"/>
        <v>51.111333463114732</v>
      </c>
      <c r="FH58" s="20">
        <f t="shared" si="22"/>
        <v>448.20643479393749</v>
      </c>
      <c r="FI58" s="59">
        <f t="shared" si="23"/>
        <v>741.5397681272708</v>
      </c>
      <c r="FJ58" s="59">
        <f ca="1">AVERAGE(OFFSET($FI$3,0,0,'Données projet'!$E$16+1,1))-AVERAGE(OFFSET($H$3,0,0,'Données projet'!$E$16+1,1))</f>
        <v>199.60585215726968</v>
      </c>
      <c r="FK58" s="59">
        <f t="shared" si="48"/>
        <v>137.37366750114404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0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11.170769230769233</v>
      </c>
      <c r="N59" s="13">
        <f>IF('Données projet'!$A$36&gt;35,N58+M59-V58,IF(A59&lt;'Données projet'!$A$36,$K$205^A59,IF(A59='Données projet'!$A$36,'Données projet'!$B$36,N58+M59-V58)))</f>
        <v>273.26153846153869</v>
      </c>
      <c r="O59" s="13">
        <f>N59*VLOOKUP('Données projet'!$B$9,Paramètres!$A$1:$I$89,3,0)*VLOOKUP('Données projet'!$B$9,Paramètres!$A$1:$I$89,5,0)</f>
        <v>127.88640000000011</v>
      </c>
      <c r="P59" s="13">
        <f t="shared" si="33"/>
        <v>33.507503472593491</v>
      </c>
      <c r="Q59" s="20">
        <f t="shared" si="53"/>
        <v>281.09438188143378</v>
      </c>
      <c r="R59" s="59">
        <f t="shared" si="0"/>
        <v>574.42771521476709</v>
      </c>
      <c r="S59" s="59">
        <f ca="1">AVERAGE(OFFSET($R$3,0,0,'Données projet'!$E$9+1,1))-AVERAGE(OFFSET($H$3,0,0,'Données projet'!$E$9+1,1))</f>
        <v>164.93438869099657</v>
      </c>
      <c r="T59" s="59">
        <f t="shared" si="34"/>
        <v>112.28641356594233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28.214150081327407</v>
      </c>
      <c r="AB59" s="21">
        <f>EXP(-LN(2)/2)*AB58+(1-EXP(-LN(2)/2))/(LN(2)/2)*V59*Y59*VLOOKUP('Données projet'!$B$9,Paramètres!$A$1:$I$89,3,0)*0.475*44/12</f>
        <v>7.0132687754568659</v>
      </c>
      <c r="AC59" s="22">
        <f t="shared" si="3"/>
        <v>35.227418856784276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273.81843612193632</v>
      </c>
      <c r="AO59" s="59">
        <f t="shared" si="36"/>
        <v>241.86405419073208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-1.1368683772161603E-13</v>
      </c>
      <c r="BE59" s="13">
        <f>BD59*VLOOKUP('Données projet'!$B$11,Paramètres!$A$1:$I$89,3,0)*VLOOKUP('Données projet'!$B$11,Paramètres!$A$1:$I$89,5,0)</f>
        <v>-6.3550942286383367E-14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271.42245454555501</v>
      </c>
      <c r="BJ59" s="59">
        <f t="shared" si="38"/>
        <v>362.63944425429077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222.21247483244866</v>
      </c>
      <c r="BQ59" s="21">
        <f>EXP(-LN(2)/25)*BQ58+(1-EXP(-LN(2)/25))/(LN(2)/25)*Calculateur!BL59*Calculateur!BN59*VLOOKUP('Données projet'!$B$11,Paramètres!$A$1:$I$89,3,0)*0.475*44/12</f>
        <v>56.032395338567198</v>
      </c>
      <c r="BR59" s="21">
        <f>EXP(-LN(2)/2)*BR58+(1-EXP(-LN(2)/2))/(LN(2)/2)*BL59*BO59*VLOOKUP('Données projet'!$B$11,Paramètres!$A$1:$I$89,3,0)*0.475*44/12</f>
        <v>24.155689715483074</v>
      </c>
      <c r="BS59" s="22">
        <f t="shared" si="9"/>
        <v>302.40055988649891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-5.6843418860808015E-14</v>
      </c>
      <c r="BZ59" s="13">
        <f>BY59*VLOOKUP('Données projet'!$B$12,Paramètres!$A$1:$I$89,3,0)*VLOOKUP('Données projet'!$B$12,Paramètres!$A$1:$I$89,5,0)</f>
        <v>-3.1036506698001178E-14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154.35821558431712</v>
      </c>
      <c r="CE59" s="59">
        <f t="shared" si="40"/>
        <v>263.86720460501306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49.124975940188293</v>
      </c>
      <c r="CL59" s="21">
        <f>EXP(-LN(2)/25)*CL58+(1-EXP(-LN(2)/25))/(LN(2)/25)*Calculateur!CG59*Calculateur!CI59*VLOOKUP('Données projet'!$B$12,Paramètres!$A$1:$I$89,3,0)*0.475*44/12</f>
        <v>96.208234876795487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145.33321081698378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</v>
      </c>
      <c r="CT59" s="12">
        <f>IF('Données projet'!$A$140&gt;35,CT58+CS59-DB58,IF(A59&lt;'Données projet'!$A$140,$CQ$205^A59,IF(A59='Données projet'!$A$140,'Données projet'!$B$140,CT58+CS59-DB58)))</f>
        <v>178</v>
      </c>
      <c r="CU59" s="17">
        <f>CT59*VLOOKUP('Données projet'!$B$13,Paramètres!$A$1:$I$89,3,0)*VLOOKUP('Données projet'!$B$13,Paramètres!$A$1:$I$89,5,0)</f>
        <v>141.61680000000001</v>
      </c>
      <c r="CV59" s="13">
        <f t="shared" si="41"/>
        <v>36.66714378804366</v>
      </c>
      <c r="CW59" s="20">
        <f t="shared" si="13"/>
        <v>310.5112020975094</v>
      </c>
      <c r="CX59" s="59">
        <f t="shared" si="14"/>
        <v>603.84453543084271</v>
      </c>
      <c r="CY59" s="59">
        <f ca="1">AVERAGE(OFFSET($CX$3,0,0,'Données projet'!$E$13+1,1))-AVERAGE(OFFSET($H$3,0,0,'Données projet'!$E$13+1,1))</f>
        <v>157.25319335691853</v>
      </c>
      <c r="CZ59" s="59">
        <f t="shared" si="42"/>
        <v>159.50903492442171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4.5510358426061757</v>
      </c>
      <c r="DG59" s="21">
        <f>EXP(-LN(2)/25)*DG58+(1-EXP(-LN(2)/25))/(LN(2)/25)*Calculateur!DB59*Calculateur!DD59*VLOOKUP('Données projet'!$B$13,Paramètres!$A$1:$I$89,3,0)*0.475*44/12</f>
        <v>9.8788729374470794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14.429908780053255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186.2</v>
      </c>
      <c r="DP59" s="17">
        <f>DO59*VLOOKUP('Données projet'!$B$14,Paramètres!$A$1:$I$89,3,0)*VLOOKUP('Données projet'!$B$14,Paramètres!$A$1:$I$89,5,0)</f>
        <v>162.66432</v>
      </c>
      <c r="DQ59" s="13">
        <f t="shared" si="43"/>
        <v>41.442881393745317</v>
      </c>
      <c r="DR59" s="20">
        <f t="shared" si="16"/>
        <v>355.4867090941064</v>
      </c>
      <c r="DS59" s="59">
        <f t="shared" si="17"/>
        <v>648.82004242743972</v>
      </c>
      <c r="DT59" s="59">
        <f ca="1">AVERAGE(OFFSET($DS$3,0,0,'Données projet'!$E$14+1,1))-AVERAGE(OFFSET($H$3,0,0,'Données projet'!$E$14+1,1))</f>
        <v>229.5312221178919</v>
      </c>
      <c r="DU59" s="59">
        <f t="shared" si="44"/>
        <v>218.1982095871906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3.2569967207517472</v>
      </c>
      <c r="EB59" s="21">
        <f>EXP(-LN(2)/25)*EB58+(1-EXP(-LN(2)/25))/(LN(2)/25)*Calculateur!DW59*Calculateur!DY59*VLOOKUP('Données projet'!$B$14,Paramètres!$A$1:$I$89,3,0)*0.475*44/12</f>
        <v>13.30252798702737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16.559524707779119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6.3942307692307701</v>
      </c>
      <c r="EJ59" s="12">
        <f>IF('Données projet'!$A$192&gt;35,EJ58+EI59-ER58,IF(A59&lt;'Données projet'!$A$192,$EG$205^A59,IF(A59='Données projet'!$A$192,'Données projet'!$B$192,EJ58+EI59-ER58)))</f>
        <v>140.07371794871793</v>
      </c>
      <c r="EK59" s="17">
        <f>EJ59*VLOOKUP('Données projet'!$B$15,Paramètres!$A$1:$I$89,3,0)*VLOOKUP('Données projet'!$B$15,Paramètres!$A$1:$I$89,5,0)</f>
        <v>126.73869999999998</v>
      </c>
      <c r="EL59" s="13">
        <f t="shared" si="45"/>
        <v>33.241657959244336</v>
      </c>
      <c r="EM59" s="20">
        <f t="shared" si="19"/>
        <v>278.63245677901716</v>
      </c>
      <c r="EN59" s="59">
        <f t="shared" si="20"/>
        <v>571.96579011235053</v>
      </c>
      <c r="EO59" s="59">
        <f ca="1">AVERAGE(OFFSET($EN$3,0,0,'Données projet'!$E$15+1,1))-AVERAGE(OFFSET($H$3,0,0,'Données projet'!$E$15+1,1))</f>
        <v>204.39656982394689</v>
      </c>
      <c r="EP59" s="59">
        <f t="shared" si="46"/>
        <v>134.95704640904546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5.8630104463437798</v>
      </c>
      <c r="FE59" s="12">
        <f>IF('Données projet'!$A$218&gt;35,FE58+FD59-FM58,IF(A59&lt;'Données projet'!$A$218,$FB$205^A59,IF(A59='Données projet'!$A$218,'Données projet'!$B$218,FE58+FD59-FM58)))</f>
        <v>246.22673314340008</v>
      </c>
      <c r="FF59" s="17">
        <f>FE59*VLOOKUP('Données projet'!$B$16,Paramètres!$A$1:$I$89,3,0)*VLOOKUP('Données projet'!$B$16,Paramètres!$A$1:$I$89,5,0)</f>
        <v>211.26253703703728</v>
      </c>
      <c r="FG59" s="13">
        <f t="shared" si="47"/>
        <v>52.211385484250449</v>
      </c>
      <c r="FH59" s="20">
        <f t="shared" si="22"/>
        <v>458.88374839124276</v>
      </c>
      <c r="FI59" s="59">
        <f t="shared" si="23"/>
        <v>752.21708172457602</v>
      </c>
      <c r="FJ59" s="59">
        <f ca="1">AVERAGE(OFFSET($FI$3,0,0,'Données projet'!$E$16+1,1))-AVERAGE(OFFSET($H$3,0,0,'Données projet'!$E$16+1,1))</f>
        <v>199.60585215726968</v>
      </c>
      <c r="FK59" s="59">
        <f t="shared" si="48"/>
        <v>137.37366750114404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0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11.170769230769233</v>
      </c>
      <c r="N60" s="13">
        <f>IF('Données projet'!$A$36&gt;35,N59+M60-V59,IF(A60&lt;'Données projet'!$A$36,$K$205^A60,IF(A60='Données projet'!$A$36,'Données projet'!$B$36,N59+M60-V59)))</f>
        <v>284.43230769230792</v>
      </c>
      <c r="O60" s="13">
        <f>N60*VLOOKUP('Données projet'!$B$9,Paramètres!$A$1:$I$89,3,0)*VLOOKUP('Données projet'!$B$9,Paramètres!$A$1:$I$89,5,0)</f>
        <v>133.11432000000011</v>
      </c>
      <c r="P60" s="13">
        <f t="shared" si="33"/>
        <v>34.714992732392233</v>
      </c>
      <c r="Q60" s="20">
        <f t="shared" si="53"/>
        <v>292.30271967558332</v>
      </c>
      <c r="R60" s="59">
        <f t="shared" si="0"/>
        <v>585.63605300891663</v>
      </c>
      <c r="S60" s="59">
        <f ca="1">AVERAGE(OFFSET($R$3,0,0,'Données projet'!$E$9+1,1))-AVERAGE(OFFSET($H$3,0,0,'Données projet'!$E$9+1,1))</f>
        <v>164.93438869099657</v>
      </c>
      <c r="T60" s="59">
        <f t="shared" si="34"/>
        <v>112.28641356594233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27.442632663635841</v>
      </c>
      <c r="AB60" s="21">
        <f>EXP(-LN(2)/2)*AB59+(1-EXP(-LN(2)/2))/(LN(2)/2)*V60*Y60*VLOOKUP('Données projet'!$B$9,Paramètres!$A$1:$I$89,3,0)*0.475*44/12</f>
        <v>4.9591299094094241</v>
      </c>
      <c r="AC60" s="22">
        <f t="shared" si="3"/>
        <v>32.401762573045268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273.81843612193632</v>
      </c>
      <c r="AO60" s="59">
        <f t="shared" si="36"/>
        <v>241.86405419073208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-1.1368683772161603E-13</v>
      </c>
      <c r="BE60" s="13">
        <f>BD60*VLOOKUP('Données projet'!$B$11,Paramètres!$A$1:$I$89,3,0)*VLOOKUP('Données projet'!$B$11,Paramètres!$A$1:$I$89,5,0)</f>
        <v>-6.3550942286383367E-14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271.42245454555501</v>
      </c>
      <c r="BJ60" s="59">
        <f t="shared" si="38"/>
        <v>362.63944425429077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217.8550237372109</v>
      </c>
      <c r="BQ60" s="21">
        <f>EXP(-LN(2)/25)*BQ59+(1-EXP(-LN(2)/25))/(LN(2)/25)*Calculateur!BL60*Calculateur!BN60*VLOOKUP('Données projet'!$B$11,Paramètres!$A$1:$I$89,3,0)*0.475*44/12</f>
        <v>54.500186541418472</v>
      </c>
      <c r="BR60" s="21">
        <f>EXP(-LN(2)/2)*BR59+(1-EXP(-LN(2)/2))/(LN(2)/2)*BL60*BO60*VLOOKUP('Données projet'!$B$11,Paramètres!$A$1:$I$89,3,0)*0.475*44/12</f>
        <v>17.08065200205623</v>
      </c>
      <c r="BS60" s="22">
        <f t="shared" si="9"/>
        <v>289.43586228068563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-5.6843418860808015E-14</v>
      </c>
      <c r="BZ60" s="13">
        <f>BY60*VLOOKUP('Données projet'!$B$12,Paramètres!$A$1:$I$89,3,0)*VLOOKUP('Données projet'!$B$12,Paramètres!$A$1:$I$89,5,0)</f>
        <v>-3.1036506698001178E-14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154.35821558431712</v>
      </c>
      <c r="CE60" s="59">
        <f t="shared" si="40"/>
        <v>263.86720460501306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48.161665125277899</v>
      </c>
      <c r="CL60" s="21">
        <f>EXP(-LN(2)/25)*CL59+(1-EXP(-LN(2)/25))/(LN(2)/25)*Calculateur!CG60*Calculateur!CI60*VLOOKUP('Données projet'!$B$12,Paramètres!$A$1:$I$89,3,0)*0.475*44/12</f>
        <v>93.577415634718335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141.73908075999623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</v>
      </c>
      <c r="CT60" s="12">
        <f>IF('Données projet'!$A$140&gt;35,CT59+CS60-DB59,IF(A60&lt;'Données projet'!$A$140,$CQ$205^A60,IF(A60='Données projet'!$A$140,'Données projet'!$B$140,CT59+CS60-DB59)))</f>
        <v>182</v>
      </c>
      <c r="CU60" s="17">
        <f>CT60*VLOOKUP('Données projet'!$B$13,Paramètres!$A$1:$I$89,3,0)*VLOOKUP('Données projet'!$B$13,Paramètres!$A$1:$I$89,5,0)</f>
        <v>144.79920000000001</v>
      </c>
      <c r="CV60" s="13">
        <f t="shared" si="41"/>
        <v>37.394268839921317</v>
      </c>
      <c r="CW60" s="20">
        <f t="shared" si="13"/>
        <v>317.32029156286296</v>
      </c>
      <c r="CX60" s="59">
        <f t="shared" si="14"/>
        <v>610.65362489619633</v>
      </c>
      <c r="CY60" s="59">
        <f ca="1">AVERAGE(OFFSET($CX$3,0,0,'Données projet'!$E$13+1,1))-AVERAGE(OFFSET($H$3,0,0,'Données projet'!$E$13+1,1))</f>
        <v>157.25319335691853</v>
      </c>
      <c r="CZ60" s="59">
        <f t="shared" si="42"/>
        <v>159.50903492442171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4.4617928055904397</v>
      </c>
      <c r="DG60" s="21">
        <f>EXP(-LN(2)/25)*DG59+(1-EXP(-LN(2)/25))/(LN(2)/25)*Calculateur!DB60*Calculateur!DD60*VLOOKUP('Données projet'!$B$13,Paramètres!$A$1:$I$89,3,0)*0.475*44/12</f>
        <v>9.6087346374652398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14.070527443055679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191.39999999999998</v>
      </c>
      <c r="DP60" s="17">
        <f>DO60*VLOOKUP('Données projet'!$B$14,Paramètres!$A$1:$I$89,3,0)*VLOOKUP('Données projet'!$B$14,Paramètres!$A$1:$I$89,5,0)</f>
        <v>167.20704000000001</v>
      </c>
      <c r="DQ60" s="13">
        <f t="shared" si="43"/>
        <v>42.463891647822834</v>
      </c>
      <c r="DR60" s="20">
        <f t="shared" si="16"/>
        <v>365.17687261995815</v>
      </c>
      <c r="DS60" s="59">
        <f t="shared" si="17"/>
        <v>658.51020595329146</v>
      </c>
      <c r="DT60" s="59">
        <f ca="1">AVERAGE(OFFSET($DS$3,0,0,'Données projet'!$E$14+1,1))-AVERAGE(OFFSET($H$3,0,0,'Données projet'!$E$14+1,1))</f>
        <v>229.5312221178919</v>
      </c>
      <c r="DU60" s="59">
        <f t="shared" si="44"/>
        <v>218.1982095871906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3.1931290016296474</v>
      </c>
      <c r="EB60" s="21">
        <f>EXP(-LN(2)/25)*EB59+(1-EXP(-LN(2)/25))/(LN(2)/25)*Calculateur!DW60*Calculateur!DY60*VLOOKUP('Données projet'!$B$14,Paramètres!$A$1:$I$89,3,0)*0.475*44/12</f>
        <v>12.938769659672563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16.131898661302209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6.3942307692307701</v>
      </c>
      <c r="EJ60" s="12">
        <f>IF('Données projet'!$A$192&gt;35,EJ59+EI60-ER59,IF(A60&lt;'Données projet'!$A$192,$EG$205^A60,IF(A60='Données projet'!$A$192,'Données projet'!$B$192,EJ59+EI60-ER59)))</f>
        <v>146.4679487179487</v>
      </c>
      <c r="EK60" s="17">
        <f>EJ60*VLOOKUP('Données projet'!$B$15,Paramètres!$A$1:$I$89,3,0)*VLOOKUP('Données projet'!$B$15,Paramètres!$A$1:$I$89,5,0)</f>
        <v>132.52419999999998</v>
      </c>
      <c r="EL60" s="13">
        <f t="shared" si="45"/>
        <v>34.578973423062216</v>
      </c>
      <c r="EM60" s="20">
        <f t="shared" si="19"/>
        <v>291.03802704516664</v>
      </c>
      <c r="EN60" s="59">
        <f t="shared" si="20"/>
        <v>584.37136037849996</v>
      </c>
      <c r="EO60" s="59">
        <f ca="1">AVERAGE(OFFSET($EN$3,0,0,'Données projet'!$E$15+1,1))-AVERAGE(OFFSET($H$3,0,0,'Données projet'!$E$15+1,1))</f>
        <v>204.39656982394689</v>
      </c>
      <c r="EP60" s="59">
        <f t="shared" si="46"/>
        <v>134.95704640904546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>
        <f>VLOOKUP(A60,'Données projet'!$A$217:$I$237,2,0)</f>
        <v>252.08974358974356</v>
      </c>
      <c r="FC60" s="12">
        <f>VLOOKUP(A60,'Données projet'!$A$217:$I$237,9,0)</f>
        <v>5.8630104463437798</v>
      </c>
      <c r="FD60" s="12">
        <f t="array" ref="FD60">INDEX(FC:FC,MIN(IF(ISNUMBER(FC60:FC256),ROW(FC60:FC256),"")))</f>
        <v>5.8630104463437798</v>
      </c>
      <c r="FE60" s="12">
        <f>IF('Données projet'!$A$218&gt;35,FE59+FD60-FM59,IF(A60&lt;'Données projet'!$A$218,$FB$205^A60,IF(A60='Données projet'!$A$218,'Données projet'!$B$218,FE59+FD60-FM59)))</f>
        <v>252.08974358974388</v>
      </c>
      <c r="FF60" s="17">
        <f>FE60*VLOOKUP('Données projet'!$B$16,Paramètres!$A$1:$I$89,3,0)*VLOOKUP('Données projet'!$B$16,Paramètres!$A$1:$I$89,5,0)</f>
        <v>216.29300000000026</v>
      </c>
      <c r="FG60" s="13">
        <f t="shared" si="47"/>
        <v>53.308392463103665</v>
      </c>
      <c r="FH60" s="20">
        <f t="shared" si="22"/>
        <v>469.55575853990604</v>
      </c>
      <c r="FI60" s="59">
        <f t="shared" si="23"/>
        <v>762.88909187323929</v>
      </c>
      <c r="FJ60" s="59">
        <f ca="1">AVERAGE(OFFSET($FI$3,0,0,'Données projet'!$E$16+1,1))-AVERAGE(OFFSET($H$3,0,0,'Données projet'!$E$16+1,1))</f>
        <v>199.60585215726968</v>
      </c>
      <c r="FK60" s="59">
        <f t="shared" si="48"/>
        <v>137.37366750114404</v>
      </c>
      <c r="FL60" s="15">
        <f>IF(ISNA(VLOOKUP(A60,'Données projet'!$A$217:$I$237,3,0)),0,VLOOKUP(A60,'Données projet'!$A$217:$I$237,3,0))</f>
        <v>1</v>
      </c>
      <c r="FM60" s="15">
        <f>IF(ISNA(VLOOKUP(A60,'Données projet'!$A$217:$I$237,4,0)),0,VLOOKUP(A60,'Données projet'!$A$217:$I$237,4,0))</f>
        <v>125.23717948717949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0.5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50.692634659275051</v>
      </c>
      <c r="FT60" s="22">
        <f t="shared" si="24"/>
        <v>50.692634659275051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11.170769230769233</v>
      </c>
      <c r="N61" s="13">
        <f>IF('Données projet'!$A$36&gt;35,N60+M61-V60,IF(A61&lt;'Données projet'!$A$36,$K$205^A61,IF(A61='Données projet'!$A$36,'Données projet'!$B$36,N60+M61-V60)))</f>
        <v>295.60307692307714</v>
      </c>
      <c r="O61" s="13">
        <f>N61*VLOOKUP('Données projet'!$B$9,Paramètres!$A$1:$I$89,3,0)*VLOOKUP('Données projet'!$B$9,Paramètres!$A$1:$I$89,5,0)</f>
        <v>138.34224000000009</v>
      </c>
      <c r="P61" s="13">
        <f t="shared" si="33"/>
        <v>35.916973077604602</v>
      </c>
      <c r="Q61" s="20">
        <f t="shared" si="53"/>
        <v>303.50146277682819</v>
      </c>
      <c r="R61" s="59">
        <f t="shared" si="0"/>
        <v>596.83479611016151</v>
      </c>
      <c r="S61" s="59">
        <f ca="1">AVERAGE(OFFSET($R$3,0,0,'Données projet'!$E$9+1,1))-AVERAGE(OFFSET($H$3,0,0,'Données projet'!$E$9+1,1))</f>
        <v>164.93438869099657</v>
      </c>
      <c r="T61" s="59">
        <f t="shared" si="34"/>
        <v>112.28641356594233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26.692212430303389</v>
      </c>
      <c r="AB61" s="21">
        <f>EXP(-LN(2)/2)*AB60+(1-EXP(-LN(2)/2))/(LN(2)/2)*V61*Y61*VLOOKUP('Données projet'!$B$9,Paramètres!$A$1:$I$89,3,0)*0.475*44/12</f>
        <v>3.5066343877284329</v>
      </c>
      <c r="AC61" s="22">
        <f t="shared" si="3"/>
        <v>30.198846818031821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273.81843612193632</v>
      </c>
      <c r="AO61" s="59">
        <f t="shared" si="36"/>
        <v>241.86405419073208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-1.1368683772161603E-13</v>
      </c>
      <c r="BE61" s="13">
        <f>BD61*VLOOKUP('Données projet'!$B$11,Paramètres!$A$1:$I$89,3,0)*VLOOKUP('Données projet'!$B$11,Paramètres!$A$1:$I$89,5,0)</f>
        <v>-6.3550942286383367E-14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271.42245454555501</v>
      </c>
      <c r="BJ61" s="59">
        <f t="shared" si="38"/>
        <v>362.63944425429077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213.58301960016803</v>
      </c>
      <c r="BQ61" s="21">
        <f>EXP(-LN(2)/25)*BQ60+(1-EXP(-LN(2)/25))/(LN(2)/25)*Calculateur!BL61*Calculateur!BN61*VLOOKUP('Données projet'!$B$11,Paramètres!$A$1:$I$89,3,0)*0.475*44/12</f>
        <v>53.009876074403138</v>
      </c>
      <c r="BR61" s="21">
        <f>EXP(-LN(2)/2)*BR60+(1-EXP(-LN(2)/2))/(LN(2)/2)*BL61*BO61*VLOOKUP('Données projet'!$B$11,Paramètres!$A$1:$I$89,3,0)*0.475*44/12</f>
        <v>12.077844857741541</v>
      </c>
      <c r="BS61" s="22">
        <f t="shared" si="9"/>
        <v>278.67074053231272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-5.6843418860808015E-14</v>
      </c>
      <c r="BZ61" s="13">
        <f>BY61*VLOOKUP('Données projet'!$B$12,Paramètres!$A$1:$I$89,3,0)*VLOOKUP('Données projet'!$B$12,Paramètres!$A$1:$I$89,5,0)</f>
        <v>-3.1036506698001178E-14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154.35821558431712</v>
      </c>
      <c r="CE61" s="59">
        <f t="shared" si="40"/>
        <v>263.86720460501306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47.217244247886313</v>
      </c>
      <c r="CL61" s="21">
        <f>EXP(-LN(2)/25)*CL60+(1-EXP(-LN(2)/25))/(LN(2)/25)*Calculateur!CG61*Calculateur!CI61*VLOOKUP('Données projet'!$B$12,Paramètres!$A$1:$I$89,3,0)*0.475*44/12</f>
        <v>91.018536283164551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138.23578053105086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</v>
      </c>
      <c r="CT61" s="12">
        <f>IF('Données projet'!$A$140&gt;35,CT60+CS61-DB60,IF(A61&lt;'Données projet'!$A$140,$CQ$205^A61,IF(A61='Données projet'!$A$140,'Données projet'!$B$140,CT60+CS61-DB60)))</f>
        <v>186</v>
      </c>
      <c r="CU61" s="17">
        <f>CT61*VLOOKUP('Données projet'!$B$13,Paramètres!$A$1:$I$89,3,0)*VLOOKUP('Données projet'!$B$13,Paramètres!$A$1:$I$89,5,0)</f>
        <v>147.98160000000001</v>
      </c>
      <c r="CV61" s="13">
        <f t="shared" si="41"/>
        <v>38.119535949375617</v>
      </c>
      <c r="CW61" s="20">
        <f t="shared" si="13"/>
        <v>324.12614511182926</v>
      </c>
      <c r="CX61" s="59">
        <f t="shared" si="14"/>
        <v>617.45947844516263</v>
      </c>
      <c r="CY61" s="59">
        <f ca="1">AVERAGE(OFFSET($CX$3,0,0,'Données projet'!$E$13+1,1))-AVERAGE(OFFSET($H$3,0,0,'Données projet'!$E$13+1,1))</f>
        <v>157.25319335691853</v>
      </c>
      <c r="CZ61" s="59">
        <f t="shared" si="42"/>
        <v>159.50903492442171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4.3742997700977044</v>
      </c>
      <c r="DG61" s="21">
        <f>EXP(-LN(2)/25)*DG60+(1-EXP(-LN(2)/25))/(LN(2)/25)*Calculateur!DB61*Calculateur!DD61*VLOOKUP('Données projet'!$B$13,Paramètres!$A$1:$I$89,3,0)*0.475*44/12</f>
        <v>9.3459832835023597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13.720283053600063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196.59999999999997</v>
      </c>
      <c r="DP61" s="17">
        <f>DO61*VLOOKUP('Données projet'!$B$14,Paramètres!$A$1:$I$89,3,0)*VLOOKUP('Données projet'!$B$14,Paramètres!$A$1:$I$89,5,0)</f>
        <v>171.74975999999998</v>
      </c>
      <c r="DQ61" s="13">
        <f t="shared" si="43"/>
        <v>43.481677757882629</v>
      </c>
      <c r="DR61" s="20">
        <f t="shared" si="16"/>
        <v>374.86142076164555</v>
      </c>
      <c r="DS61" s="59">
        <f t="shared" si="17"/>
        <v>668.19475409497886</v>
      </c>
      <c r="DT61" s="59">
        <f ca="1">AVERAGE(OFFSET($DS$3,0,0,'Données projet'!$E$14+1,1))-AVERAGE(OFFSET($H$3,0,0,'Données projet'!$E$14+1,1))</f>
        <v>229.5312221178919</v>
      </c>
      <c r="DU61" s="59">
        <f t="shared" si="44"/>
        <v>218.1982095871906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3.1305136895240699</v>
      </c>
      <c r="EB61" s="21">
        <f>EXP(-LN(2)/25)*EB60+(1-EXP(-LN(2)/25))/(LN(2)/25)*Calculateur!DW61*Calculateur!DY61*VLOOKUP('Données projet'!$B$14,Paramètres!$A$1:$I$89,3,0)*0.475*44/12</f>
        <v>12.584958322908491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15.715472012432562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6.3942307692307701</v>
      </c>
      <c r="EJ61" s="12">
        <f>IF('Données projet'!$A$192&gt;35,EJ60+EI61-ER60,IF(A61&lt;'Données projet'!$A$192,$EG$205^A61,IF(A61='Données projet'!$A$192,'Données projet'!$B$192,EJ60+EI61-ER60)))</f>
        <v>152.86217948717947</v>
      </c>
      <c r="EK61" s="17">
        <f>EJ61*VLOOKUP('Données projet'!$B$15,Paramètres!$A$1:$I$89,3,0)*VLOOKUP('Données projet'!$B$15,Paramètres!$A$1:$I$89,5,0)</f>
        <v>138.30969999999999</v>
      </c>
      <c r="EL61" s="13">
        <f t="shared" si="45"/>
        <v>35.909508175318372</v>
      </c>
      <c r="EM61" s="20">
        <f t="shared" si="19"/>
        <v>303.43178757201281</v>
      </c>
      <c r="EN61" s="59">
        <f t="shared" si="20"/>
        <v>596.76512090534607</v>
      </c>
      <c r="EO61" s="59">
        <f ca="1">AVERAGE(OFFSET($EN$3,0,0,'Données projet'!$E$15+1,1))-AVERAGE(OFFSET($H$3,0,0,'Données projet'!$E$15+1,1))</f>
        <v>204.39656982394689</v>
      </c>
      <c r="EP61" s="59">
        <f t="shared" si="46"/>
        <v>134.95704640904546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7.9209401709401703</v>
      </c>
      <c r="FE61" s="12">
        <f>IF('Données projet'!$A$218&gt;35,FE60+FD61-FM60,IF(A61&lt;'Données projet'!$A$218,$FB$205^A61,IF(A61='Données projet'!$A$218,'Données projet'!$B$218,FE60+FD61-FM60)))</f>
        <v>134.77350427350456</v>
      </c>
      <c r="FF61" s="17">
        <f>FE61*VLOOKUP('Données projet'!$B$16,Paramètres!$A$1:$I$89,3,0)*VLOOKUP('Données projet'!$B$16,Paramètres!$A$1:$I$89,5,0)</f>
        <v>115.63566666666692</v>
      </c>
      <c r="FG61" s="13">
        <f t="shared" si="47"/>
        <v>30.654905869473559</v>
      </c>
      <c r="FH61" s="20">
        <f t="shared" si="22"/>
        <v>254.78941383377799</v>
      </c>
      <c r="FI61" s="59">
        <f t="shared" si="23"/>
        <v>548.12274716711136</v>
      </c>
      <c r="FJ61" s="59">
        <f ca="1">AVERAGE(OFFSET($FI$3,0,0,'Données projet'!$E$16+1,1))-AVERAGE(OFFSET($H$3,0,0,'Données projet'!$E$16+1,1))</f>
        <v>199.60585215726968</v>
      </c>
      <c r="FK61" s="59">
        <f t="shared" si="48"/>
        <v>137.37366750114404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35.845105723785601</v>
      </c>
      <c r="FT61" s="22">
        <f t="shared" si="24"/>
        <v>35.845105723785601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11.170769230769233</v>
      </c>
      <c r="N62" s="13">
        <f>IF('Données projet'!$A$36&gt;35,N61+M62-V61,IF(A62&lt;'Données projet'!$A$36,$K$205^A62,IF(A62='Données projet'!$A$36,'Données projet'!$B$36,N61+M62-V61)))</f>
        <v>306.77384615384636</v>
      </c>
      <c r="O62" s="13">
        <f>N62*VLOOKUP('Données projet'!$B$9,Paramètres!$A$1:$I$89,3,0)*VLOOKUP('Données projet'!$B$9,Paramètres!$A$1:$I$89,5,0)</f>
        <v>143.5701600000001</v>
      </c>
      <c r="P62" s="13">
        <f t="shared" si="33"/>
        <v>37.113676523004848</v>
      </c>
      <c r="Q62" s="20">
        <f t="shared" si="53"/>
        <v>314.69101527756692</v>
      </c>
      <c r="R62" s="59">
        <f t="shared" si="0"/>
        <v>608.02434861090023</v>
      </c>
      <c r="S62" s="59">
        <f ca="1">AVERAGE(OFFSET($R$3,0,0,'Données projet'!$E$9+1,1))-AVERAGE(OFFSET($H$3,0,0,'Données projet'!$E$9+1,1))</f>
        <v>164.93438869099657</v>
      </c>
      <c r="T62" s="59">
        <f t="shared" si="34"/>
        <v>112.28641356594233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25.962312477714296</v>
      </c>
      <c r="AB62" s="21">
        <f>EXP(-LN(2)/2)*AB61+(1-EXP(-LN(2)/2))/(LN(2)/2)*V62*Y62*VLOOKUP('Données projet'!$B$9,Paramètres!$A$1:$I$89,3,0)*0.475*44/12</f>
        <v>2.4795649547047121</v>
      </c>
      <c r="AC62" s="22">
        <f t="shared" si="3"/>
        <v>28.441877432419009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273.81843612193632</v>
      </c>
      <c r="AO62" s="59">
        <f t="shared" si="36"/>
        <v>241.86405419073208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-1.1368683772161603E-13</v>
      </c>
      <c r="BE62" s="13">
        <f>BD62*VLOOKUP('Données projet'!$B$11,Paramètres!$A$1:$I$89,3,0)*VLOOKUP('Données projet'!$B$11,Paramètres!$A$1:$I$89,5,0)</f>
        <v>-6.3550942286383367E-14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271.42245454555501</v>
      </c>
      <c r="BJ62" s="59">
        <f t="shared" si="38"/>
        <v>362.63944425429077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209.39478685858731</v>
      </c>
      <c r="BQ62" s="21">
        <f>EXP(-LN(2)/25)*BQ61+(1-EXP(-LN(2)/25))/(LN(2)/25)*Calculateur!BL62*Calculateur!BN62*VLOOKUP('Données projet'!$B$11,Paramètres!$A$1:$I$89,3,0)*0.475*44/12</f>
        <v>51.560318225480358</v>
      </c>
      <c r="BR62" s="21">
        <f>EXP(-LN(2)/2)*BR61+(1-EXP(-LN(2)/2))/(LN(2)/2)*BL62*BO62*VLOOKUP('Données projet'!$B$11,Paramètres!$A$1:$I$89,3,0)*0.475*44/12</f>
        <v>8.5403260010281166</v>
      </c>
      <c r="BS62" s="22">
        <f t="shared" si="9"/>
        <v>269.49543108509579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-5.6843418860808015E-14</v>
      </c>
      <c r="BZ62" s="13">
        <f>BY62*VLOOKUP('Données projet'!$B$12,Paramètres!$A$1:$I$89,3,0)*VLOOKUP('Données projet'!$B$12,Paramètres!$A$1:$I$89,5,0)</f>
        <v>-3.1036506698001178E-14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154.35821558431712</v>
      </c>
      <c r="CE62" s="59">
        <f t="shared" si="40"/>
        <v>263.86720460501306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46.291342887860523</v>
      </c>
      <c r="CL62" s="21">
        <f>EXP(-LN(2)/25)*CL61+(1-EXP(-LN(2)/25))/(LN(2)/25)*Calculateur!CG62*Calculateur!CI62*VLOOKUP('Données projet'!$B$12,Paramètres!$A$1:$I$89,3,0)*0.475*44/12</f>
        <v>88.529629622044624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134.82097250990515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</v>
      </c>
      <c r="CT62" s="12">
        <f>IF('Données projet'!$A$140&gt;35,CT61+CS62-DB61,IF(A62&lt;'Données projet'!$A$140,$CQ$205^A62,IF(A62='Données projet'!$A$140,'Données projet'!$B$140,CT61+CS62-DB61)))</f>
        <v>190</v>
      </c>
      <c r="CU62" s="17">
        <f>CT62*VLOOKUP('Données projet'!$B$13,Paramètres!$A$1:$I$89,3,0)*VLOOKUP('Données projet'!$B$13,Paramètres!$A$1:$I$89,5,0)</f>
        <v>151.16400000000002</v>
      </c>
      <c r="CV62" s="13">
        <f t="shared" si="41"/>
        <v>38.84298967415998</v>
      </c>
      <c r="CW62" s="20">
        <f t="shared" si="13"/>
        <v>330.92884034916193</v>
      </c>
      <c r="CX62" s="59">
        <f t="shared" si="14"/>
        <v>624.26217368249524</v>
      </c>
      <c r="CY62" s="59">
        <f ca="1">AVERAGE(OFFSET($CX$3,0,0,'Données projet'!$E$13+1,1))-AVERAGE(OFFSET($H$3,0,0,'Données projet'!$E$13+1,1))</f>
        <v>157.25319335691853</v>
      </c>
      <c r="CZ62" s="59">
        <f t="shared" si="42"/>
        <v>159.50903492442171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4.2885224196654992</v>
      </c>
      <c r="DG62" s="21">
        <f>EXP(-LN(2)/25)*DG61+(1-EXP(-LN(2)/25))/(LN(2)/25)*Calculateur!DB62*Calculateur!DD62*VLOOKUP('Données projet'!$B$13,Paramètres!$A$1:$I$89,3,0)*0.475*44/12</f>
        <v>9.0904168791310873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13.378939298796586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201.79999999999995</v>
      </c>
      <c r="DP62" s="17">
        <f>DO62*VLOOKUP('Données projet'!$B$14,Paramètres!$A$1:$I$89,3,0)*VLOOKUP('Données projet'!$B$14,Paramètres!$A$1:$I$89,5,0)</f>
        <v>176.29247999999998</v>
      </c>
      <c r="DQ62" s="13">
        <f t="shared" si="43"/>
        <v>44.496334803721894</v>
      </c>
      <c r="DR62" s="20">
        <f t="shared" si="16"/>
        <v>384.5405191164823</v>
      </c>
      <c r="DS62" s="59">
        <f t="shared" si="17"/>
        <v>677.87385244981556</v>
      </c>
      <c r="DT62" s="59">
        <f ca="1">AVERAGE(OFFSET($DS$3,0,0,'Données projet'!$E$14+1,1))-AVERAGE(OFFSET($H$3,0,0,'Données projet'!$E$14+1,1))</f>
        <v>229.5312221178919</v>
      </c>
      <c r="DU62" s="59">
        <f t="shared" si="44"/>
        <v>218.1982095871906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3.0691262254973135</v>
      </c>
      <c r="EB62" s="21">
        <f>EXP(-LN(2)/25)*EB61+(1-EXP(-LN(2)/25))/(LN(2)/25)*Calculateur!DW62*Calculateur!DY62*VLOOKUP('Données projet'!$B$14,Paramètres!$A$1:$I$89,3,0)*0.475*44/12</f>
        <v>12.240821975754363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15.309948201251677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>
        <f>VLOOKUP(A62,'Données projet'!$A$191:$I$211,2,0)</f>
        <v>159.25641025641025</v>
      </c>
      <c r="EH62" s="12">
        <f>VLOOKUP(A62,'Données projet'!$A$191:$I$211,9,0)</f>
        <v>6.3942307692307701</v>
      </c>
      <c r="EI62" s="12">
        <f t="array" ref="EI62">INDEX(EH:EH,MIN(IF(ISNUMBER(EH62:EH258),ROW(EH62:EH258),"")))</f>
        <v>6.3942307692307701</v>
      </c>
      <c r="EJ62" s="12">
        <f>IF('Données projet'!$A$192&gt;35,EJ61+EI62-ER61,IF(A62&lt;'Données projet'!$A$192,$EG$205^A62,IF(A62='Données projet'!$A$192,'Données projet'!$B$192,EJ61+EI62-ER61)))</f>
        <v>159.25641025641025</v>
      </c>
      <c r="EK62" s="17">
        <f>EJ62*VLOOKUP('Données projet'!$B$15,Paramètres!$A$1:$I$89,3,0)*VLOOKUP('Données projet'!$B$15,Paramètres!$A$1:$I$89,5,0)</f>
        <v>144.09520000000001</v>
      </c>
      <c r="EL62" s="13">
        <f t="shared" si="45"/>
        <v>37.23357828719589</v>
      </c>
      <c r="EM62" s="20">
        <f t="shared" si="19"/>
        <v>315.81428885019949</v>
      </c>
      <c r="EN62" s="59">
        <f t="shared" si="20"/>
        <v>609.1476221835328</v>
      </c>
      <c r="EO62" s="59">
        <f ca="1">AVERAGE(OFFSET($EN$3,0,0,'Données projet'!$E$15+1,1))-AVERAGE(OFFSET($H$3,0,0,'Données projet'!$E$15+1,1))</f>
        <v>204.39656982394689</v>
      </c>
      <c r="EP62" s="59">
        <f t="shared" si="46"/>
        <v>134.95704640904546</v>
      </c>
      <c r="EQ62" s="15">
        <f>IF(ISNA(VLOOKUP(A62,'Données projet'!$A$191:$I$211,3,0)),0,VLOOKUP(A62,'Données projet'!$A$191:$I$211,3,0))</f>
        <v>3</v>
      </c>
      <c r="ER62" s="15">
        <f>IF(ISNA(VLOOKUP(A62,'Données projet'!$A$191:$I$211,4,0)),0,VLOOKUP(A62,'Données projet'!$A$191:$I$211,4,0))</f>
        <v>38.942307692307693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7.9209401709401703</v>
      </c>
      <c r="FE62" s="12">
        <f>IF('Données projet'!$A$218&gt;35,FE61+FD62-FM61,IF(A62&lt;'Données projet'!$A$218,$FB$205^A62,IF(A62='Données projet'!$A$218,'Données projet'!$B$218,FE61+FD62-FM61)))</f>
        <v>142.69444444444474</v>
      </c>
      <c r="FF62" s="17">
        <f>FE62*VLOOKUP('Données projet'!$B$16,Paramètres!$A$1:$I$89,3,0)*VLOOKUP('Données projet'!$B$16,Paramètres!$A$1:$I$89,5,0)</f>
        <v>122.43183333333359</v>
      </c>
      <c r="FG62" s="13">
        <f t="shared" si="47"/>
        <v>32.241520514927785</v>
      </c>
      <c r="FH62" s="20">
        <f t="shared" si="22"/>
        <v>269.38942461905521</v>
      </c>
      <c r="FI62" s="59">
        <f t="shared" si="23"/>
        <v>562.72275795238852</v>
      </c>
      <c r="FJ62" s="59">
        <f ca="1">AVERAGE(OFFSET($FI$3,0,0,'Données projet'!$E$16+1,1))-AVERAGE(OFFSET($H$3,0,0,'Données projet'!$E$16+1,1))</f>
        <v>199.60585215726968</v>
      </c>
      <c r="FK62" s="59">
        <f t="shared" si="48"/>
        <v>137.37366750114404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25.346317329637529</v>
      </c>
      <c r="FT62" s="22">
        <f t="shared" si="24"/>
        <v>25.346317329637529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11.170769230769233</v>
      </c>
      <c r="N63" s="13">
        <f>IF('Données projet'!$A$36&gt;35,N62+M63-V62,IF(A63&lt;'Données projet'!$A$36,$K$205^A63,IF(A63='Données projet'!$A$36,'Données projet'!$B$36,N62+M63-V62)))</f>
        <v>317.94461538461559</v>
      </c>
      <c r="O63" s="13">
        <f>N63*VLOOKUP('Données projet'!$B$9,Paramètres!$A$1:$I$89,3,0)*VLOOKUP('Données projet'!$B$9,Paramètres!$A$1:$I$89,5,0)</f>
        <v>148.79808000000008</v>
      </c>
      <c r="P63" s="13">
        <f t="shared" si="33"/>
        <v>38.305317228732633</v>
      </c>
      <c r="Q63" s="20">
        <f t="shared" si="53"/>
        <v>325.87175017337614</v>
      </c>
      <c r="R63" s="59">
        <f t="shared" si="0"/>
        <v>619.20508350670946</v>
      </c>
      <c r="S63" s="59">
        <f ca="1">AVERAGE(OFFSET($R$3,0,0,'Données projet'!$E$9+1,1))-AVERAGE(OFFSET($H$3,0,0,'Données projet'!$E$9+1,1))</f>
        <v>164.93438869099657</v>
      </c>
      <c r="T63" s="59">
        <f t="shared" si="34"/>
        <v>112.28641356594233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25.252371677712521</v>
      </c>
      <c r="AB63" s="21">
        <f>EXP(-LN(2)/2)*AB62+(1-EXP(-LN(2)/2))/(LN(2)/2)*V63*Y63*VLOOKUP('Données projet'!$B$9,Paramètres!$A$1:$I$89,3,0)*0.475*44/12</f>
        <v>1.7533171938642165</v>
      </c>
      <c r="AC63" s="22">
        <f t="shared" si="3"/>
        <v>27.005688871576737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273.81843612193632</v>
      </c>
      <c r="AO63" s="59">
        <f t="shared" si="36"/>
        <v>241.86405419073208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-1.1368683772161603E-13</v>
      </c>
      <c r="BE63" s="13">
        <f>BD63*VLOOKUP('Données projet'!$B$11,Paramètres!$A$1:$I$89,3,0)*VLOOKUP('Données projet'!$B$11,Paramètres!$A$1:$I$89,5,0)</f>
        <v>-6.3550942286383367E-14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271.42245454555501</v>
      </c>
      <c r="BJ63" s="59">
        <f t="shared" si="38"/>
        <v>362.63944425429077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205.28868280649928</v>
      </c>
      <c r="BQ63" s="21">
        <f>EXP(-LN(2)/25)*BQ62+(1-EXP(-LN(2)/25))/(LN(2)/25)*Calculateur!BL63*Calculateur!BN63*VLOOKUP('Données projet'!$B$11,Paramètres!$A$1:$I$89,3,0)*0.475*44/12</f>
        <v>50.150398612165304</v>
      </c>
      <c r="BR63" s="21">
        <f>EXP(-LN(2)/2)*BR62+(1-EXP(-LN(2)/2))/(LN(2)/2)*BL63*BO63*VLOOKUP('Données projet'!$B$11,Paramètres!$A$1:$I$89,3,0)*0.475*44/12</f>
        <v>6.0389224288707712</v>
      </c>
      <c r="BS63" s="22">
        <f t="shared" si="9"/>
        <v>261.47800384753538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-5.6843418860808015E-14</v>
      </c>
      <c r="BZ63" s="13">
        <f>BY63*VLOOKUP('Données projet'!$B$12,Paramètres!$A$1:$I$89,3,0)*VLOOKUP('Données projet'!$B$12,Paramètres!$A$1:$I$89,5,0)</f>
        <v>-3.1036506698001178E-14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154.35821558431712</v>
      </c>
      <c r="CE63" s="59">
        <f t="shared" si="40"/>
        <v>263.86720460501306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45.383597888760775</v>
      </c>
      <c r="CL63" s="21">
        <f>EXP(-LN(2)/25)*CL62+(1-EXP(-LN(2)/25))/(LN(2)/25)*Calculateur!CG63*Calculateur!CI63*VLOOKUP('Données projet'!$B$12,Paramètres!$A$1:$I$89,3,0)*0.475*44/12</f>
        <v>86.108782244458922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131.49238013321968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194</v>
      </c>
      <c r="CR63" s="12">
        <f>VLOOKUP(A63,'Données projet'!$A$139:$I$159,9,0)</f>
        <v>4</v>
      </c>
      <c r="CS63" s="12">
        <f t="array" ref="CS63">INDEX(CR:CR,MIN(IF(ISNUMBER(CR63:CR259),ROW(CR63:CR259),"")))</f>
        <v>4</v>
      </c>
      <c r="CT63" s="12">
        <f>IF('Données projet'!$A$140&gt;35,CT62+CS63-DB62,IF(A63&lt;'Données projet'!$A$140,$CQ$205^A63,IF(A63='Données projet'!$A$140,'Données projet'!$B$140,CT62+CS63-DB62)))</f>
        <v>194</v>
      </c>
      <c r="CU63" s="17">
        <f>CT63*VLOOKUP('Données projet'!$B$13,Paramètres!$A$1:$I$89,3,0)*VLOOKUP('Données projet'!$B$13,Paramètres!$A$1:$I$89,5,0)</f>
        <v>154.34639999999999</v>
      </c>
      <c r="CV63" s="13">
        <f t="shared" si="41"/>
        <v>39.56467258871259</v>
      </c>
      <c r="CW63" s="20">
        <f t="shared" si="13"/>
        <v>337.72845142534106</v>
      </c>
      <c r="CX63" s="59">
        <f t="shared" si="14"/>
        <v>631.06178475867432</v>
      </c>
      <c r="CY63" s="59">
        <f ca="1">AVERAGE(OFFSET($CX$3,0,0,'Données projet'!$E$13+1,1))-AVERAGE(OFFSET($H$3,0,0,'Données projet'!$E$13+1,1))</f>
        <v>157.25319335691853</v>
      </c>
      <c r="CZ63" s="59">
        <f t="shared" si="42"/>
        <v>159.50903492442171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9</v>
      </c>
      <c r="DC63" s="16">
        <f>IF(ISNA(VLOOKUP(A63,'Données projet'!$A$139:$I$159,5,0)),0%,VLOOKUP(A63,'Données projet'!$A$139:$I$159,5,0)*VLOOKUP('Données projet'!$B$13,Paramètres!$A$1:$I$89,7,0))</f>
        <v>0.23320000000000002</v>
      </c>
      <c r="DD63" s="16">
        <f>IF(ISNA(VLOOKUP(A63,'Données projet'!$A$139:$I$159,6,0)),0%,VLOOKUP(A63,'Données projet'!$A$139:$I$159,6,0)*VLOOKUP('Données projet'!$B$13,Paramètres!$A$1:$I$89,7,0))</f>
        <v>0.23320000000000002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6.0503473873839768</v>
      </c>
      <c r="DG63" s="21">
        <f>EXP(-LN(2)/25)*DG62+(1-EXP(-LN(2)/25))/(LN(2)/25)*Calculateur!DB63*Calculateur!DD63*VLOOKUP('Données projet'!$B$13,Paramètres!$A$1:$I$89,3,0)*0.475*44/12</f>
        <v>10.680491136674874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16.73083852405885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207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206.99999999999994</v>
      </c>
      <c r="DP63" s="17">
        <f>DO63*VLOOKUP('Données projet'!$B$14,Paramètres!$A$1:$I$89,3,0)*VLOOKUP('Données projet'!$B$14,Paramètres!$A$1:$I$89,5,0)</f>
        <v>180.83519999999996</v>
      </c>
      <c r="DQ63" s="13">
        <f t="shared" si="43"/>
        <v>45.507952685945142</v>
      </c>
      <c r="DR63" s="20">
        <f t="shared" si="16"/>
        <v>394.21432426135431</v>
      </c>
      <c r="DS63" s="59">
        <f t="shared" si="17"/>
        <v>687.54765759468762</v>
      </c>
      <c r="DT63" s="59">
        <f ca="1">AVERAGE(OFFSET($DS$3,0,0,'Données projet'!$E$14+1,1))-AVERAGE(OFFSET($H$3,0,0,'Données projet'!$E$14+1,1))</f>
        <v>229.5312221178919</v>
      </c>
      <c r="DU63" s="59">
        <f t="shared" si="44"/>
        <v>218.1982095871906</v>
      </c>
      <c r="DV63" s="15">
        <f>IF(ISNA(VLOOKUP(A63,'Données projet'!$A$165:$I$185,3,0)),0,VLOOKUP(A63,'Données projet'!$A$165:$I$185,3,0))</f>
        <v>9</v>
      </c>
      <c r="DW63" s="15" t="str">
        <f>IF(ISNA(VLOOKUP(A63,'Données projet'!$A$165:$I$185,4,0)),0,VLOOKUP(A63,'Données projet'!$A$165:$I$185,4,0))</f>
        <v>18</v>
      </c>
      <c r="DX63" s="16">
        <f>IF(ISNA(VLOOKUP(A63,'Données projet'!$A$165:$I$185,5,0)),0%,VLOOKUP(A63,'Données projet'!$A$165:$I$185,5,0)*VLOOKUP('Données projet'!$B$14,Paramètres!$A$1:$I$89,7,0))</f>
        <v>0.17200000000000001</v>
      </c>
      <c r="DY63" s="16">
        <f>IF(ISNA(VLOOKUP(A63,'Données projet'!$A$165:$I$185,6,0)),0%,VLOOKUP(A63,'Données projet'!$A$165:$I$185,6,0)*VLOOKUP('Données projet'!$B$14,Paramètres!$A$1:$I$89,7,0))</f>
        <v>0.17200000000000001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5.9988702395391797</v>
      </c>
      <c r="EB63" s="21">
        <f>EXP(-LN(2)/25)*EB62+(1-EXP(-LN(2)/25))/(LN(2)/25)*Calculateur!DW63*Calculateur!DY63*VLOOKUP('Données projet'!$B$14,Paramètres!$A$1:$I$89,3,0)*0.475*44/12</f>
        <v>14.884251277816649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20.883121517355828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5.9431089743589762</v>
      </c>
      <c r="EJ63" s="12">
        <f>IF('Données projet'!$A$192&gt;35,EJ62+EI63-ER62,IF(A63&lt;'Données projet'!$A$192,$EG$205^A63,IF(A63='Données projet'!$A$192,'Données projet'!$B$192,EJ62+EI63-ER62)))</f>
        <v>126.25721153846153</v>
      </c>
      <c r="EK63" s="17">
        <f>EJ63*VLOOKUP('Données projet'!$B$15,Paramètres!$A$1:$I$89,3,0)*VLOOKUP('Données projet'!$B$15,Paramètres!$A$1:$I$89,5,0)</f>
        <v>114.23752499999999</v>
      </c>
      <c r="EL63" s="13">
        <f t="shared" si="45"/>
        <v>30.327171529636239</v>
      </c>
      <c r="EM63" s="20">
        <f t="shared" si="19"/>
        <v>251.78351312244976</v>
      </c>
      <c r="EN63" s="59">
        <f t="shared" si="20"/>
        <v>545.11684645578305</v>
      </c>
      <c r="EO63" s="59">
        <f ca="1">AVERAGE(OFFSET($EN$3,0,0,'Données projet'!$E$15+1,1))-AVERAGE(OFFSET($H$3,0,0,'Données projet'!$E$15+1,1))</f>
        <v>204.39656982394689</v>
      </c>
      <c r="EP63" s="59">
        <f t="shared" si="46"/>
        <v>134.95704640904546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7.9209401709401703</v>
      </c>
      <c r="FE63" s="12">
        <f>IF('Données projet'!$A$218&gt;35,FE62+FD63-FM62,IF(A63&lt;'Données projet'!$A$218,$FB$205^A63,IF(A63='Données projet'!$A$218,'Données projet'!$B$218,FE62+FD63-FM62)))</f>
        <v>150.61538461538493</v>
      </c>
      <c r="FF63" s="17">
        <f>FE63*VLOOKUP('Données projet'!$B$16,Paramètres!$A$1:$I$89,3,0)*VLOOKUP('Données projet'!$B$16,Paramètres!$A$1:$I$89,5,0)</f>
        <v>129.22800000000029</v>
      </c>
      <c r="FG63" s="13">
        <f t="shared" si="47"/>
        <v>33.817911008470269</v>
      </c>
      <c r="FH63" s="20">
        <f t="shared" si="22"/>
        <v>283.9716283397529</v>
      </c>
      <c r="FI63" s="59">
        <f t="shared" si="23"/>
        <v>577.30496167308615</v>
      </c>
      <c r="FJ63" s="59">
        <f ca="1">AVERAGE(OFFSET($FI$3,0,0,'Données projet'!$E$16+1,1))-AVERAGE(OFFSET($H$3,0,0,'Données projet'!$E$16+1,1))</f>
        <v>199.60585215726968</v>
      </c>
      <c r="FK63" s="59">
        <f t="shared" si="48"/>
        <v>137.37366750114404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17.922552861892804</v>
      </c>
      <c r="FT63" s="22">
        <f t="shared" si="24"/>
        <v>17.922552861892804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329.11538461538464</v>
      </c>
      <c r="L64" s="12">
        <f>VLOOKUP(A64,'Données projet'!$A$35:$I$55,9,0)</f>
        <v>11.170769230769233</v>
      </c>
      <c r="M64" s="12">
        <f t="array" ref="M64">INDEX(L:L,MIN(IF(ISNUMBER(L64:L260),ROW(L64:L260),"")))</f>
        <v>11.170769230769233</v>
      </c>
      <c r="N64" s="13">
        <f>IF('Données projet'!$A$36&gt;35,N63+M64-V63,IF(A64&lt;'Données projet'!$A$36,$K$205^A64,IF(A64='Données projet'!$A$36,'Données projet'!$B$36,N63+M64-V63)))</f>
        <v>329.11538461538481</v>
      </c>
      <c r="O64" s="13">
        <f>N64*VLOOKUP('Données projet'!$B$9,Paramètres!$A$1:$I$89,3,0)*VLOOKUP('Données projet'!$B$9,Paramètres!$A$1:$I$89,5,0)</f>
        <v>154.0260000000001</v>
      </c>
      <c r="P64" s="13">
        <f t="shared" si="33"/>
        <v>39.492093452898274</v>
      </c>
      <c r="Q64" s="20">
        <f t="shared" si="53"/>
        <v>337.04401276379798</v>
      </c>
      <c r="R64" s="59">
        <f t="shared" si="0"/>
        <v>630.37734609713129</v>
      </c>
      <c r="S64" s="59">
        <f ca="1">AVERAGE(OFFSET($R$3,0,0,'Données projet'!$E$9+1,1))-AVERAGE(OFFSET($H$3,0,0,'Données projet'!$E$9+1,1))</f>
        <v>164.93438869099657</v>
      </c>
      <c r="T64" s="59">
        <f t="shared" si="34"/>
        <v>112.28641356594233</v>
      </c>
      <c r="U64" s="15">
        <f>IF(ISNA(VLOOKUP(A64,'Données projet'!$A$35:$I$55,3,0)),0,VLOOKUP(A64,'Données projet'!$A$35:$I$55,3,0))</f>
        <v>2</v>
      </c>
      <c r="V64" s="15">
        <f>IF(ISNA(VLOOKUP(A64,'Données projet'!$A$35:$I$55,4,0)),0,VLOOKUP(A64,'Données projet'!$A$35:$I$55,4,0))</f>
        <v>94.76153846153845</v>
      </c>
      <c r="W64" s="16">
        <f>IF(ISNA(VLOOKUP(A64,'Données projet'!$A$35:$I$55,5,0)),0%,VLOOKUP(A64,'Données projet'!$A$35:$I$55,5,0)*VLOOKUP('Données projet'!$B$9,Paramètres!$A$1:$I$89,7,0))</f>
        <v>0.38500000000000001</v>
      </c>
      <c r="X64" s="16">
        <f>IF(ISNA(VLOOKUP(A64,'Données projet'!$A$35:$I$55,6,0)),0%,VLOOKUP(A64,'Données projet'!$A$35:$I$55,6,0)*VLOOKUP('Données projet'!$B$9,Paramètres!$A$1:$I$89,7,0))</f>
        <v>9.240000000000001E-2</v>
      </c>
      <c r="Y64" s="16">
        <f>IF(ISNA(VLOOKUP(A64,'Données projet'!$A$35:$I$55,7,0)),0%,VLOOKUP(A64,'Données projet'!$A$35:$I$55,7,0))</f>
        <v>0.13200000000000001</v>
      </c>
      <c r="Z64" s="21">
        <f>EXP(-LN(2)/35)*Z63+(1-EXP(-LN(2)/35))/(LN(2)/35)*V64*W64*VLOOKUP('Données projet'!$B$9,Paramètres!$A$1:$I$89,3,0)*0.475*44/12</f>
        <v>22.649939271811736</v>
      </c>
      <c r="AA64" s="21">
        <f>EXP(-LN(2)/25)*AA63+(1-EXP(-LN(2)/25))/(LN(2)/25)*Calculateur!V64*Calculateur!X64*VLOOKUP('Données projet'!$B$9,Paramètres!$A$1:$I$89,3,0)*0.475*44/12</f>
        <v>29.976426125563794</v>
      </c>
      <c r="AB64" s="21">
        <f>EXP(-LN(2)/2)*AB63+(1-EXP(-LN(2)/2))/(LN(2)/2)*V64*Y64*VLOOKUP('Données projet'!$B$9,Paramètres!$A$1:$I$89,3,0)*0.475*44/12</f>
        <v>7.867857666070555</v>
      </c>
      <c r="AC64" s="22">
        <f t="shared" si="3"/>
        <v>60.494223063446086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273.81843612193632</v>
      </c>
      <c r="AO64" s="59">
        <f t="shared" si="36"/>
        <v>241.86405419073208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-1.1368683772161603E-13</v>
      </c>
      <c r="BE64" s="13">
        <f>BD64*VLOOKUP('Données projet'!$B$11,Paramètres!$A$1:$I$89,3,0)*VLOOKUP('Données projet'!$B$11,Paramètres!$A$1:$I$89,5,0)</f>
        <v>-6.3550942286383367E-14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271.42245454555501</v>
      </c>
      <c r="BJ64" s="59">
        <f t="shared" si="38"/>
        <v>362.63944425429077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201.26309695039652</v>
      </c>
      <c r="BQ64" s="21">
        <f>EXP(-LN(2)/25)*BQ63+(1-EXP(-LN(2)/25))/(LN(2)/25)*Calculateur!BL64*Calculateur!BN64*VLOOKUP('Données projet'!$B$11,Paramètres!$A$1:$I$89,3,0)*0.475*44/12</f>
        <v>48.779033324820801</v>
      </c>
      <c r="BR64" s="21">
        <f>EXP(-LN(2)/2)*BR63+(1-EXP(-LN(2)/2))/(LN(2)/2)*BL64*BO64*VLOOKUP('Données projet'!$B$11,Paramètres!$A$1:$I$89,3,0)*0.475*44/12</f>
        <v>4.2701630005140592</v>
      </c>
      <c r="BS64" s="22">
        <f t="shared" si="9"/>
        <v>254.31229327573138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-5.6843418860808015E-14</v>
      </c>
      <c r="BZ64" s="13">
        <f>BY64*VLOOKUP('Données projet'!$B$12,Paramètres!$A$1:$I$89,3,0)*VLOOKUP('Données projet'!$B$12,Paramètres!$A$1:$I$89,5,0)</f>
        <v>-3.1036506698001178E-14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154.35821558431712</v>
      </c>
      <c r="CE64" s="59">
        <f t="shared" si="40"/>
        <v>263.86720460501306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44.493653215423592</v>
      </c>
      <c r="CL64" s="21">
        <f>EXP(-LN(2)/25)*CL63+(1-EXP(-LN(2)/25))/(LN(2)/25)*Calculateur!CG64*Calculateur!CI64*VLOOKUP('Données projet'!$B$12,Paramètres!$A$1:$I$89,3,0)*0.475*44/12</f>
        <v>83.75413306572014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128.24778628114373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3.4</v>
      </c>
      <c r="CT64" s="12">
        <f>IF('Données projet'!$A$140&gt;35,CT63+CS64-DB63,IF(A64&lt;'Données projet'!$A$140,$CQ$205^A64,IF(A64='Données projet'!$A$140,'Données projet'!$B$140,CT63+CS64-DB63)))</f>
        <v>188.4</v>
      </c>
      <c r="CU64" s="17">
        <f>CT64*VLOOKUP('Données projet'!$B$13,Paramètres!$A$1:$I$89,3,0)*VLOOKUP('Données projet'!$B$13,Paramètres!$A$1:$I$89,5,0)</f>
        <v>149.89104</v>
      </c>
      <c r="CV64" s="13">
        <f t="shared" si="41"/>
        <v>38.553823022751281</v>
      </c>
      <c r="CW64" s="20">
        <f t="shared" si="13"/>
        <v>328.20813643129185</v>
      </c>
      <c r="CX64" s="59">
        <f t="shared" si="14"/>
        <v>621.54146976462516</v>
      </c>
      <c r="CY64" s="59">
        <f ca="1">AVERAGE(OFFSET($CX$3,0,0,'Données projet'!$E$13+1,1))-AVERAGE(OFFSET($H$3,0,0,'Données projet'!$E$13+1,1))</f>
        <v>157.25319335691853</v>
      </c>
      <c r="CZ64" s="59">
        <f t="shared" si="42"/>
        <v>159.50903492442171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5.9317037654648921</v>
      </c>
      <c r="DG64" s="21">
        <f>EXP(-LN(2)/25)*DG63+(1-EXP(-LN(2)/25))/(LN(2)/25)*Calculateur!DB64*Calculateur!DD64*VLOOKUP('Données projet'!$B$13,Paramètres!$A$1:$I$89,3,0)*0.475*44/12</f>
        <v>10.388432544879882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16.320136310344772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</v>
      </c>
      <c r="DO64" s="12">
        <f>IF('Données projet'!$A$166&gt;35,DO63+DN64-DW63,IF(A64&lt;'Données projet'!$A$166,$DL$205^A64,IF(A64='Données projet'!$A$166,'Données projet'!$B$166,DO63+DN64-DW63)))</f>
        <v>193.99999999999994</v>
      </c>
      <c r="DP64" s="17">
        <f>DO64*VLOOKUP('Données projet'!$B$14,Paramètres!$A$1:$I$89,3,0)*VLOOKUP('Données projet'!$B$14,Paramètres!$A$1:$I$89,5,0)</f>
        <v>169.47839999999997</v>
      </c>
      <c r="DQ64" s="13">
        <f t="shared" si="43"/>
        <v>42.973181651930297</v>
      </c>
      <c r="DR64" s="20">
        <f t="shared" si="16"/>
        <v>370.01983804377852</v>
      </c>
      <c r="DS64" s="59">
        <f t="shared" si="17"/>
        <v>663.35317137711183</v>
      </c>
      <c r="DT64" s="59">
        <f ca="1">AVERAGE(OFFSET($DS$3,0,0,'Données projet'!$E$14+1,1))-AVERAGE(OFFSET($H$3,0,0,'Données projet'!$E$14+1,1))</f>
        <v>229.5312221178919</v>
      </c>
      <c r="DU64" s="59">
        <f t="shared" si="44"/>
        <v>218.1982095871906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5.8812360530913717</v>
      </c>
      <c r="EB64" s="21">
        <f>EXP(-LN(2)/25)*EB63+(1-EXP(-LN(2)/25))/(LN(2)/25)*Calculateur!DW64*Calculateur!DY64*VLOOKUP('Données projet'!$B$14,Paramètres!$A$1:$I$89,3,0)*0.475*44/12</f>
        <v>14.477240643895996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20.358476696987367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5.9431089743589762</v>
      </c>
      <c r="EJ64" s="12">
        <f>IF('Données projet'!$A$192&gt;35,EJ63+EI64-ER63,IF(A64&lt;'Données projet'!$A$192,$EG$205^A64,IF(A64='Données projet'!$A$192,'Données projet'!$B$192,EJ63+EI64-ER63)))</f>
        <v>132.2003205128205</v>
      </c>
      <c r="EK64" s="17">
        <f>EJ64*VLOOKUP('Données projet'!$B$15,Paramètres!$A$1:$I$89,3,0)*VLOOKUP('Données projet'!$B$15,Paramètres!$A$1:$I$89,5,0)</f>
        <v>119.61484999999999</v>
      </c>
      <c r="EL64" s="13">
        <f t="shared" si="45"/>
        <v>31.585152581402479</v>
      </c>
      <c r="EM64" s="20">
        <f t="shared" si="19"/>
        <v>263.34000449594265</v>
      </c>
      <c r="EN64" s="59">
        <f t="shared" si="20"/>
        <v>556.67333782927597</v>
      </c>
      <c r="EO64" s="59">
        <f ca="1">AVERAGE(OFFSET($EN$3,0,0,'Données projet'!$E$15+1,1))-AVERAGE(OFFSET($H$3,0,0,'Données projet'!$E$15+1,1))</f>
        <v>204.39656982394689</v>
      </c>
      <c r="EP64" s="59">
        <f t="shared" si="46"/>
        <v>134.95704640904546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7.9209401709401703</v>
      </c>
      <c r="FE64" s="12">
        <f>IF('Données projet'!$A$218&gt;35,FE63+FD64-FM63,IF(A64&lt;'Données projet'!$A$218,$FB$205^A64,IF(A64='Données projet'!$A$218,'Données projet'!$B$218,FE63+FD64-FM63)))</f>
        <v>158.53632478632511</v>
      </c>
      <c r="FF64" s="17">
        <f>FE64*VLOOKUP('Données projet'!$B$16,Paramètres!$A$1:$I$89,3,0)*VLOOKUP('Données projet'!$B$16,Paramètres!$A$1:$I$89,5,0)</f>
        <v>136.02416666666696</v>
      </c>
      <c r="FG64" s="13">
        <f t="shared" si="47"/>
        <v>35.384676363722107</v>
      </c>
      <c r="FH64" s="20">
        <f t="shared" si="22"/>
        <v>298.53706827792757</v>
      </c>
      <c r="FI64" s="59">
        <f t="shared" si="23"/>
        <v>591.87040161126083</v>
      </c>
      <c r="FJ64" s="59">
        <f ca="1">AVERAGE(OFFSET($FI$3,0,0,'Données projet'!$E$16+1,1))-AVERAGE(OFFSET($H$3,0,0,'Données projet'!$E$16+1,1))</f>
        <v>199.60585215726968</v>
      </c>
      <c r="FK64" s="59">
        <f t="shared" si="48"/>
        <v>137.37366750114404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12.673158664818766</v>
      </c>
      <c r="FT64" s="22">
        <f t="shared" si="24"/>
        <v>12.673158664818766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10.314743589743591</v>
      </c>
      <c r="N65" s="13">
        <f>IF('Données projet'!$A$36&gt;35,N64+M65-V64,IF(A65&lt;'Données projet'!$A$36,$K$205^A65,IF(A65='Données projet'!$A$36,'Données projet'!$B$36,N64+M65-V64)))</f>
        <v>244.66858974358996</v>
      </c>
      <c r="O65" s="13">
        <f>N65*VLOOKUP('Données projet'!$B$9,Paramètres!$A$1:$I$89,3,0)*VLOOKUP('Données projet'!$B$9,Paramètres!$A$1:$I$89,5,0)</f>
        <v>114.50490000000011</v>
      </c>
      <c r="P65" s="13">
        <f t="shared" si="33"/>
        <v>30.389882066052234</v>
      </c>
      <c r="Q65" s="20">
        <f t="shared" si="53"/>
        <v>252.35841209837443</v>
      </c>
      <c r="R65" s="59">
        <f t="shared" si="0"/>
        <v>545.69174543170777</v>
      </c>
      <c r="S65" s="59">
        <f ca="1">AVERAGE(OFFSET($R$3,0,0,'Données projet'!$E$9+1,1))-AVERAGE(OFFSET($H$3,0,0,'Données projet'!$E$9+1,1))</f>
        <v>164.93438869099657</v>
      </c>
      <c r="T65" s="59">
        <f t="shared" si="34"/>
        <v>112.28641356594233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22.205787777790334</v>
      </c>
      <c r="AA65" s="21">
        <f>EXP(-LN(2)/25)*AA64+(1-EXP(-LN(2)/25))/(LN(2)/25)*Calculateur!V65*Calculateur!X65*VLOOKUP('Données projet'!$B$9,Paramètres!$A$1:$I$89,3,0)*0.475*44/12</f>
        <v>29.156719176768515</v>
      </c>
      <c r="AB65" s="21">
        <f>EXP(-LN(2)/2)*AB64+(1-EXP(-LN(2)/2))/(LN(2)/2)*V65*Y65*VLOOKUP('Données projet'!$B$9,Paramètres!$A$1:$I$89,3,0)*0.475*44/12</f>
        <v>5.5634155090890527</v>
      </c>
      <c r="AC65" s="22">
        <f t="shared" si="3"/>
        <v>56.925922463647908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273.81843612193632</v>
      </c>
      <c r="AO65" s="59">
        <f t="shared" si="36"/>
        <v>241.86405419073208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-1.1368683772161603E-13</v>
      </c>
      <c r="BE65" s="13">
        <f>BD65*VLOOKUP('Données projet'!$B$11,Paramètres!$A$1:$I$89,3,0)*VLOOKUP('Données projet'!$B$11,Paramètres!$A$1:$I$89,5,0)</f>
        <v>-6.3550942286383367E-14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271.42245454555501</v>
      </c>
      <c r="BJ65" s="59">
        <f t="shared" si="38"/>
        <v>362.63944425429077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197.31645037756701</v>
      </c>
      <c r="BQ65" s="21">
        <f>EXP(-LN(2)/25)*BQ64+(1-EXP(-LN(2)/25))/(LN(2)/25)*Calculateur!BL65*Calculateur!BN65*VLOOKUP('Données projet'!$B$11,Paramètres!$A$1:$I$89,3,0)*0.475*44/12</f>
        <v>47.445168093375699</v>
      </c>
      <c r="BR65" s="21">
        <f>EXP(-LN(2)/2)*BR64+(1-EXP(-LN(2)/2))/(LN(2)/2)*BL65*BO65*VLOOKUP('Données projet'!$B$11,Paramètres!$A$1:$I$89,3,0)*0.475*44/12</f>
        <v>3.0194612144353861</v>
      </c>
      <c r="BS65" s="22">
        <f t="shared" si="9"/>
        <v>247.7810796853781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-5.6843418860808015E-14</v>
      </c>
      <c r="BZ65" s="13">
        <f>BY65*VLOOKUP('Données projet'!$B$12,Paramètres!$A$1:$I$89,3,0)*VLOOKUP('Données projet'!$B$12,Paramètres!$A$1:$I$89,5,0)</f>
        <v>-3.1036506698001178E-14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154.35821558431712</v>
      </c>
      <c r="CE65" s="59">
        <f t="shared" si="40"/>
        <v>263.86720460501306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43.621159814317899</v>
      </c>
      <c r="CL65" s="21">
        <f>EXP(-LN(2)/25)*CL64+(1-EXP(-LN(2)/25))/(LN(2)/25)*Calculateur!CG65*Calculateur!CI65*VLOOKUP('Données projet'!$B$12,Paramètres!$A$1:$I$89,3,0)*0.475*44/12</f>
        <v>81.463871892599585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125.08503170691748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3.4</v>
      </c>
      <c r="CT65" s="12">
        <f>IF('Données projet'!$A$140&gt;35,CT64+CS65-DB64,IF(A65&lt;'Données projet'!$A$140,$CQ$205^A65,IF(A65='Données projet'!$A$140,'Données projet'!$B$140,CT64+CS65-DB64)))</f>
        <v>191.8</v>
      </c>
      <c r="CU65" s="17">
        <f>CT65*VLOOKUP('Données projet'!$B$13,Paramètres!$A$1:$I$89,3,0)*VLOOKUP('Données projet'!$B$13,Paramètres!$A$1:$I$89,5,0)</f>
        <v>152.59608000000003</v>
      </c>
      <c r="CV65" s="13">
        <f t="shared" si="41"/>
        <v>39.167963646360036</v>
      </c>
      <c r="CW65" s="20">
        <f t="shared" si="13"/>
        <v>333.98904268407705</v>
      </c>
      <c r="CX65" s="59">
        <f t="shared" si="14"/>
        <v>627.32237601741031</v>
      </c>
      <c r="CY65" s="59">
        <f ca="1">AVERAGE(OFFSET($CX$3,0,0,'Données projet'!$E$13+1,1))-AVERAGE(OFFSET($H$3,0,0,'Données projet'!$E$13+1,1))</f>
        <v>157.25319335691853</v>
      </c>
      <c r="CZ65" s="59">
        <f t="shared" si="42"/>
        <v>159.50903492442171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5.8153866726061763</v>
      </c>
      <c r="DG65" s="21">
        <f>EXP(-LN(2)/25)*DG64+(1-EXP(-LN(2)/25))/(LN(2)/25)*Calculateur!DB65*Calculateur!DD65*VLOOKUP('Données projet'!$B$13,Paramètres!$A$1:$I$89,3,0)*0.475*44/12</f>
        <v>10.104360310636217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15.919746983242394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</v>
      </c>
      <c r="DO65" s="12">
        <f>IF('Données projet'!$A$166&gt;35,DO64+DN65-DW64,IF(A65&lt;'Données projet'!$A$166,$DL$205^A65,IF(A65='Données projet'!$A$166,'Données projet'!$B$166,DO64+DN65-DW64)))</f>
        <v>198.99999999999994</v>
      </c>
      <c r="DP65" s="17">
        <f>DO65*VLOOKUP('Données projet'!$B$14,Paramètres!$A$1:$I$89,3,0)*VLOOKUP('Données projet'!$B$14,Paramètres!$A$1:$I$89,5,0)</f>
        <v>173.84639999999999</v>
      </c>
      <c r="DQ65" s="13">
        <f t="shared" si="43"/>
        <v>43.950364270382295</v>
      </c>
      <c r="DR65" s="20">
        <f t="shared" si="16"/>
        <v>379.32936443758246</v>
      </c>
      <c r="DS65" s="59">
        <f t="shared" si="17"/>
        <v>672.66269777091577</v>
      </c>
      <c r="DT65" s="59">
        <f ca="1">AVERAGE(OFFSET($DS$3,0,0,'Données projet'!$E$14+1,1))-AVERAGE(OFFSET($H$3,0,0,'Données projet'!$E$14+1,1))</f>
        <v>229.5312221178919</v>
      </c>
      <c r="DU65" s="59">
        <f t="shared" si="44"/>
        <v>218.1982095871906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5.765908601290036</v>
      </c>
      <c r="EB65" s="21">
        <f>EXP(-LN(2)/25)*EB64+(1-EXP(-LN(2)/25))/(LN(2)/25)*Calculateur!DW65*Calculateur!DY65*VLOOKUP('Données projet'!$B$14,Paramètres!$A$1:$I$89,3,0)*0.475*44/12</f>
        <v>14.081359737163663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19.847268338453699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5.9431089743589762</v>
      </c>
      <c r="EJ65" s="12">
        <f>IF('Données projet'!$A$192&gt;35,EJ64+EI65-ER64,IF(A65&lt;'Données projet'!$A$192,$EG$205^A65,IF(A65='Données projet'!$A$192,'Données projet'!$B$192,EJ64+EI65-ER64)))</f>
        <v>138.14342948717947</v>
      </c>
      <c r="EK65" s="17">
        <f>EJ65*VLOOKUP('Données projet'!$B$15,Paramètres!$A$1:$I$89,3,0)*VLOOKUP('Données projet'!$B$15,Paramètres!$A$1:$I$89,5,0)</f>
        <v>124.99217499999997</v>
      </c>
      <c r="EL65" s="13">
        <f t="shared" si="45"/>
        <v>32.836565726562206</v>
      </c>
      <c r="EM65" s="20">
        <f t="shared" si="19"/>
        <v>274.88505676542917</v>
      </c>
      <c r="EN65" s="59">
        <f t="shared" si="20"/>
        <v>568.21839009876248</v>
      </c>
      <c r="EO65" s="59">
        <f ca="1">AVERAGE(OFFSET($EN$3,0,0,'Données projet'!$E$15+1,1))-AVERAGE(OFFSET($H$3,0,0,'Données projet'!$E$15+1,1))</f>
        <v>204.39656982394689</v>
      </c>
      <c r="EP65" s="59">
        <f t="shared" si="46"/>
        <v>134.95704640904546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7.9209401709401703</v>
      </c>
      <c r="FE65" s="12">
        <f>IF('Données projet'!$A$218&gt;35,FE64+FD65-FM64,IF(A65&lt;'Données projet'!$A$218,$FB$205^A65,IF(A65='Données projet'!$A$218,'Données projet'!$B$218,FE64+FD65-FM64)))</f>
        <v>166.45726495726529</v>
      </c>
      <c r="FF65" s="17">
        <f>FE65*VLOOKUP('Données projet'!$B$16,Paramètres!$A$1:$I$89,3,0)*VLOOKUP('Données projet'!$B$16,Paramètres!$A$1:$I$89,5,0)</f>
        <v>142.82033333333362</v>
      </c>
      <c r="FG65" s="13">
        <f t="shared" si="47"/>
        <v>36.942352356045468</v>
      </c>
      <c r="FH65" s="20">
        <f t="shared" si="22"/>
        <v>313.08667757566855</v>
      </c>
      <c r="FI65" s="59">
        <f t="shared" si="23"/>
        <v>606.4200109090018</v>
      </c>
      <c r="FJ65" s="59">
        <f ca="1">AVERAGE(OFFSET($FI$3,0,0,'Données projet'!$E$16+1,1))-AVERAGE(OFFSET($H$3,0,0,'Données projet'!$E$16+1,1))</f>
        <v>199.60585215726968</v>
      </c>
      <c r="FK65" s="59">
        <f t="shared" si="48"/>
        <v>137.37366750114404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8.9612764309464019</v>
      </c>
      <c r="FT65" s="22">
        <f t="shared" si="24"/>
        <v>8.9612764309464019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10.314743589743591</v>
      </c>
      <c r="N66" s="13">
        <f>IF('Données projet'!$A$36&gt;35,N65+M66-V65,IF(A66&lt;'Données projet'!$A$36,$K$205^A66,IF(A66='Données projet'!$A$36,'Données projet'!$B$36,N65+M66-V65)))</f>
        <v>254.98333333333355</v>
      </c>
      <c r="O66" s="13">
        <f>N66*VLOOKUP('Données projet'!$B$9,Paramètres!$A$1:$I$89,3,0)*VLOOKUP('Données projet'!$B$9,Paramètres!$A$1:$I$89,5,0)</f>
        <v>119.33220000000009</v>
      </c>
      <c r="P66" s="13">
        <f t="shared" si="33"/>
        <v>31.519195359992793</v>
      </c>
      <c r="Q66" s="20">
        <f t="shared" si="53"/>
        <v>262.73284691865422</v>
      </c>
      <c r="R66" s="59">
        <f t="shared" si="0"/>
        <v>556.06618025198759</v>
      </c>
      <c r="S66" s="59">
        <f ca="1">AVERAGE(OFFSET($R$3,0,0,'Données projet'!$E$9+1,1))-AVERAGE(OFFSET($H$3,0,0,'Données projet'!$E$9+1,1))</f>
        <v>164.93438869099657</v>
      </c>
      <c r="T66" s="59">
        <f t="shared" si="34"/>
        <v>112.28641356594233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21.770345823661032</v>
      </c>
      <c r="AA66" s="21">
        <f>EXP(-LN(2)/25)*AA65+(1-EXP(-LN(2)/25))/(LN(2)/25)*Calculateur!V66*Calculateur!X66*VLOOKUP('Données projet'!$B$9,Paramètres!$A$1:$I$89,3,0)*0.475*44/12</f>
        <v>28.359427157594556</v>
      </c>
      <c r="AB66" s="21">
        <f>EXP(-LN(2)/2)*AB65+(1-EXP(-LN(2)/2))/(LN(2)/2)*V66*Y66*VLOOKUP('Données projet'!$B$9,Paramètres!$A$1:$I$89,3,0)*0.475*44/12</f>
        <v>3.933928833035278</v>
      </c>
      <c r="AC66" s="22">
        <f t="shared" si="3"/>
        <v>54.063701814290866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273.81843612193632</v>
      </c>
      <c r="AO66" s="59">
        <f t="shared" si="36"/>
        <v>241.86405419073208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-1.1368683772161603E-13</v>
      </c>
      <c r="BE66" s="13">
        <f>BD66*VLOOKUP('Données projet'!$B$11,Paramètres!$A$1:$I$89,3,0)*VLOOKUP('Données projet'!$B$11,Paramètres!$A$1:$I$89,5,0)</f>
        <v>-6.3550942286383367E-14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271.42245454555501</v>
      </c>
      <c r="BJ66" s="59">
        <f t="shared" si="38"/>
        <v>362.63944425429077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193.44719513681397</v>
      </c>
      <c r="BQ66" s="21">
        <f>EXP(-LN(2)/25)*BQ65+(1-EXP(-LN(2)/25))/(LN(2)/25)*Calculateur!BL66*Calculateur!BN66*VLOOKUP('Données projet'!$B$11,Paramètres!$A$1:$I$89,3,0)*0.475*44/12</f>
        <v>46.14777747682939</v>
      </c>
      <c r="BR66" s="21">
        <f>EXP(-LN(2)/2)*BR65+(1-EXP(-LN(2)/2))/(LN(2)/2)*BL66*BO66*VLOOKUP('Données projet'!$B$11,Paramètres!$A$1:$I$89,3,0)*0.475*44/12</f>
        <v>2.1350815002570296</v>
      </c>
      <c r="BS66" s="22">
        <f t="shared" si="9"/>
        <v>241.73005411390039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-5.6843418860808015E-14</v>
      </c>
      <c r="BZ66" s="13">
        <f>BY66*VLOOKUP('Données projet'!$B$12,Paramètres!$A$1:$I$89,3,0)*VLOOKUP('Données projet'!$B$12,Paramètres!$A$1:$I$89,5,0)</f>
        <v>-3.1036506698001178E-14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154.35821558431712</v>
      </c>
      <c r="CE66" s="59">
        <f t="shared" si="40"/>
        <v>263.86720460501306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42.765775476639462</v>
      </c>
      <c r="CL66" s="21">
        <f>EXP(-LN(2)/25)*CL65+(1-EXP(-LN(2)/25))/(LN(2)/25)*Calculateur!CG66*Calculateur!CI66*VLOOKUP('Données projet'!$B$12,Paramètres!$A$1:$I$89,3,0)*0.475*44/12</f>
        <v>79.23623803169761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122.00201350833707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3.4</v>
      </c>
      <c r="CT66" s="12">
        <f>IF('Données projet'!$A$140&gt;35,CT65+CS66-DB65,IF(A66&lt;'Données projet'!$A$140,$CQ$205^A66,IF(A66='Données projet'!$A$140,'Données projet'!$B$140,CT65+CS66-DB65)))</f>
        <v>195.20000000000002</v>
      </c>
      <c r="CU66" s="17">
        <f>CT66*VLOOKUP('Données projet'!$B$13,Paramètres!$A$1:$I$89,3,0)*VLOOKUP('Données projet'!$B$13,Paramètres!$A$1:$I$89,5,0)</f>
        <v>155.30112000000003</v>
      </c>
      <c r="CV66" s="13">
        <f t="shared" si="41"/>
        <v>39.780838288983972</v>
      </c>
      <c r="CW66" s="20">
        <f t="shared" si="13"/>
        <v>339.76774401998046</v>
      </c>
      <c r="CX66" s="59">
        <f t="shared" si="14"/>
        <v>633.10107735331371</v>
      </c>
      <c r="CY66" s="59">
        <f ca="1">AVERAGE(OFFSET($CX$3,0,0,'Données projet'!$E$13+1,1))-AVERAGE(OFFSET($H$3,0,0,'Données projet'!$E$13+1,1))</f>
        <v>157.25319335691853</v>
      </c>
      <c r="CZ66" s="59">
        <f t="shared" si="42"/>
        <v>159.50903492442171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5.7013504869919984</v>
      </c>
      <c r="DG66" s="21">
        <f>EXP(-LN(2)/25)*DG65+(1-EXP(-LN(2)/25))/(LN(2)/25)*Calculateur!DB66*Calculateur!DD66*VLOOKUP('Données projet'!$B$13,Paramètres!$A$1:$I$89,3,0)*0.475*44/12</f>
        <v>9.8280560465766555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15.529406533568654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</v>
      </c>
      <c r="DO66" s="12">
        <f>IF('Données projet'!$A$166&gt;35,DO65+DN66-DW65,IF(A66&lt;'Données projet'!$A$166,$DL$205^A66,IF(A66='Données projet'!$A$166,'Données projet'!$B$166,DO65+DN66-DW65)))</f>
        <v>203.99999999999994</v>
      </c>
      <c r="DP66" s="17">
        <f>DO66*VLOOKUP('Données projet'!$B$14,Paramètres!$A$1:$I$89,3,0)*VLOOKUP('Données projet'!$B$14,Paramètres!$A$1:$I$89,5,0)</f>
        <v>178.21439999999998</v>
      </c>
      <c r="DQ66" s="13">
        <f t="shared" si="43"/>
        <v>44.924692855664368</v>
      </c>
      <c r="DR66" s="20">
        <f t="shared" si="16"/>
        <v>388.63392005694874</v>
      </c>
      <c r="DS66" s="59">
        <f t="shared" si="17"/>
        <v>681.96725339028205</v>
      </c>
      <c r="DT66" s="59">
        <f ca="1">AVERAGE(OFFSET($DS$3,0,0,'Données projet'!$E$14+1,1))-AVERAGE(OFFSET($H$3,0,0,'Données projet'!$E$14+1,1))</f>
        <v>229.5312221178919</v>
      </c>
      <c r="DU66" s="59">
        <f t="shared" si="44"/>
        <v>218.1982095871906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5.6528426504757245</v>
      </c>
      <c r="EB66" s="21">
        <f>EXP(-LN(2)/25)*EB65+(1-EXP(-LN(2)/25))/(LN(2)/25)*Calculateur!DW66*Calculateur!DY66*VLOOKUP('Données projet'!$B$14,Paramètres!$A$1:$I$89,3,0)*0.475*44/12</f>
        <v>13.696304214644398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19.349146865120122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5.9431089743589762</v>
      </c>
      <c r="EJ66" s="12">
        <f>IF('Données projet'!$A$192&gt;35,EJ65+EI66-ER65,IF(A66&lt;'Données projet'!$A$192,$EG$205^A66,IF(A66='Données projet'!$A$192,'Données projet'!$B$192,EJ65+EI66-ER65)))</f>
        <v>144.08653846153845</v>
      </c>
      <c r="EK66" s="17">
        <f>EJ66*VLOOKUP('Données projet'!$B$15,Paramètres!$A$1:$I$89,3,0)*VLOOKUP('Données projet'!$B$15,Paramètres!$A$1:$I$89,5,0)</f>
        <v>130.36949999999999</v>
      </c>
      <c r="EL66" s="13">
        <f t="shared" si="45"/>
        <v>34.081725824623319</v>
      </c>
      <c r="EM66" s="20">
        <f t="shared" si="19"/>
        <v>286.41921831121891</v>
      </c>
      <c r="EN66" s="59">
        <f t="shared" si="20"/>
        <v>579.75255164455223</v>
      </c>
      <c r="EO66" s="59">
        <f ca="1">AVERAGE(OFFSET($EN$3,0,0,'Données projet'!$E$15+1,1))-AVERAGE(OFFSET($H$3,0,0,'Données projet'!$E$15+1,1))</f>
        <v>204.39656982394689</v>
      </c>
      <c r="EP66" s="59">
        <f t="shared" si="46"/>
        <v>134.95704640904546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7.9209401709401703</v>
      </c>
      <c r="FE66" s="12">
        <f>IF('Données projet'!$A$218&gt;35,FE65+FD66-FM65,IF(A66&lt;'Données projet'!$A$218,$FB$205^A66,IF(A66='Données projet'!$A$218,'Données projet'!$B$218,FE65+FD66-FM65)))</f>
        <v>174.37820512820548</v>
      </c>
      <c r="FF66" s="17">
        <f>FE66*VLOOKUP('Données projet'!$B$16,Paramètres!$A$1:$I$89,3,0)*VLOOKUP('Données projet'!$B$16,Paramètres!$A$1:$I$89,5,0)</f>
        <v>149.61650000000031</v>
      </c>
      <c r="FG66" s="13">
        <f t="shared" si="47"/>
        <v>38.491420889355155</v>
      </c>
      <c r="FH66" s="20">
        <f t="shared" si="22"/>
        <v>327.62129554896075</v>
      </c>
      <c r="FI66" s="59">
        <f t="shared" si="23"/>
        <v>620.95462888229406</v>
      </c>
      <c r="FJ66" s="59">
        <f ca="1">AVERAGE(OFFSET($FI$3,0,0,'Données projet'!$E$16+1,1))-AVERAGE(OFFSET($H$3,0,0,'Données projet'!$E$16+1,1))</f>
        <v>199.60585215726968</v>
      </c>
      <c r="FK66" s="59">
        <f t="shared" si="48"/>
        <v>137.37366750114404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6.3365793324093831</v>
      </c>
      <c r="FT66" s="22">
        <f t="shared" si="24"/>
        <v>6.3365793324093831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10.314743589743591</v>
      </c>
      <c r="N67" s="13">
        <f>IF('Données projet'!$A$36&gt;35,N66+M67-V66,IF(A67&lt;'Données projet'!$A$36,$K$205^A67,IF(A67='Données projet'!$A$36,'Données projet'!$B$36,N66+M67-V66)))</f>
        <v>265.29807692307713</v>
      </c>
      <c r="O67" s="13">
        <f>N67*VLOOKUP('Données projet'!$B$9,Paramètres!$A$1:$I$89,3,0)*VLOOKUP('Données projet'!$B$9,Paramètres!$A$1:$I$89,5,0)</f>
        <v>124.15950000000009</v>
      </c>
      <c r="P67" s="13">
        <f t="shared" si="33"/>
        <v>32.643202044796318</v>
      </c>
      <c r="Q67" s="20">
        <f t="shared" ref="Q67:Q98" si="54">(O67+P67)*0.475*44/12</f>
        <v>273.09803939468708</v>
      </c>
      <c r="R67" s="59">
        <f t="shared" ref="R67:R130" si="55">Q67+(I67+J67)*44/12</f>
        <v>566.43137272802039</v>
      </c>
      <c r="S67" s="59">
        <f ca="1">AVERAGE(OFFSET($R$3,0,0,'Données projet'!$E$9+1,1))-AVERAGE(OFFSET($H$3,0,0,'Données projet'!$E$9+1,1))</f>
        <v>164.93438869099657</v>
      </c>
      <c r="T67" s="59">
        <f t="shared" si="34"/>
        <v>112.28641356594233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21.343442620658838</v>
      </c>
      <c r="AA67" s="21">
        <f>EXP(-LN(2)/25)*AA66+(1-EXP(-LN(2)/25))/(LN(2)/25)*Calculateur!V67*Calculateur!X67*VLOOKUP('Données projet'!$B$9,Paramètres!$A$1:$I$89,3,0)*0.475*44/12</f>
        <v>27.583937130612675</v>
      </c>
      <c r="AB67" s="21">
        <f>EXP(-LN(2)/2)*AB66+(1-EXP(-LN(2)/2))/(LN(2)/2)*V67*Y67*VLOOKUP('Données projet'!$B$9,Paramètres!$A$1:$I$89,3,0)*0.475*44/12</f>
        <v>2.7817077545445268</v>
      </c>
      <c r="AC67" s="22">
        <f t="shared" si="3"/>
        <v>51.709087505816044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273.81843612193632</v>
      </c>
      <c r="AO67" s="59">
        <f t="shared" si="36"/>
        <v>241.86405419073208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-1.1368683772161603E-13</v>
      </c>
      <c r="BE67" s="13">
        <f>BD67*VLOOKUP('Données projet'!$B$11,Paramètres!$A$1:$I$89,3,0)*VLOOKUP('Données projet'!$B$11,Paramètres!$A$1:$I$89,5,0)</f>
        <v>-6.3550942286383367E-14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271.42245454555501</v>
      </c>
      <c r="BJ67" s="59">
        <f t="shared" si="38"/>
        <v>362.63944425429077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189.65381363131942</v>
      </c>
      <c r="BQ67" s="21">
        <f>EXP(-LN(2)/25)*BQ66+(1-EXP(-LN(2)/25))/(LN(2)/25)*Calculateur!BL67*Calculateur!BN67*VLOOKUP('Données projet'!$B$11,Paramètres!$A$1:$I$89,3,0)*0.475*44/12</f>
        <v>44.885864074919347</v>
      </c>
      <c r="BR67" s="21">
        <f>EXP(-LN(2)/2)*BR66+(1-EXP(-LN(2)/2))/(LN(2)/2)*BL67*BO67*VLOOKUP('Données projet'!$B$11,Paramètres!$A$1:$I$89,3,0)*0.475*44/12</f>
        <v>1.509730607217693</v>
      </c>
      <c r="BS67" s="22">
        <f t="shared" si="9"/>
        <v>236.04940831345647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-5.6843418860808015E-14</v>
      </c>
      <c r="BZ67" s="13">
        <f>BY67*VLOOKUP('Données projet'!$B$12,Paramètres!$A$1:$I$89,3,0)*VLOOKUP('Données projet'!$B$12,Paramètres!$A$1:$I$89,5,0)</f>
        <v>-3.1036506698001178E-14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154.35821558431712</v>
      </c>
      <c r="CE67" s="59">
        <f t="shared" si="40"/>
        <v>263.86720460501306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41.927164704089968</v>
      </c>
      <c r="CL67" s="21">
        <f>EXP(-LN(2)/25)*CL66+(1-EXP(-LN(2)/25))/(LN(2)/25)*Calculateur!CG67*Calculateur!CI67*VLOOKUP('Données projet'!$B$12,Paramètres!$A$1:$I$89,3,0)*0.475*44/12</f>
        <v>77.069518935868174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118.99668363995815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3.4</v>
      </c>
      <c r="CT67" s="12">
        <f>IF('Données projet'!$A$140&gt;35,CT66+CS67-DB66,IF(A67&lt;'Données projet'!$A$140,$CQ$205^A67,IF(A67='Données projet'!$A$140,'Données projet'!$B$140,CT66+CS67-DB66)))</f>
        <v>198.60000000000002</v>
      </c>
      <c r="CU67" s="17">
        <f>CT67*VLOOKUP('Données projet'!$B$13,Paramètres!$A$1:$I$89,3,0)*VLOOKUP('Données projet'!$B$13,Paramètres!$A$1:$I$89,5,0)</f>
        <v>158.00616000000002</v>
      </c>
      <c r="CV67" s="13">
        <f t="shared" si="41"/>
        <v>40.392471545814118</v>
      </c>
      <c r="CW67" s="20">
        <f t="shared" si="13"/>
        <v>345.54428327562624</v>
      </c>
      <c r="CX67" s="59">
        <f t="shared" si="14"/>
        <v>638.87761660895956</v>
      </c>
      <c r="CY67" s="59">
        <f ca="1">AVERAGE(OFFSET($CX$3,0,0,'Données projet'!$E$13+1,1))-AVERAGE(OFFSET($H$3,0,0,'Données projet'!$E$13+1,1))</f>
        <v>157.25319335691853</v>
      </c>
      <c r="CZ67" s="59">
        <f t="shared" si="42"/>
        <v>159.50903492442171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5.5895504814225099</v>
      </c>
      <c r="DG67" s="21">
        <f>EXP(-LN(2)/25)*DG66+(1-EXP(-LN(2)/25))/(LN(2)/25)*Calculateur!DB67*Calculateur!DD67*VLOOKUP('Données projet'!$B$13,Paramètres!$A$1:$I$89,3,0)*0.475*44/12</f>
        <v>9.5593073371480113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15.148857818570521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</v>
      </c>
      <c r="DO67" s="12">
        <f>IF('Données projet'!$A$166&gt;35,DO66+DN67-DW66,IF(A67&lt;'Données projet'!$A$166,$DL$205^A67,IF(A67='Données projet'!$A$166,'Données projet'!$B$166,DO66+DN67-DW66)))</f>
        <v>208.99999999999994</v>
      </c>
      <c r="DP67" s="17">
        <f>DO67*VLOOKUP('Données projet'!$B$14,Paramètres!$A$1:$I$89,3,0)*VLOOKUP('Données projet'!$B$14,Paramètres!$A$1:$I$89,5,0)</f>
        <v>182.58239999999998</v>
      </c>
      <c r="DQ67" s="13">
        <f t="shared" si="43"/>
        <v>45.896245406460245</v>
      </c>
      <c r="DR67" s="20">
        <f t="shared" si="16"/>
        <v>397.93364074958487</v>
      </c>
      <c r="DS67" s="59">
        <f t="shared" si="17"/>
        <v>691.26697408291818</v>
      </c>
      <c r="DT67" s="59">
        <f ca="1">AVERAGE(OFFSET($DS$3,0,0,'Données projet'!$E$14+1,1))-AVERAGE(OFFSET($H$3,0,0,'Données projet'!$E$14+1,1))</f>
        <v>229.5312221178919</v>
      </c>
      <c r="DU67" s="59">
        <f t="shared" si="44"/>
        <v>218.1982095871906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5.5419938539934614</v>
      </c>
      <c r="EB67" s="21">
        <f>EXP(-LN(2)/25)*EB66+(1-EXP(-LN(2)/25))/(LN(2)/25)*Calculateur!DW67*Calculateur!DY67*VLOOKUP('Données projet'!$B$14,Paramètres!$A$1:$I$89,3,0)*0.475*44/12</f>
        <v>13.321778055637612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18.863771909631073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5.9431089743589762</v>
      </c>
      <c r="EJ67" s="12">
        <f>IF('Données projet'!$A$192&gt;35,EJ66+EI67-ER66,IF(A67&lt;'Données projet'!$A$192,$EG$205^A67,IF(A67='Données projet'!$A$192,'Données projet'!$B$192,EJ66+EI67-ER66)))</f>
        <v>150.02964743589743</v>
      </c>
      <c r="EK67" s="17">
        <f>EJ67*VLOOKUP('Données projet'!$B$15,Paramètres!$A$1:$I$89,3,0)*VLOOKUP('Données projet'!$B$15,Paramètres!$A$1:$I$89,5,0)</f>
        <v>135.746825</v>
      </c>
      <c r="EL67" s="13">
        <f t="shared" si="45"/>
        <v>35.320920291530086</v>
      </c>
      <c r="EM67" s="20">
        <f t="shared" si="19"/>
        <v>297.94298971608151</v>
      </c>
      <c r="EN67" s="59">
        <f t="shared" si="20"/>
        <v>591.27632304941483</v>
      </c>
      <c r="EO67" s="59">
        <f ca="1">AVERAGE(OFFSET($EN$3,0,0,'Données projet'!$E$15+1,1))-AVERAGE(OFFSET($H$3,0,0,'Données projet'!$E$15+1,1))</f>
        <v>204.39656982394689</v>
      </c>
      <c r="EP67" s="59">
        <f t="shared" si="46"/>
        <v>134.95704640904546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7.9209401709401703</v>
      </c>
      <c r="FE67" s="12">
        <f>IF('Données projet'!$A$218&gt;35,FE66+FD67-FM66,IF(A67&lt;'Données projet'!$A$218,$FB$205^A67,IF(A67='Données projet'!$A$218,'Données projet'!$B$218,FE66+FD67-FM66)))</f>
        <v>182.29914529914566</v>
      </c>
      <c r="FF67" s="17">
        <f>FE67*VLOOKUP('Données projet'!$B$16,Paramètres!$A$1:$I$89,3,0)*VLOOKUP('Données projet'!$B$16,Paramètres!$A$1:$I$89,5,0)</f>
        <v>156.41266666666701</v>
      </c>
      <c r="FG67" s="13">
        <f t="shared" si="47"/>
        <v>40.03231761291412</v>
      </c>
      <c r="FH67" s="20">
        <f t="shared" si="22"/>
        <v>342.14168095360378</v>
      </c>
      <c r="FI67" s="59">
        <f t="shared" si="23"/>
        <v>635.47501428693704</v>
      </c>
      <c r="FJ67" s="59">
        <f ca="1">AVERAGE(OFFSET($FI$3,0,0,'Données projet'!$E$16+1,1))-AVERAGE(OFFSET($H$3,0,0,'Données projet'!$E$16+1,1))</f>
        <v>199.60585215726968</v>
      </c>
      <c r="FK67" s="59">
        <f t="shared" si="48"/>
        <v>137.37366750114404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4.480638215473201</v>
      </c>
      <c r="FT67" s="22">
        <f t="shared" si="24"/>
        <v>4.480638215473201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10.314743589743591</v>
      </c>
      <c r="N68" s="13">
        <f>IF('Données projet'!$A$36&gt;35,N67+M68-V67,IF(A68&lt;'Données projet'!$A$36,$K$205^A68,IF(A68='Données projet'!$A$36,'Données projet'!$B$36,N67+M68-V67)))</f>
        <v>275.61282051282075</v>
      </c>
      <c r="O68" s="13">
        <f>N68*VLOOKUP('Données projet'!$B$9,Paramètres!$A$1:$I$89,3,0)*VLOOKUP('Données projet'!$B$9,Paramètres!$A$1:$I$89,5,0)</f>
        <v>128.98680000000013</v>
      </c>
      <c r="P68" s="13">
        <f t="shared" si="33"/>
        <v>33.762132053733033</v>
      </c>
      <c r="Q68" s="20">
        <f t="shared" si="54"/>
        <v>283.45438999358527</v>
      </c>
      <c r="R68" s="59">
        <f t="shared" si="55"/>
        <v>576.78772332691858</v>
      </c>
      <c r="S68" s="59">
        <f ca="1">AVERAGE(OFFSET($R$3,0,0,'Données projet'!$E$9+1,1))-AVERAGE(OFFSET($H$3,0,0,'Données projet'!$E$9+1,1))</f>
        <v>164.93438869099657</v>
      </c>
      <c r="T68" s="59">
        <f t="shared" si="34"/>
        <v>112.28641356594233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20.924910729082274</v>
      </c>
      <c r="AA68" s="21">
        <f>EXP(-LN(2)/25)*AA67+(1-EXP(-LN(2)/25))/(LN(2)/25)*Calculateur!V68*Calculateur!X68*VLOOKUP('Données projet'!$B$9,Paramètres!$A$1:$I$89,3,0)*0.475*44/12</f>
        <v>26.829652919199862</v>
      </c>
      <c r="AB68" s="21">
        <f>EXP(-LN(2)/2)*AB67+(1-EXP(-LN(2)/2))/(LN(2)/2)*V68*Y68*VLOOKUP('Données projet'!$B$9,Paramètres!$A$1:$I$89,3,0)*0.475*44/12</f>
        <v>1.9669644165176392</v>
      </c>
      <c r="AC68" s="22">
        <f t="shared" ref="AC68:AC131" si="57">SUM(Z68:AB68)</f>
        <v>49.721528064799777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273.81843612193632</v>
      </c>
      <c r="AO68" s="59">
        <f t="shared" si="36"/>
        <v>241.86405419073208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-1.1368683772161603E-13</v>
      </c>
      <c r="BE68" s="13">
        <f>BD68*VLOOKUP('Données projet'!$B$11,Paramètres!$A$1:$I$89,3,0)*VLOOKUP('Données projet'!$B$11,Paramètres!$A$1:$I$89,5,0)</f>
        <v>-6.3550942286383367E-14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271.42245454555501</v>
      </c>
      <c r="BJ68" s="59">
        <f t="shared" si="38"/>
        <v>362.63944425429077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185.93481802341336</v>
      </c>
      <c r="BQ68" s="21">
        <f>EXP(-LN(2)/25)*BQ67+(1-EXP(-LN(2)/25))/(LN(2)/25)*Calculateur!BL68*Calculateur!BN68*VLOOKUP('Données projet'!$B$11,Paramètres!$A$1:$I$89,3,0)*0.475*44/12</f>
        <v>43.658457761345673</v>
      </c>
      <c r="BR68" s="21">
        <f>EXP(-LN(2)/2)*BR67+(1-EXP(-LN(2)/2))/(LN(2)/2)*BL68*BO68*VLOOKUP('Données projet'!$B$11,Paramètres!$A$1:$I$89,3,0)*0.475*44/12</f>
        <v>1.0675407501285148</v>
      </c>
      <c r="BS68" s="22">
        <f t="shared" ref="BS68:BS131" si="63">SUM(BP68:BR68)</f>
        <v>230.66081653488754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-5.6843418860808015E-14</v>
      </c>
      <c r="BZ68" s="13">
        <f>BY68*VLOOKUP('Données projet'!$B$12,Paramètres!$A$1:$I$89,3,0)*VLOOKUP('Données projet'!$B$12,Paramètres!$A$1:$I$89,5,0)</f>
        <v>-3.1036506698001178E-14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154.35821558431712</v>
      </c>
      <c r="CE68" s="59">
        <f t="shared" si="40"/>
        <v>263.86720460501306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41.104998577288107</v>
      </c>
      <c r="CL68" s="21">
        <f>EXP(-LN(2)/25)*CL67+(1-EXP(-LN(2)/25))/(LN(2)/25)*Calculateur!CG68*Calculateur!CI68*VLOOKUP('Données projet'!$B$12,Paramètres!$A$1:$I$89,3,0)*0.475*44/12</f>
        <v>74.962048887657005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116.06704746494512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202</v>
      </c>
      <c r="CR68" s="12">
        <f>VLOOKUP(A68,'Données projet'!$A$139:$I$159,9,0)</f>
        <v>3.4</v>
      </c>
      <c r="CS68" s="12">
        <f t="array" ref="CS68">INDEX(CR:CR,MIN(IF(ISNUMBER(CR68:CR264),ROW(CR68:CR264),"")))</f>
        <v>3.4</v>
      </c>
      <c r="CT68" s="12">
        <f>IF('Données projet'!$A$140&gt;35,CT67+CS68-DB67,IF(A68&lt;'Données projet'!$A$140,$CQ$205^A68,IF(A68='Données projet'!$A$140,'Données projet'!$B$140,CT67+CS68-DB67)))</f>
        <v>202.00000000000003</v>
      </c>
      <c r="CU68" s="17">
        <f>CT68*VLOOKUP('Données projet'!$B$13,Paramètres!$A$1:$I$89,3,0)*VLOOKUP('Données projet'!$B$13,Paramètres!$A$1:$I$89,5,0)</f>
        <v>160.71120000000002</v>
      </c>
      <c r="CV68" s="13">
        <f t="shared" si="41"/>
        <v>41.002887121655327</v>
      </c>
      <c r="CW68" s="20">
        <f t="shared" ref="CW68:CW131" si="67">(CU68+CV68)*0.475*44/12</f>
        <v>351.31870173688304</v>
      </c>
      <c r="CX68" s="59">
        <f t="shared" ref="CX68:CX131" si="68">CW68+(CO68+CP68)*44/12</f>
        <v>644.65203507021636</v>
      </c>
      <c r="CY68" s="59">
        <f ca="1">AVERAGE(OFFSET($CX$3,0,0,'Données projet'!$E$13+1,1))-AVERAGE(OFFSET($H$3,0,0,'Données projet'!$E$13+1,1))</f>
        <v>157.25319335691853</v>
      </c>
      <c r="CZ68" s="59">
        <f t="shared" si="42"/>
        <v>159.50903492442171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8</v>
      </c>
      <c r="DC68" s="16">
        <f>IF(ISNA(VLOOKUP(A68,'Données projet'!$A$139:$I$159,5,0)),0%,VLOOKUP(A68,'Données projet'!$A$139:$I$159,5,0)*VLOOKUP('Données projet'!$B$13,Paramètres!$A$1:$I$89,7,0))</f>
        <v>0.33390000000000003</v>
      </c>
      <c r="DD68" s="16">
        <f>IF(ISNA(VLOOKUP(A68,'Données projet'!$A$139:$I$159,6,0)),0%,VLOOKUP(A68,'Données projet'!$A$139:$I$159,6,0)*VLOOKUP('Données projet'!$B$13,Paramètres!$A$1:$I$89,7,0))</f>
        <v>0.13250000000000001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7.8292958851153447</v>
      </c>
      <c r="DG68" s="21">
        <f>EXP(-LN(2)/25)*DG67+(1-EXP(-LN(2)/25))/(LN(2)/25)*Calculateur!DB68*Calculateur!DD68*VLOOKUP('Données projet'!$B$13,Paramètres!$A$1:$I$89,3,0)*0.475*44/12</f>
        <v>10.226519790032723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18.055815675148068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214</v>
      </c>
      <c r="DM68" s="12">
        <f>VLOOKUP(A68,'Données projet'!$A$165:$I$185,9,0)</f>
        <v>5</v>
      </c>
      <c r="DN68" s="12">
        <f t="array" ref="DN68">INDEX(DM:DM,MIN(IF(ISNUMBER(DM68:DM264),ROW(DM68:DM264),"")))</f>
        <v>5</v>
      </c>
      <c r="DO68" s="12">
        <f>IF('Données projet'!$A$166&gt;35,DO67+DN68-DW67,IF(A68&lt;'Données projet'!$A$166,$DL$205^A68,IF(A68='Données projet'!$A$166,'Données projet'!$B$166,DO67+DN68-DW67)))</f>
        <v>213.99999999999994</v>
      </c>
      <c r="DP68" s="17">
        <f>DO68*VLOOKUP('Données projet'!$B$14,Paramètres!$A$1:$I$89,3,0)*VLOOKUP('Données projet'!$B$14,Paramètres!$A$1:$I$89,5,0)</f>
        <v>186.95039999999997</v>
      </c>
      <c r="DQ68" s="13">
        <f t="shared" si="43"/>
        <v>46.865095976617653</v>
      </c>
      <c r="DR68" s="20">
        <f t="shared" ref="DR68:DR131" si="70">(DP68+DQ68)*0.475*44/12</f>
        <v>407.22865549260905</v>
      </c>
      <c r="DS68" s="59">
        <f t="shared" ref="DS68:DS131" si="71">DR68+(DJ68+DK68)*44/12</f>
        <v>700.56198882594231</v>
      </c>
      <c r="DT68" s="59">
        <f ca="1">AVERAGE(OFFSET($DS$3,0,0,'Données projet'!$E$14+1,1))-AVERAGE(OFFSET($H$3,0,0,'Données projet'!$E$14+1,1))</f>
        <v>229.5312221178919</v>
      </c>
      <c r="DU68" s="59">
        <f t="shared" si="44"/>
        <v>218.1982095871906</v>
      </c>
      <c r="DV68" s="15">
        <f>IF(ISNA(VLOOKUP(A68,'Données projet'!$A$165:$I$185,3,0)),0,VLOOKUP(A68,'Données projet'!$A$165:$I$185,3,0))</f>
        <v>10</v>
      </c>
      <c r="DW68" s="15" t="str">
        <f>IF(ISNA(VLOOKUP(A68,'Données projet'!$A$165:$I$185,4,0)),0,VLOOKUP(A68,'Données projet'!$A$165:$I$185,4,0))</f>
        <v>17</v>
      </c>
      <c r="DX68" s="16">
        <f>IF(ISNA(VLOOKUP(A68,'Données projet'!$A$165:$I$185,5,0)),0%,VLOOKUP(A68,'Données projet'!$A$165:$I$185,5,0)*VLOOKUP('Données projet'!$B$14,Paramètres!$A$1:$I$89,7,0))</f>
        <v>0.17200000000000001</v>
      </c>
      <c r="DY68" s="16">
        <f>IF(ISNA(VLOOKUP(A68,'Données projet'!$A$165:$I$185,6,0)),0%,VLOOKUP(A68,'Données projet'!$A$165:$I$185,6,0)*VLOOKUP('Données projet'!$B$14,Paramètres!$A$1:$I$89,7,0))</f>
        <v>0.17200000000000001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8.2571393472885219</v>
      </c>
      <c r="EB68" s="21">
        <f>EXP(-LN(2)/25)*EB67+(1-EXP(-LN(2)/25))/(LN(2)/25)*Calculateur!DW68*Calculateur!DY68*VLOOKUP('Données projet'!$B$14,Paramètres!$A$1:$I$89,3,0)*0.475*44/12</f>
        <v>15.77019548892236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24.027334836210883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5.9431089743589762</v>
      </c>
      <c r="EJ68" s="12">
        <f>IF('Données projet'!$A$192&gt;35,EJ67+EI68-ER67,IF(A68&lt;'Données projet'!$A$192,$EG$205^A68,IF(A68='Données projet'!$A$192,'Données projet'!$B$192,EJ67+EI68-ER67)))</f>
        <v>155.97275641025641</v>
      </c>
      <c r="EK68" s="17">
        <f>EJ68*VLOOKUP('Données projet'!$B$15,Paramètres!$A$1:$I$89,3,0)*VLOOKUP('Données projet'!$B$15,Paramètres!$A$1:$I$89,5,0)</f>
        <v>141.12414999999999</v>
      </c>
      <c r="EL68" s="13">
        <f t="shared" si="45"/>
        <v>36.554412483418083</v>
      </c>
      <c r="EM68" s="20">
        <f t="shared" ref="EM68:EM131" si="73">(EK68+EL68)*0.475*44/12</f>
        <v>309.45682965861977</v>
      </c>
      <c r="EN68" s="59">
        <f t="shared" ref="EN68:EN131" si="74">EM68+(EE68+EF68)*44/12</f>
        <v>602.79016299195314</v>
      </c>
      <c r="EO68" s="59">
        <f ca="1">AVERAGE(OFFSET($EN$3,0,0,'Données projet'!$E$15+1,1))-AVERAGE(OFFSET($H$3,0,0,'Données projet'!$E$15+1,1))</f>
        <v>204.39656982394689</v>
      </c>
      <c r="EP68" s="59">
        <f t="shared" si="46"/>
        <v>134.95704640904546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7.9209401709401703</v>
      </c>
      <c r="FE68" s="12">
        <f>IF('Données projet'!$A$218&gt;35,FE67+FD68-FM67,IF(A68&lt;'Données projet'!$A$218,$FB$205^A68,IF(A68='Données projet'!$A$218,'Données projet'!$B$218,FE67+FD68-FM67)))</f>
        <v>190.22008547008585</v>
      </c>
      <c r="FF68" s="17">
        <f>FE68*VLOOKUP('Données projet'!$B$16,Paramètres!$A$1:$I$89,3,0)*VLOOKUP('Données projet'!$B$16,Paramètres!$A$1:$I$89,5,0)</f>
        <v>163.20883333333367</v>
      </c>
      <c r="FG68" s="13">
        <f t="shared" si="47"/>
        <v>41.565438176969458</v>
      </c>
      <c r="FH68" s="20">
        <f t="shared" ref="FH68:FH131" si="76">(FF68+FG68)*0.475*44/12</f>
        <v>356.64852288044455</v>
      </c>
      <c r="FI68" s="59">
        <f t="shared" ref="FI68:FI131" si="77">FH68+(EZ68+FA68)*44/12</f>
        <v>649.98185621377786</v>
      </c>
      <c r="FJ68" s="59">
        <f ca="1">AVERAGE(OFFSET($FI$3,0,0,'Données projet'!$E$16+1,1))-AVERAGE(OFFSET($H$3,0,0,'Données projet'!$E$16+1,1))</f>
        <v>199.60585215726968</v>
      </c>
      <c r="FK68" s="59">
        <f t="shared" si="48"/>
        <v>137.37366750114404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3.1682896662046915</v>
      </c>
      <c r="FT68" s="22">
        <f t="shared" ref="FT68:FT131" si="78">SUM(FQ68:FS68)</f>
        <v>3.1682896662046915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10.314743589743591</v>
      </c>
      <c r="N69" s="13">
        <f>IF('Données projet'!$A$36&gt;35,N68+M69-V68,IF(A69&lt;'Données projet'!$A$36,$K$205^A69,IF(A69='Données projet'!$A$36,'Données projet'!$B$36,N68+M69-V68)))</f>
        <v>285.92756410256436</v>
      </c>
      <c r="O69" s="13">
        <f>N69*VLOOKUP('Données projet'!$B$9,Paramètres!$A$1:$I$89,3,0)*VLOOKUP('Données projet'!$B$9,Paramètres!$A$1:$I$89,5,0)</f>
        <v>133.81410000000011</v>
      </c>
      <c r="P69" s="13">
        <f t="shared" ref="P69:P132" si="87">EXP(-1.0587+0.8836*LN(O69)+0.284)</f>
        <v>34.876197134679366</v>
      </c>
      <c r="Q69" s="20">
        <f t="shared" si="54"/>
        <v>293.80226750956672</v>
      </c>
      <c r="R69" s="59">
        <f t="shared" si="55"/>
        <v>587.13560084289998</v>
      </c>
      <c r="S69" s="59">
        <f ca="1">AVERAGE(OFFSET($R$3,0,0,'Données projet'!$E$9+1,1))-AVERAGE(OFFSET($H$3,0,0,'Données projet'!$E$9+1,1))</f>
        <v>164.93438869099657</v>
      </c>
      <c r="T69" s="59">
        <f t="shared" ref="T69:T132" si="88">$T$3</f>
        <v>112.28641356594233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20.51458599262028</v>
      </c>
      <c r="AA69" s="21">
        <f>EXP(-LN(2)/25)*AA68+(1-EXP(-LN(2)/25))/(LN(2)/25)*Calculateur!V69*Calculateur!X69*VLOOKUP('Données projet'!$B$9,Paramètres!$A$1:$I$89,3,0)*0.475*44/12</f>
        <v>26.095994649214216</v>
      </c>
      <c r="AB69" s="21">
        <f>EXP(-LN(2)/2)*AB68+(1-EXP(-LN(2)/2))/(LN(2)/2)*V69*Y69*VLOOKUP('Données projet'!$B$9,Paramètres!$A$1:$I$89,3,0)*0.475*44/12</f>
        <v>1.3908538772722636</v>
      </c>
      <c r="AC69" s="22">
        <f t="shared" si="57"/>
        <v>48.001434519106759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273.81843612193632</v>
      </c>
      <c r="AO69" s="59">
        <f t="shared" ref="AO69:AO132" si="90">$AO$3</f>
        <v>241.86405419073208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-1.1368683772161603E-13</v>
      </c>
      <c r="BE69" s="13">
        <f>BD69*VLOOKUP('Données projet'!$B$11,Paramètres!$A$1:$I$89,3,0)*VLOOKUP('Données projet'!$B$11,Paramètres!$A$1:$I$89,5,0)</f>
        <v>-6.3550942286383367E-14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271.42245454555501</v>
      </c>
      <c r="BJ69" s="59">
        <f t="shared" ref="BJ69:BJ132" si="92">$BJ$3</f>
        <v>362.63944425429077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182.288749651015</v>
      </c>
      <c r="BQ69" s="21">
        <f>EXP(-LN(2)/25)*BQ68+(1-EXP(-LN(2)/25))/(LN(2)/25)*Calculateur!BL69*Calculateur!BN69*VLOOKUP('Données projet'!$B$11,Paramètres!$A$1:$I$89,3,0)*0.475*44/12</f>
        <v>42.464614937963162</v>
      </c>
      <c r="BR69" s="21">
        <f>EXP(-LN(2)/2)*BR68+(1-EXP(-LN(2)/2))/(LN(2)/2)*BL69*BO69*VLOOKUP('Données projet'!$B$11,Paramètres!$A$1:$I$89,3,0)*0.475*44/12</f>
        <v>0.75486530360884652</v>
      </c>
      <c r="BS69" s="22">
        <f t="shared" si="63"/>
        <v>225.50822989258702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-5.6843418860808015E-14</v>
      </c>
      <c r="BZ69" s="13">
        <f>BY69*VLOOKUP('Données projet'!$B$12,Paramètres!$A$1:$I$89,3,0)*VLOOKUP('Données projet'!$B$12,Paramètres!$A$1:$I$89,5,0)</f>
        <v>-3.1036506698001178E-14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154.35821558431712</v>
      </c>
      <c r="CE69" s="59">
        <f t="shared" ref="CE69:CE132" si="94">$CE$3</f>
        <v>263.86720460501306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40.298954626761009</v>
      </c>
      <c r="CL69" s="21">
        <f>EXP(-LN(2)/25)*CL68+(1-EXP(-LN(2)/25))/(LN(2)/25)*Calculateur!CG69*Calculateur!CI69*VLOOKUP('Données projet'!$B$12,Paramètres!$A$1:$I$89,3,0)*0.475*44/12</f>
        <v>72.9122077187412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113.2111623455022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2.6</v>
      </c>
      <c r="CT69" s="12">
        <f>IF('Données projet'!$A$140&gt;35,CT68+CS69-DB68,IF(A69&lt;'Données projet'!$A$140,$CQ$205^A69,IF(A69='Données projet'!$A$140,'Données projet'!$B$140,CT68+CS69-DB68)))</f>
        <v>196.60000000000002</v>
      </c>
      <c r="CU69" s="17">
        <f>CT69*VLOOKUP('Données projet'!$B$13,Paramètres!$A$1:$I$89,3,0)*VLOOKUP('Données projet'!$B$13,Paramètres!$A$1:$I$89,5,0)</f>
        <v>156.41496000000004</v>
      </c>
      <c r="CV69" s="13">
        <f t="shared" ref="CV69:CV132" si="95">EXP(-1.0587+0.8836*LN(CU69)+0.284)</f>
        <v>40.032836247330962</v>
      </c>
      <c r="CW69" s="20">
        <f t="shared" si="67"/>
        <v>342.14657846410142</v>
      </c>
      <c r="CX69" s="59">
        <f t="shared" si="68"/>
        <v>635.47991179743474</v>
      </c>
      <c r="CY69" s="59">
        <f ca="1">AVERAGE(OFFSET($CX$3,0,0,'Données projet'!$E$13+1,1))-AVERAGE(OFFSET($H$3,0,0,'Données projet'!$E$13+1,1))</f>
        <v>157.25319335691853</v>
      </c>
      <c r="CZ69" s="59">
        <f t="shared" ref="CZ69:CZ132" si="96">$CZ$3</f>
        <v>159.50903492442171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7.675768168207191</v>
      </c>
      <c r="DG69" s="21">
        <f>EXP(-LN(2)/25)*DG68+(1-EXP(-LN(2)/25))/(LN(2)/25)*Calculateur!DB69*Calculateur!DD69*VLOOKUP('Données projet'!$B$13,Paramètres!$A$1:$I$89,3,0)*0.475*44/12</f>
        <v>9.9468750685849763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17.622643236792168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4.5999999999999996</v>
      </c>
      <c r="DO69" s="12">
        <f>IF('Données projet'!$A$166&gt;35,DO68+DN69-DW68,IF(A69&lt;'Données projet'!$A$166,$DL$205^A69,IF(A69='Données projet'!$A$166,'Données projet'!$B$166,DO68+DN69-DW68)))</f>
        <v>201.59999999999994</v>
      </c>
      <c r="DP69" s="17">
        <f>DO69*VLOOKUP('Données projet'!$B$14,Paramètres!$A$1:$I$89,3,0)*VLOOKUP('Données projet'!$B$14,Paramètres!$A$1:$I$89,5,0)</f>
        <v>176.11775999999998</v>
      </c>
      <c r="DQ69" s="13">
        <f t="shared" ref="DQ69:DQ132" si="97">EXP(-1.0587+0.8836*LN(DP69)+0.284)</f>
        <v>44.457366290237204</v>
      </c>
      <c r="DR69" s="20">
        <f t="shared" si="70"/>
        <v>384.16834495549637</v>
      </c>
      <c r="DS69" s="59">
        <f t="shared" si="71"/>
        <v>677.50167828882968</v>
      </c>
      <c r="DT69" s="59">
        <f ca="1">AVERAGE(OFFSET($DS$3,0,0,'Données projet'!$E$14+1,1))-AVERAGE(OFFSET($H$3,0,0,'Données projet'!$E$14+1,1))</f>
        <v>229.5312221178919</v>
      </c>
      <c r="DU69" s="59">
        <f t="shared" ref="DU69:DU132" si="98">$DU$3</f>
        <v>218.1982095871906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8.0952218810458962</v>
      </c>
      <c r="EB69" s="21">
        <f>EXP(-LN(2)/25)*EB68+(1-EXP(-LN(2)/25))/(LN(2)/25)*Calculateur!DW69*Calculateur!DY69*VLOOKUP('Données projet'!$B$14,Paramètres!$A$1:$I$89,3,0)*0.475*44/12</f>
        <v>15.338958663959239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23.434180545005134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5.9431089743589762</v>
      </c>
      <c r="EJ69" s="12">
        <f>IF('Données projet'!$A$192&gt;35,EJ68+EI69-ER68,IF(A69&lt;'Données projet'!$A$192,$EG$205^A69,IF(A69='Données projet'!$A$192,'Données projet'!$B$192,EJ68+EI69-ER68)))</f>
        <v>161.91586538461539</v>
      </c>
      <c r="EK69" s="17">
        <f>EJ69*VLOOKUP('Données projet'!$B$15,Paramètres!$A$1:$I$89,3,0)*VLOOKUP('Données projet'!$B$15,Paramètres!$A$1:$I$89,5,0)</f>
        <v>146.501475</v>
      </c>
      <c r="EL69" s="13">
        <f t="shared" ref="EL69:EL132" si="99">EXP(-1.0587+0.8836*LN(EK69)+0.284)</f>
        <v>37.782444550133206</v>
      </c>
      <c r="EM69" s="20">
        <f t="shared" si="73"/>
        <v>320.96115988314858</v>
      </c>
      <c r="EN69" s="59">
        <f t="shared" si="74"/>
        <v>614.2944932164819</v>
      </c>
      <c r="EO69" s="59">
        <f ca="1">AVERAGE(OFFSET($EN$3,0,0,'Données projet'!$E$15+1,1))-AVERAGE(OFFSET($H$3,0,0,'Données projet'!$E$15+1,1))</f>
        <v>204.39656982394689</v>
      </c>
      <c r="EP69" s="59">
        <f t="shared" ref="EP69:EP132" si="100">$EP$3</f>
        <v>134.95704640904546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>
        <f>VLOOKUP(A69,'Données projet'!$A$217:$I$237,2,0)</f>
        <v>198.14102564102561</v>
      </c>
      <c r="FC69" s="12">
        <f>VLOOKUP(A69,'Données projet'!$A$217:$I$237,9,0)</f>
        <v>7.9209401709401703</v>
      </c>
      <c r="FD69" s="12">
        <f t="array" ref="FD69">INDEX(FC:FC,MIN(IF(ISNUMBER(FC69:FC265),ROW(FC69:FC265),"")))</f>
        <v>7.9209401709401703</v>
      </c>
      <c r="FE69" s="12">
        <f>IF('Données projet'!$A$218&gt;35,FE68+FD69-FM68,IF(A69&lt;'Données projet'!$A$218,$FB$205^A69,IF(A69='Données projet'!$A$218,'Données projet'!$B$218,FE68+FD69-FM68)))</f>
        <v>198.14102564102603</v>
      </c>
      <c r="FF69" s="17">
        <f>FE69*VLOOKUP('Données projet'!$B$16,Paramètres!$A$1:$I$89,3,0)*VLOOKUP('Données projet'!$B$16,Paramètres!$A$1:$I$89,5,0)</f>
        <v>170.00500000000036</v>
      </c>
      <c r="FG69" s="13">
        <f t="shared" ref="FG69:FG132" si="101">EXP(-1.0587+0.8836*LN(FF69)+0.284)</f>
        <v>43.091143417067087</v>
      </c>
      <c r="FH69" s="20">
        <f t="shared" si="76"/>
        <v>371.14244978472578</v>
      </c>
      <c r="FI69" s="59">
        <f t="shared" si="77"/>
        <v>664.4757831180591</v>
      </c>
      <c r="FJ69" s="59">
        <f ca="1">AVERAGE(OFFSET($FI$3,0,0,'Données projet'!$E$16+1,1))-AVERAGE(OFFSET($H$3,0,0,'Données projet'!$E$16+1,1))</f>
        <v>199.60585215726968</v>
      </c>
      <c r="FK69" s="59">
        <f t="shared" ref="FK69:FK132" si="102">$FK$3</f>
        <v>137.37366750114404</v>
      </c>
      <c r="FL69" s="15">
        <f>IF(ISNA(VLOOKUP(A69,'Données projet'!$A$217:$I$237,3,0)),0,VLOOKUP(A69,'Données projet'!$A$217:$I$237,3,0))</f>
        <v>2</v>
      </c>
      <c r="FM69" s="15">
        <f>IF(ISNA(VLOOKUP(A69,'Données projet'!$A$217:$I$237,4,0)),0,VLOOKUP(A69,'Données projet'!$A$217:$I$237,4,0))</f>
        <v>59.749999999999993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0.5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26.425508628087861</v>
      </c>
      <c r="FT69" s="22">
        <f t="shared" si="78"/>
        <v>26.425508628087861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10.314743589743591</v>
      </c>
      <c r="N70" s="13">
        <f>IF('Données projet'!$A$36&gt;35,N69+M70-V69,IF(A70&lt;'Données projet'!$A$36,$K$205^A70,IF(A70='Données projet'!$A$36,'Données projet'!$B$36,N69+M70-V69)))</f>
        <v>296.24230769230797</v>
      </c>
      <c r="O70" s="13">
        <f>N70*VLOOKUP('Données projet'!$B$9,Paramètres!$A$1:$I$89,3,0)*VLOOKUP('Données projet'!$B$9,Paramètres!$A$1:$I$89,5,0)</f>
        <v>138.64140000000015</v>
      </c>
      <c r="P70" s="13">
        <f t="shared" si="87"/>
        <v>35.985592892108897</v>
      </c>
      <c r="Q70" s="20">
        <f t="shared" si="54"/>
        <v>304.14201262042326</v>
      </c>
      <c r="R70" s="59">
        <f t="shared" si="55"/>
        <v>597.47534595375657</v>
      </c>
      <c r="S70" s="59">
        <f ca="1">AVERAGE(OFFSET($R$3,0,0,'Données projet'!$E$9+1,1))-AVERAGE(OFFSET($H$3,0,0,'Données projet'!$E$9+1,1))</f>
        <v>164.93438869099657</v>
      </c>
      <c r="T70" s="59">
        <f t="shared" si="88"/>
        <v>112.28641356594233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20.112307473966929</v>
      </c>
      <c r="AA70" s="21">
        <f>EXP(-LN(2)/25)*AA69+(1-EXP(-LN(2)/25))/(LN(2)/25)*Calculateur!V70*Calculateur!X70*VLOOKUP('Données projet'!$B$9,Paramètres!$A$1:$I$89,3,0)*0.475*44/12</f>
        <v>25.382398303202738</v>
      </c>
      <c r="AB70" s="21">
        <f>EXP(-LN(2)/2)*AB69+(1-EXP(-LN(2)/2))/(LN(2)/2)*V70*Y70*VLOOKUP('Données projet'!$B$9,Paramètres!$A$1:$I$89,3,0)*0.475*44/12</f>
        <v>0.98348220825881982</v>
      </c>
      <c r="AC70" s="22">
        <f t="shared" si="57"/>
        <v>46.478187985428491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273.81843612193632</v>
      </c>
      <c r="AO70" s="59">
        <f t="shared" si="90"/>
        <v>241.86405419073208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-1.1368683772161603E-13</v>
      </c>
      <c r="BE70" s="13">
        <f>BD70*VLOOKUP('Données projet'!$B$11,Paramètres!$A$1:$I$89,3,0)*VLOOKUP('Données projet'!$B$11,Paramètres!$A$1:$I$89,5,0)</f>
        <v>-6.3550942286383367E-14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271.42245454555501</v>
      </c>
      <c r="BJ70" s="59">
        <f t="shared" si="92"/>
        <v>362.63944425429077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178.71417845551724</v>
      </c>
      <c r="BQ70" s="21">
        <f>EXP(-LN(2)/25)*BQ69+(1-EXP(-LN(2)/25))/(LN(2)/25)*Calculateur!BL70*Calculateur!BN70*VLOOKUP('Données projet'!$B$11,Paramètres!$A$1:$I$89,3,0)*0.475*44/12</f>
        <v>41.303417809367517</v>
      </c>
      <c r="BR70" s="21">
        <f>EXP(-LN(2)/2)*BR69+(1-EXP(-LN(2)/2))/(LN(2)/2)*BL70*BO70*VLOOKUP('Données projet'!$B$11,Paramètres!$A$1:$I$89,3,0)*0.475*44/12</f>
        <v>0.5337703750642574</v>
      </c>
      <c r="BS70" s="22">
        <f t="shared" si="63"/>
        <v>220.55136663994901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-5.6843418860808015E-14</v>
      </c>
      <c r="BZ70" s="13">
        <f>BY70*VLOOKUP('Données projet'!$B$12,Paramètres!$A$1:$I$89,3,0)*VLOOKUP('Données projet'!$B$12,Paramètres!$A$1:$I$89,5,0)</f>
        <v>-3.1036506698001178E-14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154.35821558431712</v>
      </c>
      <c r="CE70" s="59">
        <f t="shared" si="94"/>
        <v>263.86720460501306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39.508716706465478</v>
      </c>
      <c r="CL70" s="21">
        <f>EXP(-LN(2)/25)*CL69+(1-EXP(-LN(2)/25))/(LN(2)/25)*Calculateur!CG70*Calculateur!CI70*VLOOKUP('Données projet'!$B$12,Paramètres!$A$1:$I$89,3,0)*0.475*44/12</f>
        <v>70.918419564385857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110.42713627085134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2.6</v>
      </c>
      <c r="CT70" s="12">
        <f>IF('Données projet'!$A$140&gt;35,CT69+CS70-DB69,IF(A70&lt;'Données projet'!$A$140,$CQ$205^A70,IF(A70='Données projet'!$A$140,'Données projet'!$B$140,CT69+CS70-DB69)))</f>
        <v>199.20000000000002</v>
      </c>
      <c r="CU70" s="17">
        <f>CT70*VLOOKUP('Données projet'!$B$13,Paramètres!$A$1:$I$89,3,0)*VLOOKUP('Données projet'!$B$13,Paramètres!$A$1:$I$89,5,0)</f>
        <v>158.48352000000003</v>
      </c>
      <c r="CV70" s="13">
        <f t="shared" si="95"/>
        <v>40.500279761408329</v>
      </c>
      <c r="CW70" s="20">
        <f t="shared" si="67"/>
        <v>346.56345125111949</v>
      </c>
      <c r="CX70" s="59">
        <f t="shared" si="68"/>
        <v>639.8967845844528</v>
      </c>
      <c r="CY70" s="59">
        <f ca="1">AVERAGE(OFFSET($CX$3,0,0,'Données projet'!$E$13+1,1))-AVERAGE(OFFSET($H$3,0,0,'Données projet'!$E$13+1,1))</f>
        <v>157.25319335691853</v>
      </c>
      <c r="CZ70" s="59">
        <f t="shared" si="96"/>
        <v>159.50903492442171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7.5252510361849456</v>
      </c>
      <c r="DG70" s="21">
        <f>EXP(-LN(2)/25)*DG69+(1-EXP(-LN(2)/25))/(LN(2)/25)*Calculateur!DB70*Calculateur!DD70*VLOOKUP('Données projet'!$B$13,Paramètres!$A$1:$I$89,3,0)*0.475*44/12</f>
        <v>9.6748772467510946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17.200128282936042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4.5999999999999996</v>
      </c>
      <c r="DO70" s="12">
        <f>IF('Données projet'!$A$166&gt;35,DO69+DN70-DW69,IF(A70&lt;'Données projet'!$A$166,$DL$205^A70,IF(A70='Données projet'!$A$166,'Données projet'!$B$166,DO69+DN70-DW69)))</f>
        <v>206.19999999999993</v>
      </c>
      <c r="DP70" s="17">
        <f>DO70*VLOOKUP('Données projet'!$B$14,Paramètres!$A$1:$I$89,3,0)*VLOOKUP('Données projet'!$B$14,Paramètres!$A$1:$I$89,5,0)</f>
        <v>180.13631999999996</v>
      </c>
      <c r="DQ70" s="13">
        <f t="shared" si="97"/>
        <v>45.352513518602102</v>
      </c>
      <c r="DR70" s="20">
        <f t="shared" si="70"/>
        <v>392.72638504489856</v>
      </c>
      <c r="DS70" s="59">
        <f t="shared" si="71"/>
        <v>686.05971837823188</v>
      </c>
      <c r="DT70" s="59">
        <f ca="1">AVERAGE(OFFSET($DS$3,0,0,'Données projet'!$E$14+1,1))-AVERAGE(OFFSET($H$3,0,0,'Données projet'!$E$14+1,1))</f>
        <v>229.5312221178919</v>
      </c>
      <c r="DU70" s="59">
        <f t="shared" si="98"/>
        <v>218.1982095871906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7.9364795175563865</v>
      </c>
      <c r="EB70" s="21">
        <f>EXP(-LN(2)/25)*EB69+(1-EXP(-LN(2)/25))/(LN(2)/25)*Calculateur!DW70*Calculateur!DY70*VLOOKUP('Données projet'!$B$14,Paramètres!$A$1:$I$89,3,0)*0.475*44/12</f>
        <v>14.919514032652495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22.855993550208883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>
        <f>VLOOKUP(A70,'Données projet'!$A$191:$I$211,2,0)</f>
        <v>167.85897435897436</v>
      </c>
      <c r="EH70" s="12">
        <f>VLOOKUP(A70,'Données projet'!$A$191:$I$211,9,0)</f>
        <v>5.9431089743589762</v>
      </c>
      <c r="EI70" s="12">
        <f t="array" ref="EI70">INDEX(EH:EH,MIN(IF(ISNUMBER(EH70:EH266),ROW(EH70:EH266),"")))</f>
        <v>5.9431089743589762</v>
      </c>
      <c r="EJ70" s="12">
        <f>IF('Données projet'!$A$192&gt;35,EJ69+EI70-ER69,IF(A70&lt;'Données projet'!$A$192,$EG$205^A70,IF(A70='Données projet'!$A$192,'Données projet'!$B$192,EJ69+EI70-ER69)))</f>
        <v>167.85897435897436</v>
      </c>
      <c r="EK70" s="17">
        <f>EJ70*VLOOKUP('Données projet'!$B$15,Paramètres!$A$1:$I$89,3,0)*VLOOKUP('Données projet'!$B$15,Paramètres!$A$1:$I$89,5,0)</f>
        <v>151.87880000000001</v>
      </c>
      <c r="EL70" s="13">
        <f t="shared" si="99"/>
        <v>39.005239858021888</v>
      </c>
      <c r="EM70" s="20">
        <f t="shared" si="73"/>
        <v>332.45636941938818</v>
      </c>
      <c r="EN70" s="59">
        <f t="shared" si="74"/>
        <v>625.7897027527215</v>
      </c>
      <c r="EO70" s="59">
        <f ca="1">AVERAGE(OFFSET($EN$3,0,0,'Données projet'!$E$15+1,1))-AVERAGE(OFFSET($H$3,0,0,'Données projet'!$E$15+1,1))</f>
        <v>204.39656982394689</v>
      </c>
      <c r="EP70" s="59">
        <f t="shared" si="100"/>
        <v>134.95704640904546</v>
      </c>
      <c r="EQ70" s="15">
        <f>IF(ISNA(VLOOKUP(A70,'Données projet'!$A$191:$I$211,3,0)),0,VLOOKUP(A70,'Données projet'!$A$191:$I$211,3,0))</f>
        <v>4</v>
      </c>
      <c r="ER70" s="15">
        <f>IF(ISNA(VLOOKUP(A70,'Données projet'!$A$191:$I$211,4,0)),0,VLOOKUP(A70,'Données projet'!$A$191:$I$211,4,0))</f>
        <v>31.993589743589741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7.6873219373219399</v>
      </c>
      <c r="FE70" s="12">
        <f>IF('Données projet'!$A$218&gt;35,FE69+FD70-FM69,IF(A70&lt;'Données projet'!$A$218,$FB$205^A70,IF(A70='Données projet'!$A$218,'Données projet'!$B$218,FE69+FD70-FM69)))</f>
        <v>146.07834757834797</v>
      </c>
      <c r="FF70" s="17">
        <f>FE70*VLOOKUP('Données projet'!$B$16,Paramètres!$A$1:$I$89,3,0)*VLOOKUP('Données projet'!$B$16,Paramètres!$A$1:$I$89,5,0)</f>
        <v>125.33522222222257</v>
      </c>
      <c r="FG70" s="13">
        <f t="shared" si="101"/>
        <v>32.916184450425625</v>
      </c>
      <c r="FH70" s="20">
        <f t="shared" si="76"/>
        <v>275.62119995486228</v>
      </c>
      <c r="FI70" s="59">
        <f t="shared" si="77"/>
        <v>568.95453328819553</v>
      </c>
      <c r="FJ70" s="59">
        <f ca="1">AVERAGE(OFFSET($FI$3,0,0,'Données projet'!$E$16+1,1))-AVERAGE(OFFSET($H$3,0,0,'Données projet'!$E$16+1,1))</f>
        <v>199.60585215726968</v>
      </c>
      <c r="FK70" s="59">
        <f t="shared" si="102"/>
        <v>137.37366750114404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18.685656347224548</v>
      </c>
      <c r="FT70" s="22">
        <f t="shared" si="78"/>
        <v>18.685656347224548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10.314743589743591</v>
      </c>
      <c r="N71" s="13">
        <f>IF('Données projet'!$A$36&gt;35,N70+M71-V70,IF(A71&lt;'Données projet'!$A$36,$K$205^A71,IF(A71='Données projet'!$A$36,'Données projet'!$B$36,N70+M71-V70)))</f>
        <v>306.55705128205159</v>
      </c>
      <c r="O71" s="13">
        <f>N71*VLOOKUP('Données projet'!$B$9,Paramètres!$A$1:$I$89,3,0)*VLOOKUP('Données projet'!$B$9,Paramètres!$A$1:$I$89,5,0)</f>
        <v>143.46870000000015</v>
      </c>
      <c r="P71" s="13">
        <f t="shared" si="87"/>
        <v>37.090500536695636</v>
      </c>
      <c r="Q71" s="20">
        <f t="shared" si="54"/>
        <v>314.47394093474514</v>
      </c>
      <c r="R71" s="59">
        <f t="shared" si="55"/>
        <v>607.80727426807846</v>
      </c>
      <c r="S71" s="59">
        <f ca="1">AVERAGE(OFFSET($R$3,0,0,'Données projet'!$E$9+1,1))-AVERAGE(OFFSET($H$3,0,0,'Données projet'!$E$9+1,1))</f>
        <v>164.93438869099657</v>
      </c>
      <c r="T71" s="59">
        <f t="shared" si="88"/>
        <v>112.28641356594233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19.717917391698702</v>
      </c>
      <c r="AA71" s="21">
        <f>EXP(-LN(2)/25)*AA70+(1-EXP(-LN(2)/25))/(LN(2)/25)*Calculateur!V71*Calculateur!X71*VLOOKUP('Données projet'!$B$9,Paramètres!$A$1:$I$89,3,0)*0.475*44/12</f>
        <v>24.688315286799345</v>
      </c>
      <c r="AB71" s="21">
        <f>EXP(-LN(2)/2)*AB70+(1-EXP(-LN(2)/2))/(LN(2)/2)*V71*Y71*VLOOKUP('Données projet'!$B$9,Paramètres!$A$1:$I$89,3,0)*0.475*44/12</f>
        <v>0.69542693863613192</v>
      </c>
      <c r="AC71" s="22">
        <f t="shared" si="57"/>
        <v>45.101659617134175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273.81843612193632</v>
      </c>
      <c r="AO71" s="59">
        <f t="shared" si="90"/>
        <v>241.86405419073208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-1.1368683772161603E-13</v>
      </c>
      <c r="BE71" s="13">
        <f>BD71*VLOOKUP('Données projet'!$B$11,Paramètres!$A$1:$I$89,3,0)*VLOOKUP('Données projet'!$B$11,Paramètres!$A$1:$I$89,5,0)</f>
        <v>-6.3550942286383367E-14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271.42245454555501</v>
      </c>
      <c r="BJ71" s="59">
        <f t="shared" si="92"/>
        <v>362.63944425429077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175.20970242089007</v>
      </c>
      <c r="BQ71" s="21">
        <f>EXP(-LN(2)/25)*BQ70+(1-EXP(-LN(2)/25))/(LN(2)/25)*Calculateur!BL71*Calculateur!BN71*VLOOKUP('Données projet'!$B$11,Paramètres!$A$1:$I$89,3,0)*0.475*44/12</f>
        <v>40.173973677318017</v>
      </c>
      <c r="BR71" s="21">
        <f>EXP(-LN(2)/2)*BR70+(1-EXP(-LN(2)/2))/(LN(2)/2)*BL71*BO71*VLOOKUP('Données projet'!$B$11,Paramètres!$A$1:$I$89,3,0)*0.475*44/12</f>
        <v>0.37743265180442326</v>
      </c>
      <c r="BS71" s="22">
        <f t="shared" si="63"/>
        <v>215.76110875001248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-5.6843418860808015E-14</v>
      </c>
      <c r="BZ71" s="13">
        <f>BY71*VLOOKUP('Données projet'!$B$12,Paramètres!$A$1:$I$89,3,0)*VLOOKUP('Données projet'!$B$12,Paramètres!$A$1:$I$89,5,0)</f>
        <v>-3.1036506698001178E-14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154.35821558431712</v>
      </c>
      <c r="CE71" s="59">
        <f t="shared" si="94"/>
        <v>263.86720460501306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38.733974869789407</v>
      </c>
      <c r="CL71" s="21">
        <f>EXP(-LN(2)/25)*CL70+(1-EXP(-LN(2)/25))/(LN(2)/25)*Calculateur!CG71*Calculateur!CI71*VLOOKUP('Données projet'!$B$12,Paramètres!$A$1:$I$89,3,0)*0.475*44/12</f>
        <v>68.979151651960123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107.71312652174953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2.6</v>
      </c>
      <c r="CT71" s="12">
        <f>IF('Données projet'!$A$140&gt;35,CT70+CS71-DB70,IF(A71&lt;'Données projet'!$A$140,$CQ$205^A71,IF(A71='Données projet'!$A$140,'Données projet'!$B$140,CT70+CS71-DB70)))</f>
        <v>201.8</v>
      </c>
      <c r="CU71" s="17">
        <f>CT71*VLOOKUP('Données projet'!$B$13,Paramètres!$A$1:$I$89,3,0)*VLOOKUP('Données projet'!$B$13,Paramètres!$A$1:$I$89,5,0)</f>
        <v>160.55208000000002</v>
      </c>
      <c r="CV71" s="13">
        <f t="shared" si="95"/>
        <v>40.967013617152439</v>
      </c>
      <c r="CW71" s="20">
        <f t="shared" si="67"/>
        <v>350.97908804987384</v>
      </c>
      <c r="CX71" s="59">
        <f t="shared" si="68"/>
        <v>644.31242138320715</v>
      </c>
      <c r="CY71" s="59">
        <f ca="1">AVERAGE(OFFSET($CX$3,0,0,'Données projet'!$E$13+1,1))-AVERAGE(OFFSET($H$3,0,0,'Données projet'!$E$13+1,1))</f>
        <v>157.25319335691853</v>
      </c>
      <c r="CZ71" s="59">
        <f t="shared" si="96"/>
        <v>159.50903492442171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7.3776854533152711</v>
      </c>
      <c r="DG71" s="21">
        <f>EXP(-LN(2)/25)*DG70+(1-EXP(-LN(2)/25))/(LN(2)/25)*Calculateur!DB71*Calculateur!DD71*VLOOKUP('Données projet'!$B$13,Paramètres!$A$1:$I$89,3,0)*0.475*44/12</f>
        <v>9.410317219659003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16.788002672974272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4.5999999999999996</v>
      </c>
      <c r="DO71" s="12">
        <f>IF('Données projet'!$A$166&gt;35,DO70+DN71-DW70,IF(A71&lt;'Données projet'!$A$166,$DL$205^A71,IF(A71='Données projet'!$A$166,'Données projet'!$B$166,DO70+DN71-DW70)))</f>
        <v>210.79999999999993</v>
      </c>
      <c r="DP71" s="17">
        <f>DO71*VLOOKUP('Données projet'!$B$14,Paramètres!$A$1:$I$89,3,0)*VLOOKUP('Données projet'!$B$14,Paramètres!$A$1:$I$89,5,0)</f>
        <v>184.15487999999996</v>
      </c>
      <c r="DQ71" s="13">
        <f t="shared" si="97"/>
        <v>46.245339127946259</v>
      </c>
      <c r="DR71" s="20">
        <f t="shared" si="70"/>
        <v>401.28038164783965</v>
      </c>
      <c r="DS71" s="59">
        <f t="shared" si="71"/>
        <v>694.61371498117296</v>
      </c>
      <c r="DT71" s="59">
        <f ca="1">AVERAGE(OFFSET($DS$3,0,0,'Données projet'!$E$14+1,1))-AVERAGE(OFFSET($H$3,0,0,'Données projet'!$E$14+1,1))</f>
        <v>229.5312221178919</v>
      </c>
      <c r="DU71" s="59">
        <f t="shared" si="98"/>
        <v>218.1982095871906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7.780849994991625</v>
      </c>
      <c r="EB71" s="21">
        <f>EXP(-LN(2)/25)*EB70+(1-EXP(-LN(2)/25))/(LN(2)/25)*Calculateur!DW71*Calculateur!DY71*VLOOKUP('Données projet'!$B$14,Paramètres!$A$1:$I$89,3,0)*0.475*44/12</f>
        <v>14.511539136846469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22.292389131838092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5.6899038461538431</v>
      </c>
      <c r="EJ71" s="12">
        <f>IF('Données projet'!$A$192&gt;35,EJ70+EI71-ER70,IF(A71&lt;'Données projet'!$A$192,$EG$205^A71,IF(A71='Données projet'!$A$192,'Données projet'!$B$192,EJ70+EI71-ER70)))</f>
        <v>141.55528846153845</v>
      </c>
      <c r="EK71" s="17">
        <f>EJ71*VLOOKUP('Données projet'!$B$15,Paramètres!$A$1:$I$89,3,0)*VLOOKUP('Données projet'!$B$15,Paramètres!$A$1:$I$89,5,0)</f>
        <v>128.07922499999998</v>
      </c>
      <c r="EL71" s="13">
        <f t="shared" si="99"/>
        <v>33.552140849481908</v>
      </c>
      <c r="EM71" s="20">
        <f t="shared" si="73"/>
        <v>281.50796218784762</v>
      </c>
      <c r="EN71" s="59">
        <f t="shared" si="74"/>
        <v>574.84129552118088</v>
      </c>
      <c r="EO71" s="59">
        <f ca="1">AVERAGE(OFFSET($EN$3,0,0,'Données projet'!$E$15+1,1))-AVERAGE(OFFSET($H$3,0,0,'Données projet'!$E$15+1,1))</f>
        <v>204.39656982394689</v>
      </c>
      <c r="EP71" s="59">
        <f t="shared" si="100"/>
        <v>134.95704640904546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7.6873219373219399</v>
      </c>
      <c r="FE71" s="12">
        <f>IF('Données projet'!$A$218&gt;35,FE70+FD71-FM70,IF(A71&lt;'Données projet'!$A$218,$FB$205^A71,IF(A71='Données projet'!$A$218,'Données projet'!$B$218,FE70+FD71-FM70)))</f>
        <v>153.76566951566991</v>
      </c>
      <c r="FF71" s="17">
        <f>FE71*VLOOKUP('Données projet'!$B$16,Paramètres!$A$1:$I$89,3,0)*VLOOKUP('Données projet'!$B$16,Paramètres!$A$1:$I$89,5,0)</f>
        <v>131.9309444444448</v>
      </c>
      <c r="FG71" s="13">
        <f t="shared" si="101"/>
        <v>34.442160302228444</v>
      </c>
      <c r="FH71" s="20">
        <f t="shared" si="76"/>
        <v>289.76649076712255</v>
      </c>
      <c r="FI71" s="59">
        <f t="shared" si="77"/>
        <v>583.09982410045586</v>
      </c>
      <c r="FJ71" s="59">
        <f ca="1">AVERAGE(OFFSET($FI$3,0,0,'Données projet'!$E$16+1,1))-AVERAGE(OFFSET($H$3,0,0,'Données projet'!$E$16+1,1))</f>
        <v>199.60585215726968</v>
      </c>
      <c r="FK71" s="59">
        <f t="shared" si="102"/>
        <v>137.37366750114404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13.212754314043933</v>
      </c>
      <c r="FT71" s="22">
        <f t="shared" si="78"/>
        <v>13.212754314043933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10.314743589743591</v>
      </c>
      <c r="N72" s="13">
        <f>IF('Données projet'!$A$36&gt;35,N71+M72-V71,IF(A72&lt;'Données projet'!$A$36,$K$205^A72,IF(A72='Données projet'!$A$36,'Données projet'!$B$36,N71+M72-V71)))</f>
        <v>316.8717948717952</v>
      </c>
      <c r="O72" s="13">
        <f>N72*VLOOKUP('Données projet'!$B$9,Paramètres!$A$1:$I$89,3,0)*VLOOKUP('Données projet'!$B$9,Paramètres!$A$1:$I$89,5,0)</f>
        <v>148.29600000000016</v>
      </c>
      <c r="P72" s="13">
        <f t="shared" si="87"/>
        <v>38.191088392826394</v>
      </c>
      <c r="Q72" s="20">
        <f t="shared" si="54"/>
        <v>324.79834561750624</v>
      </c>
      <c r="R72" s="59">
        <f t="shared" si="55"/>
        <v>618.13167895083961</v>
      </c>
      <c r="S72" s="59">
        <f ca="1">AVERAGE(OFFSET($R$3,0,0,'Données projet'!$E$9+1,1))-AVERAGE(OFFSET($H$3,0,0,'Données projet'!$E$9+1,1))</f>
        <v>164.93438869099657</v>
      </c>
      <c r="T72" s="59">
        <f t="shared" si="88"/>
        <v>112.28641356594233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19.331261058389558</v>
      </c>
      <c r="AA72" s="21">
        <f>EXP(-LN(2)/25)*AA71+(1-EXP(-LN(2)/25))/(LN(2)/25)*Calculateur!V72*Calculateur!X72*VLOOKUP('Données projet'!$B$9,Paramètres!$A$1:$I$89,3,0)*0.475*44/12</f>
        <v>24.013212006979742</v>
      </c>
      <c r="AB72" s="21">
        <f>EXP(-LN(2)/2)*AB71+(1-EXP(-LN(2)/2))/(LN(2)/2)*V72*Y72*VLOOKUP('Données projet'!$B$9,Paramètres!$A$1:$I$89,3,0)*0.475*44/12</f>
        <v>0.49174110412940997</v>
      </c>
      <c r="AC72" s="22">
        <f t="shared" si="57"/>
        <v>43.83621416949871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273.81843612193632</v>
      </c>
      <c r="AO72" s="59">
        <f t="shared" si="90"/>
        <v>241.86405419073208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-1.1368683772161603E-13</v>
      </c>
      <c r="BE72" s="13">
        <f>BD72*VLOOKUP('Données projet'!$B$11,Paramètres!$A$1:$I$89,3,0)*VLOOKUP('Données projet'!$B$11,Paramètres!$A$1:$I$89,5,0)</f>
        <v>-6.3550942286383367E-14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271.42245454555501</v>
      </c>
      <c r="BJ72" s="59">
        <f t="shared" si="92"/>
        <v>362.63944425429077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171.77394702378263</v>
      </c>
      <c r="BQ72" s="21">
        <f>EXP(-LN(2)/25)*BQ71+(1-EXP(-LN(2)/25))/(LN(2)/25)*Calculateur!BL72*Calculateur!BN72*VLOOKUP('Données projet'!$B$11,Paramètres!$A$1:$I$89,3,0)*0.475*44/12</f>
        <v>39.075414254454301</v>
      </c>
      <c r="BR72" s="21">
        <f>EXP(-LN(2)/2)*BR71+(1-EXP(-LN(2)/2))/(LN(2)/2)*BL72*BO72*VLOOKUP('Données projet'!$B$11,Paramètres!$A$1:$I$89,3,0)*0.475*44/12</f>
        <v>0.2668851875321287</v>
      </c>
      <c r="BS72" s="22">
        <f t="shared" si="63"/>
        <v>211.11624646576905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-5.6843418860808015E-14</v>
      </c>
      <c r="BZ72" s="13">
        <f>BY72*VLOOKUP('Données projet'!$B$12,Paramètres!$A$1:$I$89,3,0)*VLOOKUP('Données projet'!$B$12,Paramètres!$A$1:$I$89,5,0)</f>
        <v>-3.1036506698001178E-14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154.35821558431712</v>
      </c>
      <c r="CE72" s="59">
        <f t="shared" si="94"/>
        <v>263.86720460501306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37.974425247984691</v>
      </c>
      <c r="CL72" s="21">
        <f>EXP(-LN(2)/25)*CL71+(1-EXP(-LN(2)/25))/(LN(2)/25)*Calculateur!CG72*Calculateur!CI72*VLOOKUP('Données projet'!$B$12,Paramètres!$A$1:$I$89,3,0)*0.475*44/12</f>
        <v>67.092913122581336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105.06733837056603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2.6</v>
      </c>
      <c r="CT72" s="12">
        <f>IF('Données projet'!$A$140&gt;35,CT71+CS72-DB71,IF(A72&lt;'Données projet'!$A$140,$CQ$205^A72,IF(A72='Données projet'!$A$140,'Données projet'!$B$140,CT71+CS72-DB71)))</f>
        <v>204.4</v>
      </c>
      <c r="CU72" s="17">
        <f>CT72*VLOOKUP('Données projet'!$B$13,Paramètres!$A$1:$I$89,3,0)*VLOOKUP('Données projet'!$B$13,Paramètres!$A$1:$I$89,5,0)</f>
        <v>162.62064000000001</v>
      </c>
      <c r="CV72" s="13">
        <f t="shared" si="95"/>
        <v>41.433048015026095</v>
      </c>
      <c r="CW72" s="20">
        <f t="shared" si="67"/>
        <v>355.39350662617045</v>
      </c>
      <c r="CX72" s="59">
        <f t="shared" si="68"/>
        <v>648.72683995950376</v>
      </c>
      <c r="CY72" s="59">
        <f ca="1">AVERAGE(OFFSET($CX$3,0,0,'Données projet'!$E$13+1,1))-AVERAGE(OFFSET($H$3,0,0,'Données projet'!$E$13+1,1))</f>
        <v>157.25319335691853</v>
      </c>
      <c r="CZ72" s="59">
        <f t="shared" si="96"/>
        <v>159.50903492442171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7.2330135415195524</v>
      </c>
      <c r="DG72" s="21">
        <f>EXP(-LN(2)/25)*DG71+(1-EXP(-LN(2)/25))/(LN(2)/25)*Calculateur!DB72*Calculateur!DD72*VLOOKUP('Données projet'!$B$13,Paramètres!$A$1:$I$89,3,0)*0.475*44/12</f>
        <v>9.1529916004203518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16.386005141939904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4.5999999999999996</v>
      </c>
      <c r="DO72" s="12">
        <f>IF('Données projet'!$A$166&gt;35,DO71+DN72-DW71,IF(A72&lt;'Données projet'!$A$166,$DL$205^A72,IF(A72='Données projet'!$A$166,'Données projet'!$B$166,DO71+DN72-DW71)))</f>
        <v>215.39999999999992</v>
      </c>
      <c r="DP72" s="17">
        <f>DO72*VLOOKUP('Données projet'!$B$14,Paramètres!$A$1:$I$89,3,0)*VLOOKUP('Données projet'!$B$14,Paramètres!$A$1:$I$89,5,0)</f>
        <v>188.17343999999994</v>
      </c>
      <c r="DQ72" s="13">
        <f t="shared" si="97"/>
        <v>47.135899614073118</v>
      </c>
      <c r="DR72" s="20">
        <f t="shared" si="70"/>
        <v>409.83043316117727</v>
      </c>
      <c r="DS72" s="59">
        <f t="shared" si="71"/>
        <v>703.16376649451058</v>
      </c>
      <c r="DT72" s="59">
        <f ca="1">AVERAGE(OFFSET($DS$3,0,0,'Données projet'!$E$14+1,1))-AVERAGE(OFFSET($H$3,0,0,'Données projet'!$E$14+1,1))</f>
        <v>229.5312221178919</v>
      </c>
      <c r="DU72" s="59">
        <f t="shared" si="98"/>
        <v>218.1982095871906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7.6282722724397223</v>
      </c>
      <c r="EB72" s="21">
        <f>EXP(-LN(2)/25)*EB71+(1-EXP(-LN(2)/25))/(LN(2)/25)*Calculateur!DW72*Calculateur!DY72*VLOOKUP('Données projet'!$B$14,Paramètres!$A$1:$I$89,3,0)*0.475*44/12</f>
        <v>14.114720336020726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21.742992608460447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5.6899038461538431</v>
      </c>
      <c r="EJ72" s="12">
        <f>IF('Données projet'!$A$192&gt;35,EJ71+EI72-ER71,IF(A72&lt;'Données projet'!$A$192,$EG$205^A72,IF(A72='Données projet'!$A$192,'Données projet'!$B$192,EJ71+EI72-ER71)))</f>
        <v>147.24519230769229</v>
      </c>
      <c r="EK72" s="17">
        <f>EJ72*VLOOKUP('Données projet'!$B$15,Paramètres!$A$1:$I$89,3,0)*VLOOKUP('Données projet'!$B$15,Paramètres!$A$1:$I$89,5,0)</f>
        <v>133.22744999999998</v>
      </c>
      <c r="EL72" s="13">
        <f t="shared" si="99"/>
        <v>34.741060528773644</v>
      </c>
      <c r="EM72" s="20">
        <f t="shared" si="73"/>
        <v>292.545155837614</v>
      </c>
      <c r="EN72" s="59">
        <f t="shared" si="74"/>
        <v>585.87848917094732</v>
      </c>
      <c r="EO72" s="59">
        <f ca="1">AVERAGE(OFFSET($EN$3,0,0,'Données projet'!$E$15+1,1))-AVERAGE(OFFSET($H$3,0,0,'Données projet'!$E$15+1,1))</f>
        <v>204.39656982394689</v>
      </c>
      <c r="EP72" s="59">
        <f t="shared" si="100"/>
        <v>134.95704640904546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7.6873219373219399</v>
      </c>
      <c r="FE72" s="12">
        <f>IF('Données projet'!$A$218&gt;35,FE71+FD72-FM71,IF(A72&lt;'Données projet'!$A$218,$FB$205^A72,IF(A72='Données projet'!$A$218,'Données projet'!$B$218,FE71+FD72-FM71)))</f>
        <v>161.45299145299185</v>
      </c>
      <c r="FF72" s="17">
        <f>FE72*VLOOKUP('Données projet'!$B$16,Paramètres!$A$1:$I$89,3,0)*VLOOKUP('Données projet'!$B$16,Paramètres!$A$1:$I$89,5,0)</f>
        <v>138.52666666666701</v>
      </c>
      <c r="FG72" s="13">
        <f t="shared" si="101"/>
        <v>35.959277977272386</v>
      </c>
      <c r="FH72" s="20">
        <f t="shared" si="76"/>
        <v>303.89635358819442</v>
      </c>
      <c r="FI72" s="59">
        <f t="shared" si="77"/>
        <v>597.22968692152767</v>
      </c>
      <c r="FJ72" s="59">
        <f ca="1">AVERAGE(OFFSET($FI$3,0,0,'Données projet'!$E$16+1,1))-AVERAGE(OFFSET($H$3,0,0,'Données projet'!$E$16+1,1))</f>
        <v>199.60585215726968</v>
      </c>
      <c r="FK72" s="59">
        <f t="shared" si="102"/>
        <v>137.37366750114404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9.3428281736122756</v>
      </c>
      <c r="FT72" s="22">
        <f t="shared" si="78"/>
        <v>9.3428281736122756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10.314743589743591</v>
      </c>
      <c r="N73" s="13">
        <f>IF('Données projet'!$A$36&gt;35,N72+M73-V72,IF(A73&lt;'Données projet'!$A$36,$K$205^A73,IF(A73='Données projet'!$A$36,'Données projet'!$B$36,N72+M73-V72)))</f>
        <v>327.18653846153882</v>
      </c>
      <c r="O73" s="13">
        <f>N73*VLOOKUP('Données projet'!$B$9,Paramètres!$A$1:$I$89,3,0)*VLOOKUP('Données projet'!$B$9,Paramètres!$A$1:$I$89,5,0)</f>
        <v>153.12330000000017</v>
      </c>
      <c r="P73" s="13">
        <f t="shared" si="87"/>
        <v>39.287513204310343</v>
      </c>
      <c r="Q73" s="20">
        <f t="shared" si="54"/>
        <v>335.11549966417408</v>
      </c>
      <c r="R73" s="59">
        <f t="shared" si="55"/>
        <v>628.44883299750745</v>
      </c>
      <c r="S73" s="59">
        <f ca="1">AVERAGE(OFFSET($R$3,0,0,'Données projet'!$E$9+1,1))-AVERAGE(OFFSET($H$3,0,0,'Données projet'!$E$9+1,1))</f>
        <v>164.93438869099657</v>
      </c>
      <c r="T73" s="59">
        <f t="shared" si="88"/>
        <v>112.28641356594233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18.952186819939527</v>
      </c>
      <c r="AA73" s="21">
        <f>EXP(-LN(2)/25)*AA72+(1-EXP(-LN(2)/25))/(LN(2)/25)*Calculateur!V73*Calculateur!X73*VLOOKUP('Données projet'!$B$9,Paramètres!$A$1:$I$89,3,0)*0.475*44/12</f>
        <v>23.356569461848945</v>
      </c>
      <c r="AB73" s="21">
        <f>EXP(-LN(2)/2)*AB72+(1-EXP(-LN(2)/2))/(LN(2)/2)*V73*Y73*VLOOKUP('Données projet'!$B$9,Paramètres!$A$1:$I$89,3,0)*0.475*44/12</f>
        <v>0.34771346931806602</v>
      </c>
      <c r="AC73" s="22">
        <f t="shared" si="57"/>
        <v>42.656469751106542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273.81843612193632</v>
      </c>
      <c r="AO73" s="59">
        <f t="shared" si="90"/>
        <v>241.86405419073208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-1.1368683772161603E-13</v>
      </c>
      <c r="BE73" s="13">
        <f>BD73*VLOOKUP('Données projet'!$B$11,Paramètres!$A$1:$I$89,3,0)*VLOOKUP('Données projet'!$B$11,Paramètres!$A$1:$I$89,5,0)</f>
        <v>-6.3550942286383367E-14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271.42245454555501</v>
      </c>
      <c r="BJ73" s="59">
        <f t="shared" si="92"/>
        <v>362.63944425429077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168.40556469440858</v>
      </c>
      <c r="BQ73" s="21">
        <f>EXP(-LN(2)/25)*BQ72+(1-EXP(-LN(2)/25))/(LN(2)/25)*Calculateur!BL73*Calculateur!BN73*VLOOKUP('Données projet'!$B$11,Paramètres!$A$1:$I$89,3,0)*0.475*44/12</f>
        <v>38.006894996779522</v>
      </c>
      <c r="BR73" s="21">
        <f>EXP(-LN(2)/2)*BR72+(1-EXP(-LN(2)/2))/(LN(2)/2)*BL73*BO73*VLOOKUP('Données projet'!$B$11,Paramètres!$A$1:$I$89,3,0)*0.475*44/12</f>
        <v>0.18871632590221163</v>
      </c>
      <c r="BS73" s="22">
        <f t="shared" si="63"/>
        <v>206.60117601709032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-5.6843418860808015E-14</v>
      </c>
      <c r="BZ73" s="13">
        <f>BY73*VLOOKUP('Données projet'!$B$12,Paramètres!$A$1:$I$89,3,0)*VLOOKUP('Données projet'!$B$12,Paramètres!$A$1:$I$89,5,0)</f>
        <v>-3.1036506698001178E-14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154.35821558431712</v>
      </c>
      <c r="CE73" s="59">
        <f t="shared" si="94"/>
        <v>263.86720460501306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37.229769930984041</v>
      </c>
      <c r="CL73" s="21">
        <f>EXP(-LN(2)/25)*CL72+(1-EXP(-LN(2)/25))/(LN(2)/25)*Calculateur!CG73*Calculateur!CI73*VLOOKUP('Données projet'!$B$12,Paramètres!$A$1:$I$89,3,0)*0.475*44/12</f>
        <v>65.258253884981386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102.48802381596542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207</v>
      </c>
      <c r="CR73" s="12">
        <f>VLOOKUP(A73,'Données projet'!$A$139:$I$159,9,0)</f>
        <v>2.6</v>
      </c>
      <c r="CS73" s="12">
        <f t="array" ref="CS73">INDEX(CR:CR,MIN(IF(ISNUMBER(CR73:CR269),ROW(CR73:CR269),"")))</f>
        <v>2.6</v>
      </c>
      <c r="CT73" s="12">
        <f>IF('Données projet'!$A$140&gt;35,CT72+CS73-DB72,IF(A73&lt;'Données projet'!$A$140,$CQ$205^A73,IF(A73='Données projet'!$A$140,'Données projet'!$B$140,CT72+CS73-DB72)))</f>
        <v>207</v>
      </c>
      <c r="CU73" s="17">
        <f>CT73*VLOOKUP('Données projet'!$B$13,Paramètres!$A$1:$I$89,3,0)*VLOOKUP('Données projet'!$B$13,Paramètres!$A$1:$I$89,5,0)</f>
        <v>164.68920000000003</v>
      </c>
      <c r="CV73" s="13">
        <f t="shared" si="95"/>
        <v>41.898392881067181</v>
      </c>
      <c r="CW73" s="20">
        <f t="shared" si="67"/>
        <v>359.80672426785873</v>
      </c>
      <c r="CX73" s="59">
        <f t="shared" si="68"/>
        <v>653.14005760119198</v>
      </c>
      <c r="CY73" s="59">
        <f ca="1">AVERAGE(OFFSET($CX$3,0,0,'Données projet'!$E$13+1,1))-AVERAGE(OFFSET($H$3,0,0,'Données projet'!$E$13+1,1))</f>
        <v>157.25319335691853</v>
      </c>
      <c r="CZ73" s="59">
        <f t="shared" si="96"/>
        <v>159.50903492442171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6</v>
      </c>
      <c r="DC73" s="16">
        <f>IF(ISNA(VLOOKUP(A73,'Données projet'!$A$139:$I$159,5,0)),0%,VLOOKUP(A73,'Données projet'!$A$139:$I$159,5,0)*VLOOKUP('Données projet'!$B$13,Paramètres!$A$1:$I$89,7,0))</f>
        <v>0.43990000000000001</v>
      </c>
      <c r="DD73" s="16">
        <f>IF(ISNA(VLOOKUP(A73,'Données projet'!$A$139:$I$159,6,0)),0%,VLOOKUP(A73,'Données projet'!$A$139:$I$159,6,0)*VLOOKUP('Données projet'!$B$13,Paramètres!$A$1:$I$89,7,0))</f>
        <v>0.17490000000000003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9.4125631479775578</v>
      </c>
      <c r="DG73" s="21">
        <f>EXP(-LN(2)/25)*DG72+(1-EXP(-LN(2)/25))/(LN(2)/25)*Calculateur!DB73*Calculateur!DD73*VLOOKUP('Données projet'!$B$13,Paramètres!$A$1:$I$89,3,0)*0.475*44/12</f>
        <v>9.8220286563458856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19.234591804323443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220</v>
      </c>
      <c r="DM73" s="12">
        <f>VLOOKUP(A73,'Données projet'!$A$165:$I$185,9,0)</f>
        <v>4.5999999999999996</v>
      </c>
      <c r="DN73" s="12">
        <f t="array" ref="DN73">INDEX(DM:DM,MIN(IF(ISNUMBER(DM73:DM269),ROW(DM73:DM269),"")))</f>
        <v>4.5999999999999996</v>
      </c>
      <c r="DO73" s="12">
        <f>IF('Données projet'!$A$166&gt;35,DO72+DN73-DW72,IF(A73&lt;'Données projet'!$A$166,$DL$205^A73,IF(A73='Données projet'!$A$166,'Données projet'!$B$166,DO72+DN73-DW72)))</f>
        <v>219.99999999999991</v>
      </c>
      <c r="DP73" s="17">
        <f>DO73*VLOOKUP('Données projet'!$B$14,Paramètres!$A$1:$I$89,3,0)*VLOOKUP('Données projet'!$B$14,Paramètres!$A$1:$I$89,5,0)</f>
        <v>192.19199999999995</v>
      </c>
      <c r="DQ73" s="13">
        <f t="shared" si="97"/>
        <v>48.02424892193244</v>
      </c>
      <c r="DR73" s="20">
        <f t="shared" si="70"/>
        <v>418.37663353903218</v>
      </c>
      <c r="DS73" s="59">
        <f t="shared" si="71"/>
        <v>711.7099668723655</v>
      </c>
      <c r="DT73" s="59">
        <f ca="1">AVERAGE(OFFSET($DS$3,0,0,'Données projet'!$E$14+1,1))-AVERAGE(OFFSET($H$3,0,0,'Données projet'!$E$14+1,1))</f>
        <v>229.5312221178919</v>
      </c>
      <c r="DU73" s="59">
        <f t="shared" si="98"/>
        <v>218.1982095871906</v>
      </c>
      <c r="DV73" s="15">
        <f>IF(ISNA(VLOOKUP(A73,'Données projet'!$A$165:$I$185,3,0)),0,VLOOKUP(A73,'Données projet'!$A$165:$I$185,3,0))</f>
        <v>11</v>
      </c>
      <c r="DW73" s="15" t="str">
        <f>IF(ISNA(VLOOKUP(A73,'Données projet'!$A$165:$I$185,4,0)),0,VLOOKUP(A73,'Données projet'!$A$165:$I$185,4,0))</f>
        <v>16</v>
      </c>
      <c r="DX73" s="16">
        <f>IF(ISNA(VLOOKUP(A73,'Données projet'!$A$165:$I$185,5,0)),0%,VLOOKUP(A73,'Données projet'!$A$165:$I$185,5,0)*VLOOKUP('Données projet'!$B$14,Paramètres!$A$1:$I$89,7,0))</f>
        <v>0.215</v>
      </c>
      <c r="DY73" s="16">
        <f>IF(ISNA(VLOOKUP(A73,'Données projet'!$A$165:$I$185,6,0)),0%,VLOOKUP(A73,'Données projet'!$A$165:$I$185,6,0)*VLOOKUP('Données projet'!$B$14,Paramètres!$A$1:$I$89,7,0))</f>
        <v>0.17200000000000001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10.80082840301019</v>
      </c>
      <c r="EB73" s="21">
        <f>EXP(-LN(2)/25)*EB72+(1-EXP(-LN(2)/25))/(LN(2)/25)*Calculateur!DW73*Calculateur!DY73*VLOOKUP('Données projet'!$B$14,Paramètres!$A$1:$I$89,3,0)*0.475*44/12</f>
        <v>16.376001653021259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27.176830056031449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5.6899038461538431</v>
      </c>
      <c r="EJ73" s="12">
        <f>IF('Données projet'!$A$192&gt;35,EJ72+EI73-ER72,IF(A73&lt;'Données projet'!$A$192,$EG$205^A73,IF(A73='Données projet'!$A$192,'Données projet'!$B$192,EJ72+EI73-ER72)))</f>
        <v>152.93509615384613</v>
      </c>
      <c r="EK73" s="17">
        <f>EJ73*VLOOKUP('Données projet'!$B$15,Paramètres!$A$1:$I$89,3,0)*VLOOKUP('Données projet'!$B$15,Paramètres!$A$1:$I$89,5,0)</f>
        <v>138.37567499999997</v>
      </c>
      <c r="EL73" s="13">
        <f t="shared" si="99"/>
        <v>35.924643086227974</v>
      </c>
      <c r="EM73" s="20">
        <f t="shared" si="73"/>
        <v>303.57305400018032</v>
      </c>
      <c r="EN73" s="59">
        <f t="shared" si="74"/>
        <v>596.90638733351363</v>
      </c>
      <c r="EO73" s="59">
        <f ca="1">AVERAGE(OFFSET($EN$3,0,0,'Données projet'!$E$15+1,1))-AVERAGE(OFFSET($H$3,0,0,'Données projet'!$E$15+1,1))</f>
        <v>204.39656982394689</v>
      </c>
      <c r="EP73" s="59">
        <f t="shared" si="100"/>
        <v>134.95704640904546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7.6873219373219399</v>
      </c>
      <c r="FE73" s="12">
        <f>IF('Données projet'!$A$218&gt;35,FE72+FD73-FM72,IF(A73&lt;'Données projet'!$A$218,$FB$205^A73,IF(A73='Données projet'!$A$218,'Données projet'!$B$218,FE72+FD73-FM72)))</f>
        <v>169.14031339031379</v>
      </c>
      <c r="FF73" s="17">
        <f>FE73*VLOOKUP('Données projet'!$B$16,Paramètres!$A$1:$I$89,3,0)*VLOOKUP('Données projet'!$B$16,Paramètres!$A$1:$I$89,5,0)</f>
        <v>145.12238888888925</v>
      </c>
      <c r="FG73" s="13">
        <f t="shared" si="101"/>
        <v>37.46800739784107</v>
      </c>
      <c r="FH73" s="20">
        <f t="shared" si="76"/>
        <v>318.01160686605527</v>
      </c>
      <c r="FI73" s="59">
        <f t="shared" si="77"/>
        <v>611.34494019938859</v>
      </c>
      <c r="FJ73" s="59">
        <f ca="1">AVERAGE(OFFSET($FI$3,0,0,'Données projet'!$E$16+1,1))-AVERAGE(OFFSET($H$3,0,0,'Données projet'!$E$16+1,1))</f>
        <v>199.60585215726968</v>
      </c>
      <c r="FK73" s="59">
        <f t="shared" si="102"/>
        <v>137.37366750114404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6.6063771570219672</v>
      </c>
      <c r="FT73" s="22">
        <f t="shared" si="78"/>
        <v>6.6063771570219672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10.314743589743591</v>
      </c>
      <c r="N74" s="13">
        <f>IF('Données projet'!$A$36&gt;35,N73+M74-V73,IF(A74&lt;'Données projet'!$A$36,$K$205^A74,IF(A74='Données projet'!$A$36,'Données projet'!$B$36,N73+M74-V73)))</f>
        <v>337.50128205128243</v>
      </c>
      <c r="O74" s="13">
        <f>N74*VLOOKUP('Données projet'!$B$9,Paramètres!$A$1:$I$89,3,0)*VLOOKUP('Données projet'!$B$9,Paramètres!$A$1:$I$89,5,0)</f>
        <v>157.95060000000018</v>
      </c>
      <c r="P74" s="13">
        <f t="shared" si="87"/>
        <v>40.379921270810129</v>
      </c>
      <c r="Q74" s="20">
        <f t="shared" si="54"/>
        <v>345.42565787999462</v>
      </c>
      <c r="R74" s="59">
        <f t="shared" si="55"/>
        <v>638.75899121332793</v>
      </c>
      <c r="S74" s="59">
        <f ca="1">AVERAGE(OFFSET($R$3,0,0,'Données projet'!$E$9+1,1))-AVERAGE(OFFSET($H$3,0,0,'Données projet'!$E$9+1,1))</f>
        <v>164.93438869099657</v>
      </c>
      <c r="T74" s="59">
        <f t="shared" si="88"/>
        <v>112.28641356594233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18.580545996093047</v>
      </c>
      <c r="AA74" s="21">
        <f>EXP(-LN(2)/25)*AA73+(1-EXP(-LN(2)/25))/(LN(2)/25)*Calculateur!V74*Calculateur!X74*VLOOKUP('Données projet'!$B$9,Paramètres!$A$1:$I$89,3,0)*0.475*44/12</f>
        <v>22.71788284164608</v>
      </c>
      <c r="AB74" s="21">
        <f>EXP(-LN(2)/2)*AB73+(1-EXP(-LN(2)/2))/(LN(2)/2)*V74*Y74*VLOOKUP('Données projet'!$B$9,Paramètres!$A$1:$I$89,3,0)*0.475*44/12</f>
        <v>0.24587055206470504</v>
      </c>
      <c r="AC74" s="22">
        <f t="shared" si="57"/>
        <v>41.544299389803825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273.81843612193632</v>
      </c>
      <c r="AO74" s="59">
        <f t="shared" si="90"/>
        <v>241.86405419073208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-1.1368683772161603E-13</v>
      </c>
      <c r="BE74" s="13">
        <f>BD74*VLOOKUP('Données projet'!$B$11,Paramètres!$A$1:$I$89,3,0)*VLOOKUP('Données projet'!$B$11,Paramètres!$A$1:$I$89,5,0)</f>
        <v>-6.3550942286383367E-14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271.42245454555501</v>
      </c>
      <c r="BJ74" s="59">
        <f t="shared" si="92"/>
        <v>362.63944425429077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165.10323428800319</v>
      </c>
      <c r="BQ74" s="21">
        <f>EXP(-LN(2)/25)*BQ73+(1-EXP(-LN(2)/25))/(LN(2)/25)*Calculateur!BL74*Calculateur!BN74*VLOOKUP('Données projet'!$B$11,Paramètres!$A$1:$I$89,3,0)*0.475*44/12</f>
        <v>36.967594454396846</v>
      </c>
      <c r="BR74" s="21">
        <f>EXP(-LN(2)/2)*BR73+(1-EXP(-LN(2)/2))/(LN(2)/2)*BL74*BO74*VLOOKUP('Données projet'!$B$11,Paramètres!$A$1:$I$89,3,0)*0.475*44/12</f>
        <v>0.13344259376606435</v>
      </c>
      <c r="BS74" s="22">
        <f t="shared" si="63"/>
        <v>202.2042713361661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-5.6843418860808015E-14</v>
      </c>
      <c r="BZ74" s="13">
        <f>BY74*VLOOKUP('Données projet'!$B$12,Paramètres!$A$1:$I$89,3,0)*VLOOKUP('Données projet'!$B$12,Paramètres!$A$1:$I$89,5,0)</f>
        <v>-3.1036506698001178E-14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154.35821558431712</v>
      </c>
      <c r="CE74" s="59">
        <f t="shared" si="94"/>
        <v>263.86720460501306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36.499716850554883</v>
      </c>
      <c r="CL74" s="21">
        <f>EXP(-LN(2)/25)*CL73+(1-EXP(-LN(2)/25))/(LN(2)/25)*Calculateur!CG74*Calculateur!CI74*VLOOKUP('Données projet'!$B$12,Paramètres!$A$1:$I$89,3,0)*0.475*44/12</f>
        <v>63.473763500714149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99.973480351269032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2.6</v>
      </c>
      <c r="CT74" s="12">
        <f>IF('Données projet'!$A$140&gt;35,CT73+CS74-DB73,IF(A74&lt;'Données projet'!$A$140,$CQ$205^A74,IF(A74='Données projet'!$A$140,'Données projet'!$B$140,CT73+CS74-DB73)))</f>
        <v>203.6</v>
      </c>
      <c r="CU74" s="17">
        <f>CT74*VLOOKUP('Données projet'!$B$13,Paramètres!$A$1:$I$89,3,0)*VLOOKUP('Données projet'!$B$13,Paramètres!$A$1:$I$89,5,0)</f>
        <v>161.98416</v>
      </c>
      <c r="CV74" s="13">
        <f t="shared" si="95"/>
        <v>41.289726712501803</v>
      </c>
      <c r="CW74" s="20">
        <f t="shared" si="67"/>
        <v>354.03535269094056</v>
      </c>
      <c r="CX74" s="59">
        <f t="shared" si="68"/>
        <v>647.36868602427387</v>
      </c>
      <c r="CY74" s="59">
        <f ca="1">AVERAGE(OFFSET($CX$3,0,0,'Données projet'!$E$13+1,1))-AVERAGE(OFFSET($H$3,0,0,'Données projet'!$E$13+1,1))</f>
        <v>157.25319335691853</v>
      </c>
      <c r="CZ74" s="59">
        <f t="shared" si="96"/>
        <v>159.50903492442171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9.2279885257423526</v>
      </c>
      <c r="DG74" s="21">
        <f>EXP(-LN(2)/25)*DG73+(1-EXP(-LN(2)/25))/(LN(2)/25)*Calculateur!DB74*Calculateur!DD74*VLOOKUP('Données projet'!$B$13,Paramètres!$A$1:$I$89,3,0)*0.475*44/12</f>
        <v>9.5534447662200694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18.781433291962422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3.8</v>
      </c>
      <c r="DO74" s="12">
        <f>IF('Données projet'!$A$166&gt;35,DO73+DN74-DW73,IF(A74&lt;'Données projet'!$A$166,$DL$205^A74,IF(A74='Données projet'!$A$166,'Données projet'!$B$166,DO73+DN74-DW73)))</f>
        <v>207.79999999999993</v>
      </c>
      <c r="DP74" s="17">
        <f>DO74*VLOOKUP('Données projet'!$B$14,Paramètres!$A$1:$I$89,3,0)*VLOOKUP('Données projet'!$B$14,Paramètres!$A$1:$I$89,5,0)</f>
        <v>181.53407999999996</v>
      </c>
      <c r="DQ74" s="13">
        <f t="shared" si="97"/>
        <v>45.663321943731859</v>
      </c>
      <c r="DR74" s="20">
        <f t="shared" si="70"/>
        <v>395.70214171866616</v>
      </c>
      <c r="DS74" s="59">
        <f t="shared" si="71"/>
        <v>689.03547505199947</v>
      </c>
      <c r="DT74" s="59">
        <f ca="1">AVERAGE(OFFSET($DS$3,0,0,'Données projet'!$E$14+1,1))-AVERAGE(OFFSET($H$3,0,0,'Données projet'!$E$14+1,1))</f>
        <v>229.5312221178919</v>
      </c>
      <c r="DU74" s="59">
        <f t="shared" si="98"/>
        <v>218.1982095871906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10.589030745881988</v>
      </c>
      <c r="EB74" s="21">
        <f>EXP(-LN(2)/25)*EB73+(1-EXP(-LN(2)/25))/(LN(2)/25)*Calculateur!DW74*Calculateur!DY74*VLOOKUP('Données projet'!$B$14,Paramètres!$A$1:$I$89,3,0)*0.475*44/12</f>
        <v>15.928199026642893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26.517229772524882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5.6899038461538431</v>
      </c>
      <c r="EJ74" s="12">
        <f>IF('Données projet'!$A$192&gt;35,EJ73+EI74-ER73,IF(A74&lt;'Données projet'!$A$192,$EG$205^A74,IF(A74='Données projet'!$A$192,'Données projet'!$B$192,EJ73+EI74-ER73)))</f>
        <v>158.62499999999997</v>
      </c>
      <c r="EK74" s="17">
        <f>EJ74*VLOOKUP('Données projet'!$B$15,Paramètres!$A$1:$I$89,3,0)*VLOOKUP('Données projet'!$B$15,Paramètres!$A$1:$I$89,5,0)</f>
        <v>143.52389999999997</v>
      </c>
      <c r="EL74" s="13">
        <f t="shared" si="99"/>
        <v>37.103109825509961</v>
      </c>
      <c r="EM74" s="20">
        <f t="shared" si="73"/>
        <v>314.59204211276312</v>
      </c>
      <c r="EN74" s="59">
        <f t="shared" si="74"/>
        <v>607.9253754460965</v>
      </c>
      <c r="EO74" s="59">
        <f ca="1">AVERAGE(OFFSET($EN$3,0,0,'Données projet'!$E$15+1,1))-AVERAGE(OFFSET($H$3,0,0,'Données projet'!$E$15+1,1))</f>
        <v>204.39656982394689</v>
      </c>
      <c r="EP74" s="59">
        <f t="shared" si="100"/>
        <v>134.95704640904546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7.6873219373219399</v>
      </c>
      <c r="FE74" s="12">
        <f>IF('Données projet'!$A$218&gt;35,FE73+FD74-FM73,IF(A74&lt;'Données projet'!$A$218,$FB$205^A74,IF(A74='Données projet'!$A$218,'Données projet'!$B$218,FE73+FD74-FM73)))</f>
        <v>176.82763532763573</v>
      </c>
      <c r="FF74" s="17">
        <f>FE74*VLOOKUP('Données projet'!$B$16,Paramètres!$A$1:$I$89,3,0)*VLOOKUP('Données projet'!$B$16,Paramètres!$A$1:$I$89,5,0)</f>
        <v>151.71811111111148</v>
      </c>
      <c r="FG74" s="13">
        <f t="shared" si="101"/>
        <v>38.96877335632584</v>
      </c>
      <c r="FH74" s="20">
        <f t="shared" si="76"/>
        <v>332.11299044745334</v>
      </c>
      <c r="FI74" s="59">
        <f t="shared" si="77"/>
        <v>625.44632378078666</v>
      </c>
      <c r="FJ74" s="59">
        <f ca="1">AVERAGE(OFFSET($FI$3,0,0,'Données projet'!$E$16+1,1))-AVERAGE(OFFSET($H$3,0,0,'Données projet'!$E$16+1,1))</f>
        <v>199.60585215726968</v>
      </c>
      <c r="FK74" s="59">
        <f t="shared" si="102"/>
        <v>137.37366750114404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4.6714140868061387</v>
      </c>
      <c r="FT74" s="22">
        <f t="shared" si="78"/>
        <v>4.6714140868061387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10.314743589743591</v>
      </c>
      <c r="N75" s="13">
        <f>IF('Données projet'!$A$36&gt;35,N74+M75-V74,IF(A75&lt;'Données projet'!$A$36,$K$205^A75,IF(A75='Données projet'!$A$36,'Données projet'!$B$36,N74+M75-V74)))</f>
        <v>347.81602564102604</v>
      </c>
      <c r="O75" s="13">
        <f>N75*VLOOKUP('Données projet'!$B$9,Paramètres!$A$1:$I$89,3,0)*VLOOKUP('Données projet'!$B$9,Paramètres!$A$1:$I$89,5,0)</f>
        <v>162.77790000000019</v>
      </c>
      <c r="P75" s="13">
        <f t="shared" si="87"/>
        <v>41.468449441443113</v>
      </c>
      <c r="Q75" s="20">
        <f t="shared" si="54"/>
        <v>355.72905861051368</v>
      </c>
      <c r="R75" s="59">
        <f t="shared" si="55"/>
        <v>649.06239194384693</v>
      </c>
      <c r="S75" s="59">
        <f ca="1">AVERAGE(OFFSET($R$3,0,0,'Données projet'!$E$9+1,1))-AVERAGE(OFFSET($H$3,0,0,'Données projet'!$E$9+1,1))</f>
        <v>164.93438869099657</v>
      </c>
      <c r="T75" s="59">
        <f t="shared" si="88"/>
        <v>112.28641356594233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18.216192822123677</v>
      </c>
      <c r="AA75" s="21">
        <f>EXP(-LN(2)/25)*AA74+(1-EXP(-LN(2)/25))/(LN(2)/25)*Calculateur!V75*Calculateur!X75*VLOOKUP('Données projet'!$B$9,Paramètres!$A$1:$I$89,3,0)*0.475*44/12</f>
        <v>22.096661140659734</v>
      </c>
      <c r="AB75" s="21">
        <f>EXP(-LN(2)/2)*AB74+(1-EXP(-LN(2)/2))/(LN(2)/2)*V75*Y75*VLOOKUP('Données projet'!$B$9,Paramètres!$A$1:$I$89,3,0)*0.475*44/12</f>
        <v>0.17385673465903304</v>
      </c>
      <c r="AC75" s="22">
        <f t="shared" si="57"/>
        <v>40.48671069744244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273.81843612193632</v>
      </c>
      <c r="AO75" s="59">
        <f t="shared" si="90"/>
        <v>241.86405419073208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-1.1368683772161603E-13</v>
      </c>
      <c r="BE75" s="13">
        <f>BD75*VLOOKUP('Données projet'!$B$11,Paramètres!$A$1:$I$89,3,0)*VLOOKUP('Données projet'!$B$11,Paramètres!$A$1:$I$89,5,0)</f>
        <v>-6.3550942286383367E-14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271.42245454555501</v>
      </c>
      <c r="BJ75" s="59">
        <f t="shared" si="92"/>
        <v>362.63944425429077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161.86566056664478</v>
      </c>
      <c r="BQ75" s="21">
        <f>EXP(-LN(2)/25)*BQ74+(1-EXP(-LN(2)/25))/(LN(2)/25)*Calculateur!BL75*Calculateur!BN75*VLOOKUP('Données projet'!$B$11,Paramètres!$A$1:$I$89,3,0)*0.475*44/12</f>
        <v>35.956713640000061</v>
      </c>
      <c r="BR75" s="21">
        <f>EXP(-LN(2)/2)*BR74+(1-EXP(-LN(2)/2))/(LN(2)/2)*BL75*BO75*VLOOKUP('Données projet'!$B$11,Paramètres!$A$1:$I$89,3,0)*0.475*44/12</f>
        <v>9.4358162951105815E-2</v>
      </c>
      <c r="BS75" s="22">
        <f t="shared" si="63"/>
        <v>197.91673236959593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-5.6843418860808015E-14</v>
      </c>
      <c r="BZ75" s="13">
        <f>BY75*VLOOKUP('Données projet'!$B$12,Paramètres!$A$1:$I$89,3,0)*VLOOKUP('Données projet'!$B$12,Paramètres!$A$1:$I$89,5,0)</f>
        <v>-3.1036506698001178E-14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154.35821558431712</v>
      </c>
      <c r="CE75" s="59">
        <f t="shared" si="94"/>
        <v>263.86720460501306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35.783979665744525</v>
      </c>
      <c r="CL75" s="21">
        <f>EXP(-LN(2)/25)*CL74+(1-EXP(-LN(2)/25))/(LN(2)/25)*Calculateur!CG75*Calculateur!CI75*VLOOKUP('Données projet'!$B$12,Paramètres!$A$1:$I$89,3,0)*0.475*44/12</f>
        <v>61.738070099846972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97.522049765591504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2.6</v>
      </c>
      <c r="CT75" s="12">
        <f>IF('Données projet'!$A$140&gt;35,CT74+CS75-DB74,IF(A75&lt;'Données projet'!$A$140,$CQ$205^A75,IF(A75='Données projet'!$A$140,'Données projet'!$B$140,CT74+CS75-DB74)))</f>
        <v>206.2</v>
      </c>
      <c r="CU75" s="17">
        <f>CT75*VLOOKUP('Données projet'!$B$13,Paramètres!$A$1:$I$89,3,0)*VLOOKUP('Données projet'!$B$13,Paramètres!$A$1:$I$89,5,0)</f>
        <v>164.05271999999999</v>
      </c>
      <c r="CV75" s="13">
        <f t="shared" si="95"/>
        <v>41.755282701020434</v>
      </c>
      <c r="CW75" s="20">
        <f t="shared" si="67"/>
        <v>358.44893803761056</v>
      </c>
      <c r="CX75" s="59">
        <f t="shared" si="68"/>
        <v>651.78227137094382</v>
      </c>
      <c r="CY75" s="59">
        <f ca="1">AVERAGE(OFFSET($CX$3,0,0,'Données projet'!$E$13+1,1))-AVERAGE(OFFSET($H$3,0,0,'Données projet'!$E$13+1,1))</f>
        <v>157.25319335691853</v>
      </c>
      <c r="CZ75" s="59">
        <f t="shared" si="96"/>
        <v>159.50903492442171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9.047033299269776</v>
      </c>
      <c r="DG75" s="21">
        <f>EXP(-LN(2)/25)*DG74+(1-EXP(-LN(2)/25))/(LN(2)/25)*Calculateur!DB75*Calculateur!DD75*VLOOKUP('Données projet'!$B$13,Paramètres!$A$1:$I$89,3,0)*0.475*44/12</f>
        <v>9.2922053166939556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18.33923861596373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3.8</v>
      </c>
      <c r="DO75" s="12">
        <f>IF('Données projet'!$A$166&gt;35,DO74+DN75-DW74,IF(A75&lt;'Données projet'!$A$166,$DL$205^A75,IF(A75='Données projet'!$A$166,'Données projet'!$B$166,DO74+DN75-DW74)))</f>
        <v>211.59999999999994</v>
      </c>
      <c r="DP75" s="17">
        <f>DO75*VLOOKUP('Données projet'!$B$14,Paramètres!$A$1:$I$89,3,0)*VLOOKUP('Données projet'!$B$14,Paramètres!$A$1:$I$89,5,0)</f>
        <v>184.85375999999997</v>
      </c>
      <c r="DQ75" s="13">
        <f t="shared" si="97"/>
        <v>46.400380376458166</v>
      </c>
      <c r="DR75" s="20">
        <f t="shared" si="70"/>
        <v>402.76762782233124</v>
      </c>
      <c r="DS75" s="59">
        <f t="shared" si="71"/>
        <v>696.10096115566455</v>
      </c>
      <c r="DT75" s="59">
        <f ca="1">AVERAGE(OFFSET($DS$3,0,0,'Données projet'!$E$14+1,1))-AVERAGE(OFFSET($H$3,0,0,'Données projet'!$E$14+1,1))</f>
        <v>229.5312221178919</v>
      </c>
      <c r="DU75" s="59">
        <f t="shared" si="98"/>
        <v>218.1982095871906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10.381386311626256</v>
      </c>
      <c r="EB75" s="21">
        <f>EXP(-LN(2)/25)*EB74+(1-EXP(-LN(2)/25))/(LN(2)/25)*Calculateur!DW75*Calculateur!DY75*VLOOKUP('Données projet'!$B$14,Paramètres!$A$1:$I$89,3,0)*0.475*44/12</f>
        <v>15.492641586631761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25.874027898258017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5.6899038461538431</v>
      </c>
      <c r="EJ75" s="12">
        <f>IF('Données projet'!$A$192&gt;35,EJ74+EI75-ER74,IF(A75&lt;'Données projet'!$A$192,$EG$205^A75,IF(A75='Données projet'!$A$192,'Données projet'!$B$192,EJ74+EI75-ER74)))</f>
        <v>164.31490384615381</v>
      </c>
      <c r="EK75" s="17">
        <f>EJ75*VLOOKUP('Données projet'!$B$15,Paramètres!$A$1:$I$89,3,0)*VLOOKUP('Données projet'!$B$15,Paramètres!$A$1:$I$89,5,0)</f>
        <v>148.67212499999997</v>
      </c>
      <c r="EL75" s="13">
        <f t="shared" si="99"/>
        <v>38.276665273939201</v>
      </c>
      <c r="EM75" s="20">
        <f t="shared" si="73"/>
        <v>325.60247639377735</v>
      </c>
      <c r="EN75" s="59">
        <f t="shared" si="74"/>
        <v>618.93580972711061</v>
      </c>
      <c r="EO75" s="59">
        <f ca="1">AVERAGE(OFFSET($EN$3,0,0,'Données projet'!$E$15+1,1))-AVERAGE(OFFSET($H$3,0,0,'Données projet'!$E$15+1,1))</f>
        <v>204.39656982394689</v>
      </c>
      <c r="EP75" s="59">
        <f t="shared" si="100"/>
        <v>134.95704640904546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7.6873219373219399</v>
      </c>
      <c r="FE75" s="12">
        <f>IF('Données projet'!$A$218&gt;35,FE74+FD75-FM74,IF(A75&lt;'Données projet'!$A$218,$FB$205^A75,IF(A75='Données projet'!$A$218,'Données projet'!$B$218,FE74+FD75-FM74)))</f>
        <v>184.51495726495767</v>
      </c>
      <c r="FF75" s="17">
        <f>FE75*VLOOKUP('Données projet'!$B$16,Paramètres!$A$1:$I$89,3,0)*VLOOKUP('Données projet'!$B$16,Paramètres!$A$1:$I$89,5,0)</f>
        <v>158.31383333333369</v>
      </c>
      <c r="FG75" s="13">
        <f t="shared" si="101"/>
        <v>40.461961622019309</v>
      </c>
      <c r="FH75" s="20">
        <f t="shared" si="76"/>
        <v>346.20117621390642</v>
      </c>
      <c r="FI75" s="59">
        <f t="shared" si="77"/>
        <v>639.53450954723974</v>
      </c>
      <c r="FJ75" s="59">
        <f ca="1">AVERAGE(OFFSET($FI$3,0,0,'Données projet'!$E$16+1,1))-AVERAGE(OFFSET($H$3,0,0,'Données projet'!$E$16+1,1))</f>
        <v>199.60585215726968</v>
      </c>
      <c r="FK75" s="59">
        <f t="shared" si="102"/>
        <v>137.37366750114404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3.3031885785109845</v>
      </c>
      <c r="FT75" s="22">
        <f t="shared" si="78"/>
        <v>3.3031885785109845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358.13076923076926</v>
      </c>
      <c r="L76" s="12">
        <f>VLOOKUP(A76,'Données projet'!$A$35:$I$55,9,0)</f>
        <v>10.314743589743591</v>
      </c>
      <c r="M76" s="12">
        <f t="array" ref="M76">INDEX(L:L,MIN(IF(ISNUMBER(L76:L272),ROW(L76:L272),"")))</f>
        <v>10.314743589743591</v>
      </c>
      <c r="N76" s="13">
        <f>IF('Données projet'!$A$36&gt;35,N75+M76-V75,IF(A76&lt;'Données projet'!$A$36,$K$205^A76,IF(A76='Données projet'!$A$36,'Données projet'!$B$36,N75+M76-V75)))</f>
        <v>358.13076923076966</v>
      </c>
      <c r="O76" s="13">
        <f>N76*VLOOKUP('Données projet'!$B$9,Paramètres!$A$1:$I$89,3,0)*VLOOKUP('Données projet'!$B$9,Paramètres!$A$1:$I$89,5,0)</f>
        <v>167.6052000000002</v>
      </c>
      <c r="P76" s="13">
        <f t="shared" si="87"/>
        <v>42.553225987206773</v>
      </c>
      <c r="Q76" s="20">
        <f t="shared" si="54"/>
        <v>366.02592526105212</v>
      </c>
      <c r="R76" s="59">
        <f t="shared" si="55"/>
        <v>659.35925859438544</v>
      </c>
      <c r="S76" s="59">
        <f ca="1">AVERAGE(OFFSET($R$3,0,0,'Données projet'!$E$9+1,1))-AVERAGE(OFFSET($H$3,0,0,'Données projet'!$E$9+1,1))</f>
        <v>164.93438869099657</v>
      </c>
      <c r="T76" s="59">
        <f t="shared" si="88"/>
        <v>112.28641356594233</v>
      </c>
      <c r="U76" s="15">
        <f>IF(ISNA(VLOOKUP(A76,'Données projet'!$A$35:$I$55,3,0)),0,VLOOKUP(A76,'Données projet'!$A$35:$I$55,3,0))</f>
        <v>3</v>
      </c>
      <c r="V76" s="15">
        <f>IF(ISNA(VLOOKUP(A76,'Données projet'!$A$35:$I$55,4,0)),0,VLOOKUP(A76,'Données projet'!$A$35:$I$55,4,0))</f>
        <v>93.584615384615375</v>
      </c>
      <c r="W76" s="16">
        <f>IF(ISNA(VLOOKUP(A76,'Données projet'!$A$35:$I$55,5,0)),0%,VLOOKUP(A76,'Données projet'!$A$35:$I$55,5,0)*VLOOKUP('Données projet'!$B$9,Paramètres!$A$1:$I$89,7,0))</f>
        <v>0.38500000000000001</v>
      </c>
      <c r="X76" s="16">
        <f>IF(ISNA(VLOOKUP(A76,'Données projet'!$A$35:$I$55,6,0)),0%,VLOOKUP(A76,'Données projet'!$A$35:$I$55,6,0)*VLOOKUP('Données projet'!$B$9,Paramètres!$A$1:$I$89,7,0))</f>
        <v>9.240000000000001E-2</v>
      </c>
      <c r="Y76" s="16">
        <f>IF(ISNA(VLOOKUP(A76,'Données projet'!$A$35:$I$55,7,0)),0%,VLOOKUP(A76,'Données projet'!$A$35:$I$55,7,0))</f>
        <v>0.13200000000000001</v>
      </c>
      <c r="Z76" s="21">
        <f>EXP(-LN(2)/35)*Z75+(1-EXP(-LN(2)/35))/(LN(2)/35)*V76*W76*VLOOKUP('Données projet'!$B$9,Paramètres!$A$1:$I$89,3,0)*0.475*44/12</f>
        <v>40.227615058182487</v>
      </c>
      <c r="AA76" s="21">
        <f>EXP(-LN(2)/25)*AA75+(1-EXP(-LN(2)/25))/(LN(2)/25)*Calculateur!V76*Calculateur!X76*VLOOKUP('Données projet'!$B$9,Paramètres!$A$1:$I$89,3,0)*0.475*44/12</f>
        <v>26.839760422428181</v>
      </c>
      <c r="AB76" s="21">
        <f>EXP(-LN(2)/2)*AB75+(1-EXP(-LN(2)/2))/(LN(2)/2)*V76*Y76*VLOOKUP('Données projet'!$B$9,Paramètres!$A$1:$I$89,3,0)*0.475*44/12</f>
        <v>6.6686908362195103</v>
      </c>
      <c r="AC76" s="22">
        <f t="shared" si="57"/>
        <v>73.736066316830176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273.81843612193632</v>
      </c>
      <c r="AO76" s="59">
        <f t="shared" si="90"/>
        <v>241.86405419073208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-1.1368683772161603E-13</v>
      </c>
      <c r="BE76" s="13">
        <f>BD76*VLOOKUP('Données projet'!$B$11,Paramètres!$A$1:$I$89,3,0)*VLOOKUP('Données projet'!$B$11,Paramètres!$A$1:$I$89,5,0)</f>
        <v>-6.3550942286383367E-14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271.42245454555501</v>
      </c>
      <c r="BJ76" s="59">
        <f t="shared" si="92"/>
        <v>362.63944425429077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158.69157369123721</v>
      </c>
      <c r="BQ76" s="21">
        <f>EXP(-LN(2)/25)*BQ75+(1-EXP(-LN(2)/25))/(LN(2)/25)*Calculateur!BL76*Calculateur!BN76*VLOOKUP('Données projet'!$B$11,Paramètres!$A$1:$I$89,3,0)*0.475*44/12</f>
        <v>34.973475414632865</v>
      </c>
      <c r="BR76" s="21">
        <f>EXP(-LN(2)/2)*BR75+(1-EXP(-LN(2)/2))/(LN(2)/2)*BL76*BO76*VLOOKUP('Données projet'!$B$11,Paramètres!$A$1:$I$89,3,0)*0.475*44/12</f>
        <v>6.6721296883032175E-2</v>
      </c>
      <c r="BS76" s="22">
        <f t="shared" si="63"/>
        <v>193.73177040275311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-5.6843418860808015E-14</v>
      </c>
      <c r="BZ76" s="13">
        <f>BY76*VLOOKUP('Données projet'!$B$12,Paramètres!$A$1:$I$89,3,0)*VLOOKUP('Données projet'!$B$12,Paramètres!$A$1:$I$89,5,0)</f>
        <v>-3.1036506698001178E-14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154.35821558431712</v>
      </c>
      <c r="CE76" s="59">
        <f t="shared" si="94"/>
        <v>263.86720460501306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35.082277650571726</v>
      </c>
      <c r="CL76" s="21">
        <f>EXP(-LN(2)/25)*CL75+(1-EXP(-LN(2)/25))/(LN(2)/25)*Calculateur!CG76*Calculateur!CI76*VLOOKUP('Données projet'!$B$12,Paramètres!$A$1:$I$89,3,0)*0.475*44/12</f>
        <v>60.049839326302653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95.132116976874386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2.6</v>
      </c>
      <c r="CT76" s="12">
        <f>IF('Données projet'!$A$140&gt;35,CT75+CS76-DB75,IF(A76&lt;'Données projet'!$A$140,$CQ$205^A76,IF(A76='Données projet'!$A$140,'Données projet'!$B$140,CT75+CS76-DB75)))</f>
        <v>208.79999999999998</v>
      </c>
      <c r="CU76" s="17">
        <f>CT76*VLOOKUP('Données projet'!$B$13,Paramètres!$A$1:$I$89,3,0)*VLOOKUP('Données projet'!$B$13,Paramètres!$A$1:$I$89,5,0)</f>
        <v>166.12128000000001</v>
      </c>
      <c r="CV76" s="13">
        <f t="shared" si="95"/>
        <v>42.220155874487318</v>
      </c>
      <c r="CW76" s="20">
        <f t="shared" si="67"/>
        <v>362.86133414806545</v>
      </c>
      <c r="CX76" s="59">
        <f t="shared" si="68"/>
        <v>656.19466748139871</v>
      </c>
      <c r="CY76" s="59">
        <f ca="1">AVERAGE(OFFSET($CX$3,0,0,'Données projet'!$E$13+1,1))-AVERAGE(OFFSET($H$3,0,0,'Données projet'!$E$13+1,1))</f>
        <v>157.25319335691853</v>
      </c>
      <c r="CZ76" s="59">
        <f t="shared" si="96"/>
        <v>159.50903492442171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8.8696264944165364</v>
      </c>
      <c r="DG76" s="21">
        <f>EXP(-LN(2)/25)*DG75+(1-EXP(-LN(2)/25))/(LN(2)/25)*Calculateur!DB76*Calculateur!DD76*VLOOKUP('Données projet'!$B$13,Paramètres!$A$1:$I$89,3,0)*0.475*44/12</f>
        <v>9.0381094736531189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17.907735968069655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3.8</v>
      </c>
      <c r="DO76" s="12">
        <f>IF('Données projet'!$A$166&gt;35,DO75+DN76-DW75,IF(A76&lt;'Données projet'!$A$166,$DL$205^A76,IF(A76='Données projet'!$A$166,'Données projet'!$B$166,DO75+DN76-DW75)))</f>
        <v>215.39999999999995</v>
      </c>
      <c r="DP76" s="17">
        <f>DO76*VLOOKUP('Données projet'!$B$14,Paramètres!$A$1:$I$89,3,0)*VLOOKUP('Données projet'!$B$14,Paramètres!$A$1:$I$89,5,0)</f>
        <v>188.17343999999997</v>
      </c>
      <c r="DQ76" s="13">
        <f t="shared" si="97"/>
        <v>47.135899614073118</v>
      </c>
      <c r="DR76" s="20">
        <f t="shared" si="70"/>
        <v>409.83043316117727</v>
      </c>
      <c r="DS76" s="59">
        <f t="shared" si="71"/>
        <v>703.16376649451058</v>
      </c>
      <c r="DT76" s="59">
        <f ca="1">AVERAGE(OFFSET($DS$3,0,0,'Données projet'!$E$14+1,1))-AVERAGE(OFFSET($H$3,0,0,'Données projet'!$E$14+1,1))</f>
        <v>229.5312221178919</v>
      </c>
      <c r="DU76" s="59">
        <f t="shared" si="98"/>
        <v>218.1982095871906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10.17781365807568</v>
      </c>
      <c r="EB76" s="21">
        <f>EXP(-LN(2)/25)*EB75+(1-EXP(-LN(2)/25))/(LN(2)/25)*Calculateur!DW76*Calculateur!DY76*VLOOKUP('Données projet'!$B$14,Paramètres!$A$1:$I$89,3,0)*0.475*44/12</f>
        <v>15.068994487722703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25.246808145798383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5.6899038461538431</v>
      </c>
      <c r="EJ76" s="12">
        <f>IF('Données projet'!$A$192&gt;35,EJ75+EI76-ER75,IF(A76&lt;'Données projet'!$A$192,$EG$205^A76,IF(A76='Données projet'!$A$192,'Données projet'!$B$192,EJ75+EI76-ER75)))</f>
        <v>170.00480769230765</v>
      </c>
      <c r="EK76" s="17">
        <f>EJ76*VLOOKUP('Données projet'!$B$15,Paramètres!$A$1:$I$89,3,0)*VLOOKUP('Données projet'!$B$15,Paramètres!$A$1:$I$89,5,0)</f>
        <v>153.82034999999993</v>
      </c>
      <c r="EL76" s="13">
        <f t="shared" si="99"/>
        <v>39.445498990742948</v>
      </c>
      <c r="EM76" s="20">
        <f t="shared" si="73"/>
        <v>336.60468699221047</v>
      </c>
      <c r="EN76" s="59">
        <f t="shared" si="74"/>
        <v>629.93802032554379</v>
      </c>
      <c r="EO76" s="59">
        <f ca="1">AVERAGE(OFFSET($EN$3,0,0,'Données projet'!$E$15+1,1))-AVERAGE(OFFSET($H$3,0,0,'Données projet'!$E$15+1,1))</f>
        <v>204.39656982394689</v>
      </c>
      <c r="EP76" s="59">
        <f t="shared" si="100"/>
        <v>134.95704640904546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7.6873219373219399</v>
      </c>
      <c r="FE76" s="12">
        <f>IF('Données projet'!$A$218&gt;35,FE75+FD76-FM75,IF(A76&lt;'Données projet'!$A$218,$FB$205^A76,IF(A76='Données projet'!$A$218,'Données projet'!$B$218,FE75+FD76-FM75)))</f>
        <v>192.20227920227961</v>
      </c>
      <c r="FF76" s="17">
        <f>FE76*VLOOKUP('Données projet'!$B$16,Paramètres!$A$1:$I$89,3,0)*VLOOKUP('Données projet'!$B$16,Paramètres!$A$1:$I$89,5,0)</f>
        <v>164.90955555555593</v>
      </c>
      <c r="FG76" s="13">
        <f t="shared" si="101"/>
        <v>41.947924001539583</v>
      </c>
      <c r="FH76" s="20">
        <f t="shared" si="76"/>
        <v>360.27677689527462</v>
      </c>
      <c r="FI76" s="59">
        <f t="shared" si="77"/>
        <v>653.61011022860794</v>
      </c>
      <c r="FJ76" s="59">
        <f ca="1">AVERAGE(OFFSET($FI$3,0,0,'Données projet'!$E$16+1,1))-AVERAGE(OFFSET($H$3,0,0,'Données projet'!$E$16+1,1))</f>
        <v>199.60585215726968</v>
      </c>
      <c r="FK76" s="59">
        <f t="shared" si="102"/>
        <v>137.37366750114404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2.3357070434030698</v>
      </c>
      <c r="FT76" s="22">
        <f t="shared" si="78"/>
        <v>2.3357070434030698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9.5237179487179446</v>
      </c>
      <c r="N77" s="13">
        <f>IF('Données projet'!$A$36&gt;35,N76+M77-V76,IF(A77&lt;'Données projet'!$A$36,$K$205^A77,IF(A77='Données projet'!$A$36,'Données projet'!$B$36,N76+M77-V76)))</f>
        <v>274.06987179487226</v>
      </c>
      <c r="O77" s="13">
        <f>N77*VLOOKUP('Données projet'!$B$9,Paramètres!$A$1:$I$89,3,0)*VLOOKUP('Données projet'!$B$9,Paramètres!$A$1:$I$89,5,0)</f>
        <v>128.26470000000023</v>
      </c>
      <c r="P77" s="13">
        <f t="shared" si="87"/>
        <v>33.595069382484709</v>
      </c>
      <c r="Q77" s="20">
        <f t="shared" si="54"/>
        <v>281.90576500782794</v>
      </c>
      <c r="R77" s="59">
        <f t="shared" si="55"/>
        <v>575.23909834116125</v>
      </c>
      <c r="S77" s="59">
        <f ca="1">AVERAGE(OFFSET($R$3,0,0,'Données projet'!$E$9+1,1))-AVERAGE(OFFSET($H$3,0,0,'Données projet'!$E$9+1,1))</f>
        <v>164.93438869099657</v>
      </c>
      <c r="T77" s="59">
        <f t="shared" si="88"/>
        <v>112.28641356594233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39.438776063313945</v>
      </c>
      <c r="AA77" s="21">
        <f>EXP(-LN(2)/25)*AA76+(1-EXP(-LN(2)/25))/(LN(2)/25)*Calculateur!V77*Calculateur!X77*VLOOKUP('Données projet'!$B$9,Paramètres!$A$1:$I$89,3,0)*0.475*44/12</f>
        <v>26.105825762235224</v>
      </c>
      <c r="AB77" s="21">
        <f>EXP(-LN(2)/2)*AB76+(1-EXP(-LN(2)/2))/(LN(2)/2)*V77*Y77*VLOOKUP('Données projet'!$B$9,Paramètres!$A$1:$I$89,3,0)*0.475*44/12</f>
        <v>4.7154765119274042</v>
      </c>
      <c r="AC77" s="22">
        <f t="shared" si="57"/>
        <v>70.260078337476571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273.81843612193632</v>
      </c>
      <c r="AO77" s="59">
        <f t="shared" si="90"/>
        <v>241.86405419073208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-1.1368683772161603E-13</v>
      </c>
      <c r="BE77" s="13">
        <f>BD77*VLOOKUP('Données projet'!$B$11,Paramètres!$A$1:$I$89,3,0)*VLOOKUP('Données projet'!$B$11,Paramètres!$A$1:$I$89,5,0)</f>
        <v>-6.3550942286383367E-14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271.42245454555501</v>
      </c>
      <c r="BJ77" s="59">
        <f t="shared" si="92"/>
        <v>362.63944425429077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155.57972872345456</v>
      </c>
      <c r="BQ77" s="21">
        <f>EXP(-LN(2)/25)*BQ76+(1-EXP(-LN(2)/25))/(LN(2)/25)*Calculateur!BL77*Calculateur!BN77*VLOOKUP('Données projet'!$B$11,Paramètres!$A$1:$I$89,3,0)*0.475*44/12</f>
        <v>34.017123890244591</v>
      </c>
      <c r="BR77" s="21">
        <f>EXP(-LN(2)/2)*BR76+(1-EXP(-LN(2)/2))/(LN(2)/2)*BL77*BO77*VLOOKUP('Données projet'!$B$11,Paramètres!$A$1:$I$89,3,0)*0.475*44/12</f>
        <v>4.7179081475552907E-2</v>
      </c>
      <c r="BS77" s="22">
        <f t="shared" si="63"/>
        <v>189.6440316951747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-5.6843418860808015E-14</v>
      </c>
      <c r="BZ77" s="13">
        <f>BY77*VLOOKUP('Données projet'!$B$12,Paramètres!$A$1:$I$89,3,0)*VLOOKUP('Données projet'!$B$12,Paramètres!$A$1:$I$89,5,0)</f>
        <v>-3.1036506698001178E-14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154.35821558431712</v>
      </c>
      <c r="CE77" s="59">
        <f t="shared" si="94"/>
        <v>263.86720460501306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34.394335583920494</v>
      </c>
      <c r="CL77" s="21">
        <f>EXP(-LN(2)/25)*CL76+(1-EXP(-LN(2)/25))/(LN(2)/25)*Calculateur!CG77*Calculateur!CI77*VLOOKUP('Données projet'!$B$12,Paramètres!$A$1:$I$89,3,0)*0.475*44/12</f>
        <v>58.407773312041101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92.802108895961595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2.6</v>
      </c>
      <c r="CT77" s="12">
        <f>IF('Données projet'!$A$140&gt;35,CT76+CS77-DB76,IF(A77&lt;'Données projet'!$A$140,$CQ$205^A77,IF(A77='Données projet'!$A$140,'Données projet'!$B$140,CT76+CS77-DB76)))</f>
        <v>211.39999999999998</v>
      </c>
      <c r="CU77" s="17">
        <f>CT77*VLOOKUP('Données projet'!$B$13,Paramètres!$A$1:$I$89,3,0)*VLOOKUP('Données projet'!$B$13,Paramètres!$A$1:$I$89,5,0)</f>
        <v>168.18984</v>
      </c>
      <c r="CV77" s="13">
        <f t="shared" si="95"/>
        <v>42.684355718695393</v>
      </c>
      <c r="CW77" s="20">
        <f t="shared" si="67"/>
        <v>367.2725575433945</v>
      </c>
      <c r="CX77" s="59">
        <f t="shared" si="68"/>
        <v>660.60589087672781</v>
      </c>
      <c r="CY77" s="59">
        <f ca="1">AVERAGE(OFFSET($CX$3,0,0,'Données projet'!$E$13+1,1))-AVERAGE(OFFSET($H$3,0,0,'Données projet'!$E$13+1,1))</f>
        <v>157.25319335691853</v>
      </c>
      <c r="CZ77" s="59">
        <f t="shared" si="96"/>
        <v>159.50903492442171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8.695698528799003</v>
      </c>
      <c r="DG77" s="21">
        <f>EXP(-LN(2)/25)*DG76+(1-EXP(-LN(2)/25))/(LN(2)/25)*Calculateur!DB77*Calculateur!DD77*VLOOKUP('Données projet'!$B$13,Paramètres!$A$1:$I$89,3,0)*0.475*44/12</f>
        <v>8.7909618948025532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17.486660423601556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3.8</v>
      </c>
      <c r="DO77" s="12">
        <f>IF('Données projet'!$A$166&gt;35,DO76+DN77-DW76,IF(A77&lt;'Données projet'!$A$166,$DL$205^A77,IF(A77='Données projet'!$A$166,'Données projet'!$B$166,DO76+DN77-DW76)))</f>
        <v>219.19999999999996</v>
      </c>
      <c r="DP77" s="17">
        <f>DO77*VLOOKUP('Données projet'!$B$14,Paramètres!$A$1:$I$89,3,0)*VLOOKUP('Données projet'!$B$14,Paramètres!$A$1:$I$89,5,0)</f>
        <v>191.49312</v>
      </c>
      <c r="DQ77" s="13">
        <f t="shared" si="97"/>
        <v>47.86990994320918</v>
      </c>
      <c r="DR77" s="20">
        <f t="shared" si="70"/>
        <v>416.89061048442267</v>
      </c>
      <c r="DS77" s="59">
        <f t="shared" si="71"/>
        <v>710.22394381775598</v>
      </c>
      <c r="DT77" s="59">
        <f ca="1">AVERAGE(OFFSET($DS$3,0,0,'Données projet'!$E$14+1,1))-AVERAGE(OFFSET($H$3,0,0,'Données projet'!$E$14+1,1))</f>
        <v>229.5312221178919</v>
      </c>
      <c r="DU77" s="59">
        <f t="shared" si="98"/>
        <v>218.1982095871906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9.9782329400941716</v>
      </c>
      <c r="EB77" s="21">
        <f>EXP(-LN(2)/25)*EB76+(1-EXP(-LN(2)/25))/(LN(2)/25)*Calculateur!DW77*Calculateur!DY77*VLOOKUP('Données projet'!$B$14,Paramètres!$A$1:$I$89,3,0)*0.475*44/12</f>
        <v>14.656932041011947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24.635164981106119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5.6899038461538431</v>
      </c>
      <c r="EJ77" s="12">
        <f>IF('Données projet'!$A$192&gt;35,EJ76+EI77-ER76,IF(A77&lt;'Données projet'!$A$192,$EG$205^A77,IF(A77='Données projet'!$A$192,'Données projet'!$B$192,EJ76+EI77-ER76)))</f>
        <v>175.69471153846149</v>
      </c>
      <c r="EK77" s="17">
        <f>EJ77*VLOOKUP('Données projet'!$B$15,Paramètres!$A$1:$I$89,3,0)*VLOOKUP('Données projet'!$B$15,Paramètres!$A$1:$I$89,5,0)</f>
        <v>158.96857499999996</v>
      </c>
      <c r="EL77" s="13">
        <f t="shared" si="99"/>
        <v>40.609787126426944</v>
      </c>
      <c r="EM77" s="20">
        <f t="shared" si="73"/>
        <v>347.59898070352688</v>
      </c>
      <c r="EN77" s="59">
        <f t="shared" si="74"/>
        <v>640.93231403686013</v>
      </c>
      <c r="EO77" s="59">
        <f ca="1">AVERAGE(OFFSET($EN$3,0,0,'Données projet'!$E$15+1,1))-AVERAGE(OFFSET($H$3,0,0,'Données projet'!$E$15+1,1))</f>
        <v>204.39656982394689</v>
      </c>
      <c r="EP77" s="59">
        <f t="shared" si="100"/>
        <v>134.95704640904546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7.6873219373219399</v>
      </c>
      <c r="FE77" s="12">
        <f>IF('Données projet'!$A$218&gt;35,FE76+FD77-FM76,IF(A77&lt;'Données projet'!$A$218,$FB$205^A77,IF(A77='Données projet'!$A$218,'Données projet'!$B$218,FE76+FD77-FM76)))</f>
        <v>199.88960113960155</v>
      </c>
      <c r="FF77" s="17">
        <f>FE77*VLOOKUP('Données projet'!$B$16,Paramètres!$A$1:$I$89,3,0)*VLOOKUP('Données projet'!$B$16,Paramètres!$A$1:$I$89,5,0)</f>
        <v>171.50527777777813</v>
      </c>
      <c r="FG77" s="13">
        <f t="shared" si="101"/>
        <v>43.426982566878287</v>
      </c>
      <c r="FH77" s="20">
        <f t="shared" si="76"/>
        <v>374.34035343360989</v>
      </c>
      <c r="FI77" s="59">
        <f t="shared" si="77"/>
        <v>667.67368676694321</v>
      </c>
      <c r="FJ77" s="59">
        <f ca="1">AVERAGE(OFFSET($FI$3,0,0,'Données projet'!$E$16+1,1))-AVERAGE(OFFSET($H$3,0,0,'Données projet'!$E$16+1,1))</f>
        <v>199.60585215726968</v>
      </c>
      <c r="FK77" s="59">
        <f t="shared" si="102"/>
        <v>137.37366750114404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1.6515942892554925</v>
      </c>
      <c r="FT77" s="22">
        <f t="shared" si="78"/>
        <v>1.6515942892554925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9.5237179487179446</v>
      </c>
      <c r="N78" s="13">
        <f>IF('Données projet'!$A$36&gt;35,N77+M78-V77,IF(A78&lt;'Données projet'!$A$36,$K$205^A78,IF(A78='Données projet'!$A$36,'Données projet'!$B$36,N77+M78-V77)))</f>
        <v>283.5935897435902</v>
      </c>
      <c r="O78" s="13">
        <f>N78*VLOOKUP('Données projet'!$B$9,Paramètres!$A$1:$I$89,3,0)*VLOOKUP('Données projet'!$B$9,Paramètres!$A$1:$I$89,5,0)</f>
        <v>132.7218000000002</v>
      </c>
      <c r="P78" s="13">
        <f t="shared" si="87"/>
        <v>34.624526937018011</v>
      </c>
      <c r="Q78" s="20">
        <f t="shared" si="54"/>
        <v>291.46151941530667</v>
      </c>
      <c r="R78" s="59">
        <f t="shared" si="55"/>
        <v>584.79485274863998</v>
      </c>
      <c r="S78" s="59">
        <f ca="1">AVERAGE(OFFSET($R$3,0,0,'Données projet'!$E$9+1,1))-AVERAGE(OFFSET($H$3,0,0,'Données projet'!$E$9+1,1))</f>
        <v>164.93438869099657</v>
      </c>
      <c r="T78" s="59">
        <f t="shared" si="88"/>
        <v>112.28641356594233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38.665405719990495</v>
      </c>
      <c r="AA78" s="21">
        <f>EXP(-LN(2)/25)*AA77+(1-EXP(-LN(2)/25))/(LN(2)/25)*Calculateur!V78*Calculateur!X78*VLOOKUP('Données projet'!$B$9,Paramètres!$A$1:$I$89,3,0)*0.475*44/12</f>
        <v>25.39196058392119</v>
      </c>
      <c r="AB78" s="21">
        <f>EXP(-LN(2)/2)*AB77+(1-EXP(-LN(2)/2))/(LN(2)/2)*V78*Y78*VLOOKUP('Données projet'!$B$9,Paramètres!$A$1:$I$89,3,0)*0.475*44/12</f>
        <v>3.3343454181097556</v>
      </c>
      <c r="AC78" s="22">
        <f t="shared" si="57"/>
        <v>67.391711722021455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273.81843612193632</v>
      </c>
      <c r="AO78" s="59">
        <f t="shared" si="90"/>
        <v>241.86405419073208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-1.1368683772161603E-13</v>
      </c>
      <c r="BE78" s="13">
        <f>BD78*VLOOKUP('Données projet'!$B$11,Paramètres!$A$1:$I$89,3,0)*VLOOKUP('Données projet'!$B$11,Paramètres!$A$1:$I$89,5,0)</f>
        <v>-6.3550942286383367E-14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271.42245454555501</v>
      </c>
      <c r="BJ78" s="59">
        <f t="shared" si="92"/>
        <v>362.63944425429077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152.52890513745211</v>
      </c>
      <c r="BQ78" s="21">
        <f>EXP(-LN(2)/25)*BQ77+(1-EXP(-LN(2)/25))/(LN(2)/25)*Calculateur!BL78*Calculateur!BN78*VLOOKUP('Données projet'!$B$11,Paramètres!$A$1:$I$89,3,0)*0.475*44/12</f>
        <v>33.086923848583055</v>
      </c>
      <c r="BR78" s="21">
        <f>EXP(-LN(2)/2)*BR77+(1-EXP(-LN(2)/2))/(LN(2)/2)*BL78*BO78*VLOOKUP('Données projet'!$B$11,Paramètres!$A$1:$I$89,3,0)*0.475*44/12</f>
        <v>3.3360648441516087E-2</v>
      </c>
      <c r="BS78" s="22">
        <f t="shared" si="63"/>
        <v>185.6491896344767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-5.6843418860808015E-14</v>
      </c>
      <c r="BZ78" s="13">
        <f>BY78*VLOOKUP('Données projet'!$B$12,Paramètres!$A$1:$I$89,3,0)*VLOOKUP('Données projet'!$B$12,Paramètres!$A$1:$I$89,5,0)</f>
        <v>-3.1036506698001178E-14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154.35821558431712</v>
      </c>
      <c r="CE78" s="59">
        <f t="shared" si="94"/>
        <v>263.86720460501306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33.719883641593064</v>
      </c>
      <c r="CL78" s="21">
        <f>EXP(-LN(2)/25)*CL77+(1-EXP(-LN(2)/25))/(LN(2)/25)*Calculateur!CG78*Calculateur!CI78*VLOOKUP('Données projet'!$B$12,Paramètres!$A$1:$I$89,3,0)*0.475*44/12</f>
        <v>56.810609679292028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90.530493320885085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214</v>
      </c>
      <c r="CR78" s="12">
        <f>VLOOKUP(A78,'Données projet'!$A$139:$I$159,9,0)</f>
        <v>2.6</v>
      </c>
      <c r="CS78" s="12">
        <f t="array" ref="CS78">INDEX(CR:CR,MIN(IF(ISNUMBER(CR78:CR274),ROW(CR78:CR274),"")))</f>
        <v>2.6</v>
      </c>
      <c r="CT78" s="12">
        <f>IF('Données projet'!$A$140&gt;35,CT77+CS78-DB77,IF(A78&lt;'Données projet'!$A$140,$CQ$205^A78,IF(A78='Données projet'!$A$140,'Données projet'!$B$140,CT77+CS78-DB77)))</f>
        <v>213.99999999999997</v>
      </c>
      <c r="CU78" s="17">
        <f>CT78*VLOOKUP('Données projet'!$B$13,Paramètres!$A$1:$I$89,3,0)*VLOOKUP('Données projet'!$B$13,Paramètres!$A$1:$I$89,5,0)</f>
        <v>170.25839999999999</v>
      </c>
      <c r="CV78" s="13">
        <f t="shared" si="95"/>
        <v>43.147891472685053</v>
      </c>
      <c r="CW78" s="20">
        <f t="shared" si="67"/>
        <v>371.68262431492644</v>
      </c>
      <c r="CX78" s="59">
        <f t="shared" si="68"/>
        <v>665.0159576482597</v>
      </c>
      <c r="CY78" s="59">
        <f ca="1">AVERAGE(OFFSET($CX$3,0,0,'Données projet'!$E$13+1,1))-AVERAGE(OFFSET($H$3,0,0,'Données projet'!$E$13+1,1))</f>
        <v>157.25319335691853</v>
      </c>
      <c r="CZ78" s="59">
        <f t="shared" si="96"/>
        <v>159.50903492442171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7</v>
      </c>
      <c r="DC78" s="16">
        <f>IF(ISNA(VLOOKUP(A78,'Données projet'!$A$139:$I$159,5,0)),0%,VLOOKUP(A78,'Données projet'!$A$139:$I$159,5,0)*VLOOKUP('Données projet'!$B$13,Paramètres!$A$1:$I$89,7,0))</f>
        <v>0.30209999999999998</v>
      </c>
      <c r="DD78" s="16">
        <f>IF(ISNA(VLOOKUP(A78,'Données projet'!$A$139:$I$159,6,0)),0%,VLOOKUP(A78,'Données projet'!$A$139:$I$159,6,0)*VLOOKUP('Données projet'!$B$13,Paramètres!$A$1:$I$89,7,0))</f>
        <v>0.1537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10.385085705649278</v>
      </c>
      <c r="DG78" s="21">
        <f>EXP(-LN(2)/25)*DG77+(1-EXP(-LN(2)/25))/(LN(2)/25)*Calculateur!DB78*Calculateur!DD78*VLOOKUP('Données projet'!$B$13,Paramètres!$A$1:$I$89,3,0)*0.475*44/12</f>
        <v>9.4931139774345485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19.878199683083828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223</v>
      </c>
      <c r="DM78" s="12">
        <f>VLOOKUP(A78,'Données projet'!$A$165:$I$185,9,0)</f>
        <v>3.8</v>
      </c>
      <c r="DN78" s="12">
        <f t="array" ref="DN78">INDEX(DM:DM,MIN(IF(ISNUMBER(DM78:DM274),ROW(DM78:DM274),"")))</f>
        <v>3.8</v>
      </c>
      <c r="DO78" s="12">
        <f>IF('Données projet'!$A$166&gt;35,DO77+DN78-DW77,IF(A78&lt;'Données projet'!$A$166,$DL$205^A78,IF(A78='Données projet'!$A$166,'Données projet'!$B$166,DO77+DN78-DW77)))</f>
        <v>222.99999999999997</v>
      </c>
      <c r="DP78" s="17">
        <f>DO78*VLOOKUP('Données projet'!$B$14,Paramètres!$A$1:$I$89,3,0)*VLOOKUP('Données projet'!$B$14,Paramètres!$A$1:$I$89,5,0)</f>
        <v>194.81280000000001</v>
      </c>
      <c r="DQ78" s="13">
        <f t="shared" si="97"/>
        <v>48.602440540253859</v>
      </c>
      <c r="DR78" s="20">
        <f t="shared" si="70"/>
        <v>423.94821060760881</v>
      </c>
      <c r="DS78" s="59">
        <f t="shared" si="71"/>
        <v>717.28154394094213</v>
      </c>
      <c r="DT78" s="59">
        <f ca="1">AVERAGE(OFFSET($DS$3,0,0,'Données projet'!$E$14+1,1))-AVERAGE(OFFSET($H$3,0,0,'Données projet'!$E$14+1,1))</f>
        <v>229.5312221178919</v>
      </c>
      <c r="DU78" s="59">
        <f t="shared" si="98"/>
        <v>218.1982095871906</v>
      </c>
      <c r="DV78" s="15">
        <f>IF(ISNA(VLOOKUP(A78,'Données projet'!$A$165:$I$185,3,0)),0,VLOOKUP(A78,'Données projet'!$A$165:$I$185,3,0))</f>
        <v>12</v>
      </c>
      <c r="DW78" s="15" t="str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0.215</v>
      </c>
      <c r="DY78" s="16">
        <f>IF(ISNA(VLOOKUP(A78,'Données projet'!$A$165:$I$185,6,0)),0%,VLOOKUP(A78,'Données projet'!$A$165:$I$185,6,0)*VLOOKUP('Données projet'!$B$14,Paramètres!$A$1:$I$89,7,0))</f>
        <v>0.17200000000000001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12.68944003817562</v>
      </c>
      <c r="EB78" s="21">
        <f>EXP(-LN(2)/25)*EB77+(1-EXP(-LN(2)/25))/(LN(2)/25)*Calculateur!DW78*Calculateur!DY78*VLOOKUP('Données projet'!$B$14,Paramètres!$A$1:$I$89,3,0)*0.475*44/12</f>
        <v>16.572480414569583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29.261920452745201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181.38461538461536</v>
      </c>
      <c r="EH78" s="12">
        <f>VLOOKUP(A78,'Données projet'!$A$191:$I$211,9,0)</f>
        <v>5.6899038461538431</v>
      </c>
      <c r="EI78" s="12">
        <f t="array" ref="EI78">INDEX(EH:EH,MIN(IF(ISNUMBER(EH78:EH274),ROW(EH78:EH274),"")))</f>
        <v>5.6899038461538431</v>
      </c>
      <c r="EJ78" s="12">
        <f>IF('Données projet'!$A$192&gt;35,EJ77+EI78-ER77,IF(A78&lt;'Données projet'!$A$192,$EG$205^A78,IF(A78='Données projet'!$A$192,'Données projet'!$B$192,EJ77+EI78-ER77)))</f>
        <v>181.38461538461533</v>
      </c>
      <c r="EK78" s="17">
        <f>EJ78*VLOOKUP('Données projet'!$B$15,Paramètres!$A$1:$I$89,3,0)*VLOOKUP('Données projet'!$B$15,Paramètres!$A$1:$I$89,5,0)</f>
        <v>164.11679999999993</v>
      </c>
      <c r="EL78" s="13">
        <f t="shared" si="99"/>
        <v>41.769693774469289</v>
      </c>
      <c r="EM78" s="20">
        <f t="shared" si="73"/>
        <v>358.58564332386726</v>
      </c>
      <c r="EN78" s="59">
        <f t="shared" si="74"/>
        <v>651.91897665720057</v>
      </c>
      <c r="EO78" s="59">
        <f ca="1">AVERAGE(OFFSET($EN$3,0,0,'Données projet'!$E$15+1,1))-AVERAGE(OFFSET($H$3,0,0,'Données projet'!$E$15+1,1))</f>
        <v>204.39656982394689</v>
      </c>
      <c r="EP78" s="59">
        <f t="shared" si="100"/>
        <v>134.95704640904546</v>
      </c>
      <c r="EQ78" s="15">
        <f>IF(ISNA(VLOOKUP(A78,'Données projet'!$A$191:$I$211,3,0)),0,VLOOKUP(A78,'Données projet'!$A$191:$I$211,3,0))</f>
        <v>5</v>
      </c>
      <c r="ER78" s="15">
        <f>IF(ISNA(VLOOKUP(A78,'Données projet'!$A$191:$I$211,4,0)),0,VLOOKUP(A78,'Données projet'!$A$191:$I$211,4,0))</f>
        <v>30.916666666666664</v>
      </c>
      <c r="ES78" s="16">
        <f>IF(ISNA(VLOOKUP(A78,'Données projet'!$A$191:$I$211,5,0)),0%,VLOOKUP(A78,'Données projet'!$A$191:$I$211,5,0)*VLOOKUP('Données projet'!$B$15,Paramètres!$A$1:$I$89,7,0))</f>
        <v>0.30099999999999999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9.3080532995629337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9.3080532995629337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207.57692307692307</v>
      </c>
      <c r="FC78" s="12">
        <f>VLOOKUP(A78,'Données projet'!$A$217:$I$237,9,0)</f>
        <v>7.6873219373219399</v>
      </c>
      <c r="FD78" s="12">
        <f t="array" ref="FD78">INDEX(FC:FC,MIN(IF(ISNUMBER(FC78:FC274),ROW(FC78:FC274),"")))</f>
        <v>7.6873219373219399</v>
      </c>
      <c r="FE78" s="12">
        <f>IF('Données projet'!$A$218&gt;35,FE77+FD78-FM77,IF(A78&lt;'Données projet'!$A$218,$FB$205^A78,IF(A78='Données projet'!$A$218,'Données projet'!$B$218,FE77+FD78-FM77)))</f>
        <v>207.57692307692349</v>
      </c>
      <c r="FF78" s="17">
        <f>FE78*VLOOKUP('Données projet'!$B$16,Paramètres!$A$1:$I$89,3,0)*VLOOKUP('Données projet'!$B$16,Paramètres!$A$1:$I$89,5,0)</f>
        <v>178.10100000000037</v>
      </c>
      <c r="FG78" s="13">
        <f t="shared" si="101"/>
        <v>44.899433214748953</v>
      </c>
      <c r="FH78" s="20">
        <f t="shared" si="76"/>
        <v>388.39242118235501</v>
      </c>
      <c r="FI78" s="59">
        <f t="shared" si="77"/>
        <v>681.72575451568832</v>
      </c>
      <c r="FJ78" s="59">
        <f ca="1">AVERAGE(OFFSET($FI$3,0,0,'Données projet'!$E$16+1,1))-AVERAGE(OFFSET($H$3,0,0,'Données projet'!$E$16+1,1))</f>
        <v>199.60585215726968</v>
      </c>
      <c r="FK78" s="59">
        <f t="shared" si="102"/>
        <v>137.37366750114404</v>
      </c>
      <c r="FL78" s="15">
        <f>IF(ISNA(VLOOKUP(A78,'Données projet'!$A$217:$I$237,3,0)),0,VLOOKUP(A78,'Données projet'!$A$217:$I$237,3,0))</f>
        <v>3</v>
      </c>
      <c r="FM78" s="15">
        <f>IF(ISNA(VLOOKUP(A78,'Données projet'!$A$217:$I$237,4,0)),0,VLOOKUP(A78,'Données projet'!$A$217:$I$237,4,0))</f>
        <v>55.78846153846154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0.21200000000000002</v>
      </c>
      <c r="FP78" s="16">
        <f>IF(ISNA(VLOOKUP(A78,'Données projet'!$A$217:$I$237,7,0)),0%,VLOOKUP(A78,'Données projet'!$A$217:$I$237,7,0))</f>
        <v>0.3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11.173810099534904</v>
      </c>
      <c r="FS78" s="21">
        <f>EXP(-LN(2)/2)*FS77+(1-EXP(-LN(2)/2))/(LN(2)/2)*FM78*FP78*VLOOKUP('Données projet'!$B$16,Paramètres!$A$1:$I$89,3,0)*0.475*44/12</f>
        <v>14.716852839089182</v>
      </c>
      <c r="FT78" s="22">
        <f t="shared" si="78"/>
        <v>25.890662938624086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9.5237179487179446</v>
      </c>
      <c r="N79" s="13">
        <f>IF('Données projet'!$A$36&gt;35,N78+M79-V78,IF(A79&lt;'Données projet'!$A$36,$K$205^A79,IF(A79='Données projet'!$A$36,'Données projet'!$B$36,N78+M79-V78)))</f>
        <v>293.11730769230815</v>
      </c>
      <c r="O79" s="13">
        <f>N79*VLOOKUP('Données projet'!$B$9,Paramètres!$A$1:$I$89,3,0)*VLOOKUP('Données projet'!$B$9,Paramètres!$A$1:$I$89,5,0)</f>
        <v>137.17890000000023</v>
      </c>
      <c r="P79" s="13">
        <f t="shared" si="87"/>
        <v>35.649967423044139</v>
      </c>
      <c r="Q79" s="20">
        <f t="shared" si="54"/>
        <v>301.0102774284689</v>
      </c>
      <c r="R79" s="59">
        <f t="shared" si="55"/>
        <v>594.34361076180221</v>
      </c>
      <c r="S79" s="59">
        <f ca="1">AVERAGE(OFFSET($R$3,0,0,'Données projet'!$E$9+1,1))-AVERAGE(OFFSET($H$3,0,0,'Données projet'!$E$9+1,1))</f>
        <v>164.93438869099657</v>
      </c>
      <c r="T79" s="59">
        <f t="shared" si="88"/>
        <v>112.28641356594233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37.907200697390287</v>
      </c>
      <c r="AA79" s="21">
        <f>EXP(-LN(2)/25)*AA78+(1-EXP(-LN(2)/25))/(LN(2)/25)*Calculateur!V79*Calculateur!X79*VLOOKUP('Données projet'!$B$9,Paramètres!$A$1:$I$89,3,0)*0.475*44/12</f>
        <v>24.697616086448694</v>
      </c>
      <c r="AB79" s="21">
        <f>EXP(-LN(2)/2)*AB78+(1-EXP(-LN(2)/2))/(LN(2)/2)*V79*Y79*VLOOKUP('Données projet'!$B$9,Paramètres!$A$1:$I$89,3,0)*0.475*44/12</f>
        <v>2.3577382559637026</v>
      </c>
      <c r="AC79" s="22">
        <f t="shared" si="57"/>
        <v>64.96255503980268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273.81843612193632</v>
      </c>
      <c r="AO79" s="59">
        <f t="shared" si="90"/>
        <v>241.86405419073208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-1.1368683772161603E-13</v>
      </c>
      <c r="BE79" s="13">
        <f>BD79*VLOOKUP('Données projet'!$B$11,Paramètres!$A$1:$I$89,3,0)*VLOOKUP('Données projet'!$B$11,Paramètres!$A$1:$I$89,5,0)</f>
        <v>-6.3550942286383367E-14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271.42245454555501</v>
      </c>
      <c r="BJ79" s="59">
        <f t="shared" si="92"/>
        <v>362.63944425429077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149.53790634115254</v>
      </c>
      <c r="BQ79" s="21">
        <f>EXP(-LN(2)/25)*BQ78+(1-EXP(-LN(2)/25))/(LN(2)/25)*Calculateur!BL79*Calculateur!BN79*VLOOKUP('Données projet'!$B$11,Paramètres!$A$1:$I$89,3,0)*0.475*44/12</f>
        <v>32.182160175977849</v>
      </c>
      <c r="BR79" s="21">
        <f>EXP(-LN(2)/2)*BR78+(1-EXP(-LN(2)/2))/(LN(2)/2)*BL79*BO79*VLOOKUP('Données projet'!$B$11,Paramètres!$A$1:$I$89,3,0)*0.475*44/12</f>
        <v>2.3589540737776454E-2</v>
      </c>
      <c r="BS79" s="22">
        <f t="shared" si="63"/>
        <v>181.74365605786818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-5.6843418860808015E-14</v>
      </c>
      <c r="BZ79" s="13">
        <f>BY79*VLOOKUP('Données projet'!$B$12,Paramètres!$A$1:$I$89,3,0)*VLOOKUP('Données projet'!$B$12,Paramètres!$A$1:$I$89,5,0)</f>
        <v>-3.1036506698001178E-14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154.35821558431712</v>
      </c>
      <c r="CE79" s="59">
        <f t="shared" si="94"/>
        <v>263.86720460501306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33.058657290479616</v>
      </c>
      <c r="CL79" s="21">
        <f>EXP(-LN(2)/25)*CL78+(1-EXP(-LN(2)/25))/(LN(2)/25)*Calculateur!CG79*Calculateur!CI79*VLOOKUP('Données projet'!$B$12,Paramètres!$A$1:$I$89,3,0)*0.475*44/12</f>
        <v>55.25712057007167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88.315777860551293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2.4</v>
      </c>
      <c r="CT79" s="12">
        <f>IF('Données projet'!$A$140&gt;35,CT78+CS79-DB78,IF(A79&lt;'Données projet'!$A$140,$CQ$205^A79,IF(A79='Données projet'!$A$140,'Données projet'!$B$140,CT78+CS79-DB78)))</f>
        <v>209.39999999999998</v>
      </c>
      <c r="CU79" s="17">
        <f>CT79*VLOOKUP('Données projet'!$B$13,Paramètres!$A$1:$I$89,3,0)*VLOOKUP('Données projet'!$B$13,Paramètres!$A$1:$I$89,5,0)</f>
        <v>166.59863999999999</v>
      </c>
      <c r="CV79" s="13">
        <f t="shared" si="95"/>
        <v>42.327338338081013</v>
      </c>
      <c r="CW79" s="20">
        <f t="shared" si="67"/>
        <v>363.87941227215771</v>
      </c>
      <c r="CX79" s="59">
        <f t="shared" si="68"/>
        <v>657.21274560549102</v>
      </c>
      <c r="CY79" s="59">
        <f ca="1">AVERAGE(OFFSET($CX$3,0,0,'Données projet'!$E$13+1,1))-AVERAGE(OFFSET($H$3,0,0,'Données projet'!$E$13+1,1))</f>
        <v>157.25319335691853</v>
      </c>
      <c r="CZ79" s="59">
        <f t="shared" si="96"/>
        <v>159.50903492442171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10.181440509238318</v>
      </c>
      <c r="DG79" s="21">
        <f>EXP(-LN(2)/25)*DG78+(1-EXP(-LN(2)/25))/(LN(2)/25)*Calculateur!DB79*Calculateur!DD79*VLOOKUP('Données projet'!$B$13,Paramètres!$A$1:$I$89,3,0)*0.475*44/12</f>
        <v>9.2335242765004342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19.414964785738754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3.6</v>
      </c>
      <c r="DO79" s="12">
        <f>IF('Données projet'!$A$166&gt;35,DO78+DN79-DW78,IF(A79&lt;'Données projet'!$A$166,$DL$205^A79,IF(A79='Données projet'!$A$166,'Données projet'!$B$166,DO78+DN79-DW78)))</f>
        <v>212.59999999999997</v>
      </c>
      <c r="DP79" s="17">
        <f>DO79*VLOOKUP('Données projet'!$B$14,Paramètres!$A$1:$I$89,3,0)*VLOOKUP('Données projet'!$B$14,Paramètres!$A$1:$I$89,5,0)</f>
        <v>185.72736</v>
      </c>
      <c r="DQ79" s="13">
        <f t="shared" si="97"/>
        <v>46.594086043363802</v>
      </c>
      <c r="DR79" s="20">
        <f t="shared" si="70"/>
        <v>404.62651852552534</v>
      </c>
      <c r="DS79" s="59">
        <f t="shared" si="71"/>
        <v>697.95985185885866</v>
      </c>
      <c r="DT79" s="59">
        <f ca="1">AVERAGE(OFFSET($DS$3,0,0,'Données projet'!$E$14+1,1))-AVERAGE(OFFSET($H$3,0,0,'Données projet'!$E$14+1,1))</f>
        <v>229.5312221178919</v>
      </c>
      <c r="DU79" s="59">
        <f t="shared" si="98"/>
        <v>218.1982095871906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12.440607858821178</v>
      </c>
      <c r="EB79" s="21">
        <f>EXP(-LN(2)/25)*EB78+(1-EXP(-LN(2)/25))/(LN(2)/25)*Calculateur!DW79*Calculateur!DY79*VLOOKUP('Données projet'!$B$14,Paramètres!$A$1:$I$89,3,0)*0.475*44/12</f>
        <v>16.119305066124308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28.559912924945486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5.5042735042735051</v>
      </c>
      <c r="EJ79" s="12">
        <f>IF('Données projet'!$A$192&gt;35,EJ78+EI79-ER78,IF(A79&lt;'Données projet'!$A$192,$EG$205^A79,IF(A79='Données projet'!$A$192,'Données projet'!$B$192,EJ78+EI79-ER78)))</f>
        <v>155.97222222222217</v>
      </c>
      <c r="EK79" s="17">
        <f>EJ79*VLOOKUP('Données projet'!$B$15,Paramètres!$A$1:$I$89,3,0)*VLOOKUP('Données projet'!$B$15,Paramètres!$A$1:$I$89,5,0)</f>
        <v>141.12366666666662</v>
      </c>
      <c r="EL79" s="13">
        <f t="shared" si="99"/>
        <v>36.554301861544381</v>
      </c>
      <c r="EM79" s="20">
        <f t="shared" si="73"/>
        <v>309.45579518663413</v>
      </c>
      <c r="EN79" s="59">
        <f t="shared" si="74"/>
        <v>602.78912851996745</v>
      </c>
      <c r="EO79" s="59">
        <f ca="1">AVERAGE(OFFSET($EN$3,0,0,'Données projet'!$E$15+1,1))-AVERAGE(OFFSET($H$3,0,0,'Données projet'!$E$15+1,1))</f>
        <v>204.39656982394689</v>
      </c>
      <c r="EP79" s="59">
        <f t="shared" si="100"/>
        <v>134.95704640904546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9.1255280517104254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9.1255280517104254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7.327635327635325</v>
      </c>
      <c r="FE79" s="12">
        <f>IF('Données projet'!$A$218&gt;35,FE78+FD79-FM78,IF(A79&lt;'Données projet'!$A$218,$FB$205^A79,IF(A79='Données projet'!$A$218,'Données projet'!$B$218,FE78+FD79-FM78)))</f>
        <v>159.11609686609728</v>
      </c>
      <c r="FF79" s="17">
        <f>FE79*VLOOKUP('Données projet'!$B$16,Paramètres!$A$1:$I$89,3,0)*VLOOKUP('Données projet'!$B$16,Paramètres!$A$1:$I$89,5,0)</f>
        <v>136.5216111111115</v>
      </c>
      <c r="FG79" s="13">
        <f t="shared" si="101"/>
        <v>35.4989923919169</v>
      </c>
      <c r="FH79" s="20">
        <f t="shared" si="76"/>
        <v>299.60255110110774</v>
      </c>
      <c r="FI79" s="59">
        <f t="shared" si="77"/>
        <v>592.93588443444105</v>
      </c>
      <c r="FJ79" s="59">
        <f ca="1">AVERAGE(OFFSET($FI$3,0,0,'Données projet'!$E$16+1,1))-AVERAGE(OFFSET($H$3,0,0,'Données projet'!$E$16+1,1))</f>
        <v>199.60585215726968</v>
      </c>
      <c r="FK79" s="59">
        <f t="shared" si="102"/>
        <v>137.37366750114404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10.868261674757987</v>
      </c>
      <c r="FS79" s="21">
        <f>EXP(-LN(2)/2)*FS78+(1-EXP(-LN(2)/2))/(LN(2)/2)*FM79*FP79*VLOOKUP('Données projet'!$B$16,Paramètres!$A$1:$I$89,3,0)*0.475*44/12</f>
        <v>10.406386440244455</v>
      </c>
      <c r="FT79" s="22">
        <f t="shared" si="78"/>
        <v>21.274648115002442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9.5237179487179446</v>
      </c>
      <c r="N80" s="13">
        <f>IF('Données projet'!$A$36&gt;35,N79+M80-V79,IF(A80&lt;'Données projet'!$A$36,$K$205^A80,IF(A80='Données projet'!$A$36,'Données projet'!$B$36,N79+M80-V79)))</f>
        <v>302.64102564102609</v>
      </c>
      <c r="O80" s="13">
        <f>N80*VLOOKUP('Données projet'!$B$9,Paramètres!$A$1:$I$89,3,0)*VLOOKUP('Données projet'!$B$9,Paramètres!$A$1:$I$89,5,0)</f>
        <v>141.63600000000019</v>
      </c>
      <c r="P80" s="13">
        <f t="shared" si="87"/>
        <v>36.671536328944448</v>
      </c>
      <c r="Q80" s="20">
        <f t="shared" si="54"/>
        <v>310.55229243957859</v>
      </c>
      <c r="R80" s="59">
        <f t="shared" si="55"/>
        <v>603.88562577291191</v>
      </c>
      <c r="S80" s="59">
        <f ca="1">AVERAGE(OFFSET($R$3,0,0,'Données projet'!$E$9+1,1))-AVERAGE(OFFSET($H$3,0,0,'Données projet'!$E$9+1,1))</f>
        <v>164.93438869099657</v>
      </c>
      <c r="T80" s="59">
        <f t="shared" si="88"/>
        <v>112.28641356594233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37.163863612823867</v>
      </c>
      <c r="AA80" s="21">
        <f>EXP(-LN(2)/25)*AA79+(1-EXP(-LN(2)/25))/(LN(2)/25)*Calculateur!V80*Calculateur!X80*VLOOKUP('Données projet'!$B$9,Paramètres!$A$1:$I$89,3,0)*0.475*44/12</f>
        <v>24.022258475773572</v>
      </c>
      <c r="AB80" s="21">
        <f>EXP(-LN(2)/2)*AB79+(1-EXP(-LN(2)/2))/(LN(2)/2)*V80*Y80*VLOOKUP('Données projet'!$B$9,Paramètres!$A$1:$I$89,3,0)*0.475*44/12</f>
        <v>1.667172709054878</v>
      </c>
      <c r="AC80" s="22">
        <f t="shared" si="57"/>
        <v>62.853294797652325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273.81843612193632</v>
      </c>
      <c r="AO80" s="59">
        <f t="shared" si="90"/>
        <v>241.86405419073208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-6.3550942286383367E-14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271.42245454555501</v>
      </c>
      <c r="BJ80" s="59">
        <f t="shared" si="92"/>
        <v>362.63944425429077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146.60555920691925</v>
      </c>
      <c r="BQ80" s="21">
        <f>EXP(-LN(2)/25)*BQ79+(1-EXP(-LN(2)/25))/(LN(2)/25)*Calculateur!BL80*Calculateur!BN80*VLOOKUP('Données projet'!$B$11,Paramètres!$A$1:$I$89,3,0)*0.475*44/12</f>
        <v>31.302137313579482</v>
      </c>
      <c r="BR80" s="21">
        <f>EXP(-LN(2)/2)*BR79+(1-EXP(-LN(2)/2))/(LN(2)/2)*BL80*BO80*VLOOKUP('Données projet'!$B$11,Paramètres!$A$1:$I$89,3,0)*0.475*44/12</f>
        <v>1.6680324220758044E-2</v>
      </c>
      <c r="BS80" s="22">
        <f t="shared" si="63"/>
        <v>177.92437684471952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-5.6843418860808015E-14</v>
      </c>
      <c r="BZ80" s="13">
        <f>BY80*VLOOKUP('Données projet'!$B$12,Paramètres!$A$1:$I$89,3,0)*VLOOKUP('Données projet'!$B$12,Paramètres!$A$1:$I$89,5,0)</f>
        <v>-3.1036506698001178E-14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154.35821558431712</v>
      </c>
      <c r="CE80" s="59">
        <f t="shared" si="94"/>
        <v>263.86720460501306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32.410397184803251</v>
      </c>
      <c r="CL80" s="21">
        <f>EXP(-LN(2)/25)*CL79+(1-EXP(-LN(2)/25))/(LN(2)/25)*Calculateur!CG80*Calculateur!CI80*VLOOKUP('Données projet'!$B$12,Paramètres!$A$1:$I$89,3,0)*0.475*44/12</f>
        <v>53.746111702237378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86.15650888704063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2.4</v>
      </c>
      <c r="CT80" s="12">
        <f>IF('Données projet'!$A$140&gt;35,CT79+CS80-DB79,IF(A80&lt;'Données projet'!$A$140,$CQ$205^A80,IF(A80='Données projet'!$A$140,'Données projet'!$B$140,CT79+CS80-DB79)))</f>
        <v>211.79999999999998</v>
      </c>
      <c r="CU80" s="17">
        <f>CT80*VLOOKUP('Données projet'!$B$13,Paramètres!$A$1:$I$89,3,0)*VLOOKUP('Données projet'!$B$13,Paramètres!$A$1:$I$89,5,0)</f>
        <v>168.50807999999998</v>
      </c>
      <c r="CV80" s="13">
        <f t="shared" si="95"/>
        <v>42.755711908378117</v>
      </c>
      <c r="CW80" s="20">
        <f t="shared" si="67"/>
        <v>367.95110424042514</v>
      </c>
      <c r="CX80" s="59">
        <f t="shared" si="68"/>
        <v>661.2844375737584</v>
      </c>
      <c r="CY80" s="59">
        <f ca="1">AVERAGE(OFFSET($CX$3,0,0,'Données projet'!$E$13+1,1))-AVERAGE(OFFSET($H$3,0,0,'Données projet'!$E$13+1,1))</f>
        <v>157.25319335691853</v>
      </c>
      <c r="CZ80" s="59">
        <f t="shared" si="96"/>
        <v>159.50903492442171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9.9817886709176715</v>
      </c>
      <c r="DG80" s="21">
        <f>EXP(-LN(2)/25)*DG79+(1-EXP(-LN(2)/25))/(LN(2)/25)*Calculateur!DB80*Calculateur!DD80*VLOOKUP('Données projet'!$B$13,Paramètres!$A$1:$I$89,3,0)*0.475*44/12</f>
        <v>8.981033069589591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18.962821740507263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3.6</v>
      </c>
      <c r="DO80" s="12">
        <f>IF('Données projet'!$A$166&gt;35,DO79+DN80-DW79,IF(A80&lt;'Données projet'!$A$166,$DL$205^A80,IF(A80='Données projet'!$A$166,'Données projet'!$B$166,DO79+DN80-DW79)))</f>
        <v>216.19999999999996</v>
      </c>
      <c r="DP80" s="17">
        <f>DO80*VLOOKUP('Données projet'!$B$14,Paramètres!$A$1:$I$89,3,0)*VLOOKUP('Données projet'!$B$14,Paramètres!$A$1:$I$89,5,0)</f>
        <v>188.87232</v>
      </c>
      <c r="DQ80" s="13">
        <f t="shared" si="97"/>
        <v>47.290552503862891</v>
      </c>
      <c r="DR80" s="20">
        <f t="shared" si="70"/>
        <v>411.31700294422785</v>
      </c>
      <c r="DS80" s="59">
        <f t="shared" si="71"/>
        <v>704.65033627756111</v>
      </c>
      <c r="DT80" s="59">
        <f ca="1">AVERAGE(OFFSET($DS$3,0,0,'Données projet'!$E$14+1,1))-AVERAGE(OFFSET($H$3,0,0,'Données projet'!$E$14+1,1))</f>
        <v>229.5312221178919</v>
      </c>
      <c r="DU80" s="59">
        <f t="shared" si="98"/>
        <v>218.1982095871906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12.196655126731233</v>
      </c>
      <c r="EB80" s="21">
        <f>EXP(-LN(2)/25)*EB79+(1-EXP(-LN(2)/25))/(LN(2)/25)*Calculateur!DW80*Calculateur!DY80*VLOOKUP('Données projet'!$B$14,Paramètres!$A$1:$I$89,3,0)*0.475*44/12</f>
        <v>15.678521821413726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27.875176948144961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5.5042735042735051</v>
      </c>
      <c r="EJ80" s="12">
        <f>IF('Données projet'!$A$192&gt;35,EJ79+EI80-ER79,IF(A80&lt;'Données projet'!$A$192,$EG$205^A80,IF(A80='Données projet'!$A$192,'Données projet'!$B$192,EJ79+EI80-ER79)))</f>
        <v>161.47649572649567</v>
      </c>
      <c r="EK80" s="17">
        <f>EJ80*VLOOKUP('Données projet'!$B$15,Paramètres!$A$1:$I$89,3,0)*VLOOKUP('Données projet'!$B$15,Paramètres!$A$1:$I$89,5,0)</f>
        <v>146.10393333333329</v>
      </c>
      <c r="EL80" s="13">
        <f t="shared" si="99"/>
        <v>37.691838944088502</v>
      </c>
      <c r="EM80" s="20">
        <f t="shared" si="73"/>
        <v>320.11097004984299</v>
      </c>
      <c r="EN80" s="59">
        <f t="shared" si="74"/>
        <v>613.44430338317625</v>
      </c>
      <c r="EO80" s="59">
        <f ca="1">AVERAGE(OFFSET($EN$3,0,0,'Données projet'!$E$15+1,1))-AVERAGE(OFFSET($H$3,0,0,'Données projet'!$E$15+1,1))</f>
        <v>204.39656982394689</v>
      </c>
      <c r="EP80" s="59">
        <f t="shared" si="100"/>
        <v>134.95704640904546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8.9465820126388955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8.9465820126388955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7.327635327635325</v>
      </c>
      <c r="FE80" s="12">
        <f>IF('Données projet'!$A$218&gt;35,FE79+FD80-FM79,IF(A80&lt;'Données projet'!$A$218,$FB$205^A80,IF(A80='Données projet'!$A$218,'Données projet'!$B$218,FE79+FD80-FM79)))</f>
        <v>166.44373219373261</v>
      </c>
      <c r="FF80" s="17">
        <f>FE80*VLOOKUP('Données projet'!$B$16,Paramètres!$A$1:$I$89,3,0)*VLOOKUP('Données projet'!$B$16,Paramètres!$A$1:$I$89,5,0)</f>
        <v>142.8087222222226</v>
      </c>
      <c r="FG80" s="13">
        <f t="shared" si="101"/>
        <v>36.939698569138336</v>
      </c>
      <c r="FH80" s="20">
        <f t="shared" si="76"/>
        <v>313.06183287828691</v>
      </c>
      <c r="FI80" s="59">
        <f t="shared" si="77"/>
        <v>606.39516621162022</v>
      </c>
      <c r="FJ80" s="59">
        <f ca="1">AVERAGE(OFFSET($FI$3,0,0,'Données projet'!$E$16+1,1))-AVERAGE(OFFSET($H$3,0,0,'Données projet'!$E$16+1,1))</f>
        <v>199.60585215726968</v>
      </c>
      <c r="FK80" s="59">
        <f t="shared" si="102"/>
        <v>137.37366750114404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10.571068487724688</v>
      </c>
      <c r="FS80" s="21">
        <f>EXP(-LN(2)/2)*FS79+(1-EXP(-LN(2)/2))/(LN(2)/2)*FM80*FP80*VLOOKUP('Données projet'!$B$16,Paramètres!$A$1:$I$89,3,0)*0.475*44/12</f>
        <v>7.3584264195445916</v>
      </c>
      <c r="FT80" s="22">
        <f t="shared" si="78"/>
        <v>17.92949490726928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9.5237179487179446</v>
      </c>
      <c r="N81" s="13">
        <f>IF('Données projet'!$A$36&gt;35,N80+M81-V80,IF(A81&lt;'Données projet'!$A$36,$K$205^A81,IF(A81='Données projet'!$A$36,'Données projet'!$B$36,N80+M81-V80)))</f>
        <v>312.16474358974403</v>
      </c>
      <c r="O81" s="13">
        <f>N81*VLOOKUP('Données projet'!$B$9,Paramètres!$A$1:$I$89,3,0)*VLOOKUP('Données projet'!$B$9,Paramètres!$A$1:$I$89,5,0)</f>
        <v>146.09310000000022</v>
      </c>
      <c r="P81" s="13">
        <f t="shared" si="87"/>
        <v>37.689369466401502</v>
      </c>
      <c r="Q81" s="20">
        <f t="shared" si="54"/>
        <v>320.08780098731637</v>
      </c>
      <c r="R81" s="59">
        <f t="shared" si="55"/>
        <v>613.42113432064968</v>
      </c>
      <c r="S81" s="59">
        <f ca="1">AVERAGE(OFFSET($R$3,0,0,'Données projet'!$E$9+1,1))-AVERAGE(OFFSET($H$3,0,0,'Données projet'!$E$9+1,1))</f>
        <v>164.93438869099657</v>
      </c>
      <c r="T81" s="59">
        <f t="shared" si="88"/>
        <v>112.28641356594233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36.435102915094944</v>
      </c>
      <c r="AA81" s="21">
        <f>EXP(-LN(2)/25)*AA80+(1-EXP(-LN(2)/25))/(LN(2)/25)*Calculateur!V81*Calculateur!X81*VLOOKUP('Données projet'!$B$9,Paramètres!$A$1:$I$89,3,0)*0.475*44/12</f>
        <v>23.365368554477875</v>
      </c>
      <c r="AB81" s="21">
        <f>EXP(-LN(2)/2)*AB80+(1-EXP(-LN(2)/2))/(LN(2)/2)*V81*Y81*VLOOKUP('Données projet'!$B$9,Paramètres!$A$1:$I$89,3,0)*0.475*44/12</f>
        <v>1.1788691279818513</v>
      </c>
      <c r="AC81" s="22">
        <f t="shared" si="57"/>
        <v>60.979340597554668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273.81843612193632</v>
      </c>
      <c r="AO81" s="59">
        <f t="shared" si="90"/>
        <v>241.86405419073208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-6.3550942286383367E-14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271.42245454555501</v>
      </c>
      <c r="BJ81" s="59">
        <f t="shared" si="92"/>
        <v>362.63944425429077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143.73071361143315</v>
      </c>
      <c r="BQ81" s="21">
        <f>EXP(-LN(2)/25)*BQ80+(1-EXP(-LN(2)/25))/(LN(2)/25)*Calculateur!BL81*Calculateur!BN81*VLOOKUP('Données projet'!$B$11,Paramètres!$A$1:$I$89,3,0)*0.475*44/12</f>
        <v>30.446178722631792</v>
      </c>
      <c r="BR81" s="21">
        <f>EXP(-LN(2)/2)*BR80+(1-EXP(-LN(2)/2))/(LN(2)/2)*BL81*BO81*VLOOKUP('Données projet'!$B$11,Paramètres!$A$1:$I$89,3,0)*0.475*44/12</f>
        <v>1.1794770368888227E-2</v>
      </c>
      <c r="BS81" s="22">
        <f t="shared" si="63"/>
        <v>174.18868710443382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-5.6843418860808015E-14</v>
      </c>
      <c r="BZ81" s="13">
        <f>BY81*VLOOKUP('Données projet'!$B$12,Paramètres!$A$1:$I$89,3,0)*VLOOKUP('Données projet'!$B$12,Paramètres!$A$1:$I$89,5,0)</f>
        <v>-3.1036506698001178E-14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154.35821558431712</v>
      </c>
      <c r="CE81" s="59">
        <f t="shared" si="94"/>
        <v>263.86720460501306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31.774849064399575</v>
      </c>
      <c r="CL81" s="21">
        <f>EXP(-LN(2)/25)*CL80+(1-EXP(-LN(2)/25))/(LN(2)/25)*Calculateur!CG81*Calculateur!CI81*VLOOKUP('Données projet'!$B$12,Paramètres!$A$1:$I$89,3,0)*0.475*44/12</f>
        <v>52.276421451354523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84.051270515754098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2.4</v>
      </c>
      <c r="CT81" s="12">
        <f>IF('Données projet'!$A$140&gt;35,CT80+CS81-DB80,IF(A81&lt;'Données projet'!$A$140,$CQ$205^A81,IF(A81='Données projet'!$A$140,'Données projet'!$B$140,CT80+CS81-DB80)))</f>
        <v>214.2</v>
      </c>
      <c r="CU81" s="17">
        <f>CT81*VLOOKUP('Données projet'!$B$13,Paramètres!$A$1:$I$89,3,0)*VLOOKUP('Données projet'!$B$13,Paramètres!$A$1:$I$89,5,0)</f>
        <v>170.41752</v>
      </c>
      <c r="CV81" s="13">
        <f t="shared" si="95"/>
        <v>43.183520822110523</v>
      </c>
      <c r="CW81" s="20">
        <f t="shared" si="67"/>
        <v>372.02181276517581</v>
      </c>
      <c r="CX81" s="59">
        <f t="shared" si="68"/>
        <v>665.35514609850907</v>
      </c>
      <c r="CY81" s="59">
        <f ca="1">AVERAGE(OFFSET($CX$3,0,0,'Données projet'!$E$13+1,1))-AVERAGE(OFFSET($H$3,0,0,'Données projet'!$E$13+1,1))</f>
        <v>157.25319335691853</v>
      </c>
      <c r="CZ81" s="59">
        <f t="shared" si="96"/>
        <v>159.50903492442171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9.7860518833708969</v>
      </c>
      <c r="DG81" s="21">
        <f>EXP(-LN(2)/25)*DG80+(1-EXP(-LN(2)/25))/(LN(2)/25)*Calculateur!DB81*Calculateur!DD81*VLOOKUP('Données projet'!$B$13,Paramètres!$A$1:$I$89,3,0)*0.475*44/12</f>
        <v>8.7354462480096604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18.521498131380557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3.6</v>
      </c>
      <c r="DO81" s="12">
        <f>IF('Données projet'!$A$166&gt;35,DO80+DN81-DW80,IF(A81&lt;'Données projet'!$A$166,$DL$205^A81,IF(A81='Données projet'!$A$166,'Données projet'!$B$166,DO80+DN81-DW80)))</f>
        <v>219.79999999999995</v>
      </c>
      <c r="DP81" s="17">
        <f>DO81*VLOOKUP('Données projet'!$B$14,Paramètres!$A$1:$I$89,3,0)*VLOOKUP('Données projet'!$B$14,Paramètres!$A$1:$I$89,5,0)</f>
        <v>192.01727999999997</v>
      </c>
      <c r="DQ81" s="13">
        <f t="shared" si="97"/>
        <v>47.985670310783661</v>
      </c>
      <c r="DR81" s="20">
        <f t="shared" si="70"/>
        <v>418.00513845794814</v>
      </c>
      <c r="DS81" s="59">
        <f t="shared" si="71"/>
        <v>711.33847179128145</v>
      </c>
      <c r="DT81" s="59">
        <f ca="1">AVERAGE(OFFSET($DS$3,0,0,'Données projet'!$E$14+1,1))-AVERAGE(OFFSET($H$3,0,0,'Données projet'!$E$14+1,1))</f>
        <v>229.5312221178919</v>
      </c>
      <c r="DU81" s="59">
        <f t="shared" si="98"/>
        <v>218.1982095871906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11.957486158921098</v>
      </c>
      <c r="EB81" s="21">
        <f>EXP(-LN(2)/25)*EB80+(1-EXP(-LN(2)/25))/(LN(2)/25)*Calculateur!DW81*Calculateur!DY81*VLOOKUP('Données projet'!$B$14,Paramètres!$A$1:$I$89,3,0)*0.475*44/12</f>
        <v>15.249791817709539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27.207277976630635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5.5042735042735051</v>
      </c>
      <c r="EJ81" s="12">
        <f>IF('Données projet'!$A$192&gt;35,EJ80+EI81-ER80,IF(A81&lt;'Données projet'!$A$192,$EG$205^A81,IF(A81='Données projet'!$A$192,'Données projet'!$B$192,EJ80+EI81-ER80)))</f>
        <v>166.98076923076917</v>
      </c>
      <c r="EK81" s="17">
        <f>EJ81*VLOOKUP('Données projet'!$B$15,Paramètres!$A$1:$I$89,3,0)*VLOOKUP('Données projet'!$B$15,Paramètres!$A$1:$I$89,5,0)</f>
        <v>151.08419999999992</v>
      </c>
      <c r="EL81" s="13">
        <f t="shared" si="99"/>
        <v>38.824870591002266</v>
      </c>
      <c r="EM81" s="20">
        <f t="shared" si="73"/>
        <v>330.75829794599554</v>
      </c>
      <c r="EN81" s="59">
        <f t="shared" si="74"/>
        <v>624.09163127932879</v>
      </c>
      <c r="EO81" s="59">
        <f ca="1">AVERAGE(OFFSET($EN$3,0,0,'Données projet'!$E$15+1,1))-AVERAGE(OFFSET($H$3,0,0,'Données projet'!$E$15+1,1))</f>
        <v>204.39656982394689</v>
      </c>
      <c r="EP81" s="59">
        <f t="shared" si="100"/>
        <v>134.95704640904546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8.7711449962472532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8.7711449962472532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7.327635327635325</v>
      </c>
      <c r="FE81" s="12">
        <f>IF('Données projet'!$A$218&gt;35,FE80+FD81-FM80,IF(A81&lt;'Données projet'!$A$218,$FB$205^A81,IF(A81='Données projet'!$A$218,'Données projet'!$B$218,FE80+FD81-FM80)))</f>
        <v>173.77136752136795</v>
      </c>
      <c r="FF81" s="17">
        <f>FE81*VLOOKUP('Données projet'!$B$16,Paramètres!$A$1:$I$89,3,0)*VLOOKUP('Données projet'!$B$16,Paramètres!$A$1:$I$89,5,0)</f>
        <v>149.0958333333337</v>
      </c>
      <c r="FG81" s="13">
        <f t="shared" si="101"/>
        <v>38.373038255066099</v>
      </c>
      <c r="FH81" s="20">
        <f t="shared" si="76"/>
        <v>326.50828468312966</v>
      </c>
      <c r="FI81" s="59">
        <f t="shared" si="77"/>
        <v>619.84161801646292</v>
      </c>
      <c r="FJ81" s="59">
        <f ca="1">AVERAGE(OFFSET($FI$3,0,0,'Données projet'!$E$16+1,1))-AVERAGE(OFFSET($H$3,0,0,'Données projet'!$E$16+1,1))</f>
        <v>199.60585215726968</v>
      </c>
      <c r="FK81" s="59">
        <f t="shared" si="102"/>
        <v>137.37366750114404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10.282002064019524</v>
      </c>
      <c r="FS81" s="21">
        <f>EXP(-LN(2)/2)*FS80+(1-EXP(-LN(2)/2))/(LN(2)/2)*FM81*FP81*VLOOKUP('Données projet'!$B$16,Paramètres!$A$1:$I$89,3,0)*0.475*44/12</f>
        <v>5.2031932201222286</v>
      </c>
      <c r="FT81" s="22">
        <f t="shared" si="78"/>
        <v>15.485195284141753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9.5237179487179446</v>
      </c>
      <c r="N82" s="13">
        <f>IF('Données projet'!$A$36&gt;35,N81+M82-V81,IF(A82&lt;'Données projet'!$A$36,$K$205^A82,IF(A82='Données projet'!$A$36,'Données projet'!$B$36,N81+M82-V81)))</f>
        <v>321.68846153846198</v>
      </c>
      <c r="O82" s="13">
        <f>N82*VLOOKUP('Données projet'!$B$9,Paramètres!$A$1:$I$89,3,0)*VLOOKUP('Données projet'!$B$9,Paramètres!$A$1:$I$89,5,0)</f>
        <v>150.55020000000022</v>
      </c>
      <c r="P82" s="13">
        <f t="shared" si="87"/>
        <v>38.703593889379846</v>
      </c>
      <c r="Q82" s="20">
        <f t="shared" si="54"/>
        <v>329.6170243573369</v>
      </c>
      <c r="R82" s="59">
        <f t="shared" si="55"/>
        <v>622.95035769067022</v>
      </c>
      <c r="S82" s="59">
        <f ca="1">AVERAGE(OFFSET($R$3,0,0,'Données projet'!$E$9+1,1))-AVERAGE(OFFSET($H$3,0,0,'Données projet'!$E$9+1,1))</f>
        <v>164.93438869099657</v>
      </c>
      <c r="T82" s="59">
        <f t="shared" si="88"/>
        <v>112.28641356594233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35.720632770148349</v>
      </c>
      <c r="AA82" s="21">
        <f>EXP(-LN(2)/25)*AA81+(1-EXP(-LN(2)/25))/(LN(2)/25)*Calculateur!V82*Calculateur!X82*VLOOKUP('Données projet'!$B$9,Paramètres!$A$1:$I$89,3,0)*0.475*44/12</f>
        <v>22.726441322624346</v>
      </c>
      <c r="AB82" s="21">
        <f>EXP(-LN(2)/2)*AB81+(1-EXP(-LN(2)/2))/(LN(2)/2)*V82*Y82*VLOOKUP('Données projet'!$B$9,Paramètres!$A$1:$I$89,3,0)*0.475*44/12</f>
        <v>0.83358635452743901</v>
      </c>
      <c r="AC82" s="22">
        <f t="shared" si="57"/>
        <v>59.280660447300136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273.81843612193632</v>
      </c>
      <c r="AO82" s="59">
        <f t="shared" si="90"/>
        <v>241.86405419073208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-6.3550942286383367E-14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271.42245454555501</v>
      </c>
      <c r="BJ82" s="59">
        <f t="shared" si="92"/>
        <v>362.63944425429077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140.91224198459184</v>
      </c>
      <c r="BQ82" s="21">
        <f>EXP(-LN(2)/25)*BQ81+(1-EXP(-LN(2)/25))/(LN(2)/25)*Calculateur!BL82*Calculateur!BN82*VLOOKUP('Données projet'!$B$11,Paramètres!$A$1:$I$89,3,0)*0.475*44/12</f>
        <v>29.613626364366471</v>
      </c>
      <c r="BR82" s="21">
        <f>EXP(-LN(2)/2)*BR81+(1-EXP(-LN(2)/2))/(LN(2)/2)*BL82*BO82*VLOOKUP('Données projet'!$B$11,Paramètres!$A$1:$I$89,3,0)*0.475*44/12</f>
        <v>8.3401621103790218E-3</v>
      </c>
      <c r="BS82" s="22">
        <f t="shared" si="63"/>
        <v>170.5342085110687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-5.6843418860808015E-14</v>
      </c>
      <c r="BZ82" s="13">
        <f>BY82*VLOOKUP('Données projet'!$B$12,Paramètres!$A$1:$I$89,3,0)*VLOOKUP('Données projet'!$B$12,Paramètres!$A$1:$I$89,5,0)</f>
        <v>-3.1036506698001178E-14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154.35821558431712</v>
      </c>
      <c r="CE82" s="59">
        <f t="shared" si="94"/>
        <v>263.86720460501306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31.15176365499094</v>
      </c>
      <c r="CL82" s="21">
        <f>EXP(-LN(2)/25)*CL81+(1-EXP(-LN(2)/25))/(LN(2)/25)*Calculateur!CG82*Calculateur!CI82*VLOOKUP('Données projet'!$B$12,Paramètres!$A$1:$I$89,3,0)*0.475*44/12</f>
        <v>50.846919957669705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81.998683612660642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2.4</v>
      </c>
      <c r="CT82" s="12">
        <f>IF('Données projet'!$A$140&gt;35,CT81+CS82-DB81,IF(A82&lt;'Données projet'!$A$140,$CQ$205^A82,IF(A82='Données projet'!$A$140,'Données projet'!$B$140,CT81+CS82-DB81)))</f>
        <v>216.6</v>
      </c>
      <c r="CU82" s="17">
        <f>CT82*VLOOKUP('Données projet'!$B$13,Paramètres!$A$1:$I$89,3,0)*VLOOKUP('Données projet'!$B$13,Paramètres!$A$1:$I$89,5,0)</f>
        <v>172.32695999999999</v>
      </c>
      <c r="CV82" s="13">
        <f t="shared" si="95"/>
        <v>43.61077213808133</v>
      </c>
      <c r="CW82" s="20">
        <f t="shared" si="67"/>
        <v>376.09155014049156</v>
      </c>
      <c r="CX82" s="59">
        <f t="shared" si="68"/>
        <v>669.42488347382482</v>
      </c>
      <c r="CY82" s="59">
        <f ca="1">AVERAGE(OFFSET($CX$3,0,0,'Données projet'!$E$13+1,1))-AVERAGE(OFFSET($H$3,0,0,'Données projet'!$E$13+1,1))</f>
        <v>157.25319335691853</v>
      </c>
      <c r="CZ82" s="59">
        <f t="shared" si="96"/>
        <v>159.50903492442171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9.5941533748402623</v>
      </c>
      <c r="DG82" s="21">
        <f>EXP(-LN(2)/25)*DG81+(1-EXP(-LN(2)/25))/(LN(2)/25)*Calculateur!DB82*Calculateur!DD82*VLOOKUP('Données projet'!$B$13,Paramètres!$A$1:$I$89,3,0)*0.475*44/12</f>
        <v>8.496575010980683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18.090728385820945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3.6</v>
      </c>
      <c r="DO82" s="12">
        <f>IF('Données projet'!$A$166&gt;35,DO81+DN82-DW81,IF(A82&lt;'Données projet'!$A$166,$DL$205^A82,IF(A82='Données projet'!$A$166,'Données projet'!$B$166,DO81+DN82-DW81)))</f>
        <v>223.39999999999995</v>
      </c>
      <c r="DP82" s="17">
        <f>DO82*VLOOKUP('Données projet'!$B$14,Paramètres!$A$1:$I$89,3,0)*VLOOKUP('Données projet'!$B$14,Paramètres!$A$1:$I$89,5,0)</f>
        <v>195.16224</v>
      </c>
      <c r="DQ82" s="13">
        <f t="shared" si="97"/>
        <v>48.67946410296608</v>
      </c>
      <c r="DR82" s="20">
        <f t="shared" si="70"/>
        <v>424.69096797933253</v>
      </c>
      <c r="DS82" s="59">
        <f t="shared" si="71"/>
        <v>718.02430131266578</v>
      </c>
      <c r="DT82" s="59">
        <f ca="1">AVERAGE(OFFSET($DS$3,0,0,'Données projet'!$E$14+1,1))-AVERAGE(OFFSET($H$3,0,0,'Données projet'!$E$14+1,1))</f>
        <v>229.5312221178919</v>
      </c>
      <c r="DU82" s="59">
        <f t="shared" si="98"/>
        <v>218.1982095871906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11.723007148691053</v>
      </c>
      <c r="EB82" s="21">
        <f>EXP(-LN(2)/25)*EB81+(1-EXP(-LN(2)/25))/(LN(2)/25)*Calculateur!DW82*Calculateur!DY82*VLOOKUP('Données projet'!$B$14,Paramètres!$A$1:$I$89,3,0)*0.475*44/12</f>
        <v>14.832785458502574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26.555792607193627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5.5042735042735051</v>
      </c>
      <c r="EJ82" s="12">
        <f>IF('Données projet'!$A$192&gt;35,EJ81+EI82-ER81,IF(A82&lt;'Données projet'!$A$192,$EG$205^A82,IF(A82='Données projet'!$A$192,'Données projet'!$B$192,EJ81+EI82-ER81)))</f>
        <v>172.48504273504267</v>
      </c>
      <c r="EK82" s="17">
        <f>EJ82*VLOOKUP('Données projet'!$B$15,Paramètres!$A$1:$I$89,3,0)*VLOOKUP('Données projet'!$B$15,Paramètres!$A$1:$I$89,5,0)</f>
        <v>156.06446666666659</v>
      </c>
      <c r="EL82" s="13">
        <f t="shared" si="99"/>
        <v>39.953562347640762</v>
      </c>
      <c r="EM82" s="20">
        <f t="shared" si="73"/>
        <v>341.39806719991861</v>
      </c>
      <c r="EN82" s="59">
        <f t="shared" si="74"/>
        <v>634.73140053325187</v>
      </c>
      <c r="EO82" s="59">
        <f ca="1">AVERAGE(OFFSET($EN$3,0,0,'Données projet'!$E$15+1,1))-AVERAGE(OFFSET($H$3,0,0,'Données projet'!$E$15+1,1))</f>
        <v>204.39656982394689</v>
      </c>
      <c r="EP82" s="59">
        <f t="shared" si="100"/>
        <v>134.95704640904546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8.5991481927410369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8.5991481927410369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7.327635327635325</v>
      </c>
      <c r="FE82" s="12">
        <f>IF('Données projet'!$A$218&gt;35,FE81+FD82-FM81,IF(A82&lt;'Données projet'!$A$218,$FB$205^A82,IF(A82='Données projet'!$A$218,'Données projet'!$B$218,FE81+FD82-FM81)))</f>
        <v>181.09900284900328</v>
      </c>
      <c r="FF82" s="17">
        <f>FE82*VLOOKUP('Données projet'!$B$16,Paramètres!$A$1:$I$89,3,0)*VLOOKUP('Données projet'!$B$16,Paramètres!$A$1:$I$89,5,0)</f>
        <v>155.38294444444483</v>
      </c>
      <c r="FG82" s="13">
        <f t="shared" si="101"/>
        <v>39.79935759893911</v>
      </c>
      <c r="FH82" s="20">
        <f t="shared" si="76"/>
        <v>339.94250939222701</v>
      </c>
      <c r="FI82" s="59">
        <f t="shared" si="77"/>
        <v>633.27584272556032</v>
      </c>
      <c r="FJ82" s="59">
        <f ca="1">AVERAGE(OFFSET($FI$3,0,0,'Données projet'!$E$16+1,1))-AVERAGE(OFFSET($H$3,0,0,'Données projet'!$E$16+1,1))</f>
        <v>199.60585215726968</v>
      </c>
      <c r="FK82" s="59">
        <f t="shared" si="102"/>
        <v>137.37366750114404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10.000840176871922</v>
      </c>
      <c r="FS82" s="21">
        <f>EXP(-LN(2)/2)*FS81+(1-EXP(-LN(2)/2))/(LN(2)/2)*FM82*FP82*VLOOKUP('Données projet'!$B$16,Paramètres!$A$1:$I$89,3,0)*0.475*44/12</f>
        <v>3.6792132097722967</v>
      </c>
      <c r="FT82" s="22">
        <f t="shared" si="78"/>
        <v>13.680053386644218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9.5237179487179446</v>
      </c>
      <c r="N83" s="13">
        <f>IF('Données projet'!$A$36&gt;35,N82+M83-V82,IF(A83&lt;'Données projet'!$A$36,$K$205^A83,IF(A83='Données projet'!$A$36,'Données projet'!$B$36,N82+M83-V82)))</f>
        <v>331.21217948717992</v>
      </c>
      <c r="O83" s="13">
        <f>N83*VLOOKUP('Données projet'!$B$9,Paramètres!$A$1:$I$89,3,0)*VLOOKUP('Données projet'!$B$9,Paramètres!$A$1:$I$89,5,0)</f>
        <v>155.00730000000019</v>
      </c>
      <c r="P83" s="13">
        <f t="shared" si="87"/>
        <v>39.714328701221518</v>
      </c>
      <c r="Q83" s="20">
        <f t="shared" si="54"/>
        <v>339.14016998796109</v>
      </c>
      <c r="R83" s="59">
        <f t="shared" si="55"/>
        <v>632.4735033212944</v>
      </c>
      <c r="S83" s="59">
        <f ca="1">AVERAGE(OFFSET($R$3,0,0,'Données projet'!$E$9+1,1))-AVERAGE(OFFSET($H$3,0,0,'Données projet'!$E$9+1,1))</f>
        <v>164.93438869099657</v>
      </c>
      <c r="T83" s="59">
        <f t="shared" si="88"/>
        <v>112.28641356594233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35.020172948960401</v>
      </c>
      <c r="AA83" s="21">
        <f>EXP(-LN(2)/25)*AA82+(1-EXP(-LN(2)/25))/(LN(2)/25)*Calculateur!V83*Calculateur!X83*VLOOKUP('Données projet'!$B$9,Paramètres!$A$1:$I$89,3,0)*0.475*44/12</f>
        <v>22.104985589525576</v>
      </c>
      <c r="AB83" s="21">
        <f>EXP(-LN(2)/2)*AB82+(1-EXP(-LN(2)/2))/(LN(2)/2)*V83*Y83*VLOOKUP('Données projet'!$B$9,Paramètres!$A$1:$I$89,3,0)*0.475*44/12</f>
        <v>0.58943456399092564</v>
      </c>
      <c r="AC83" s="22">
        <f t="shared" si="57"/>
        <v>57.714593102476904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273.81843612193632</v>
      </c>
      <c r="AO83" s="59">
        <f t="shared" si="90"/>
        <v>241.86405419073208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-6.3550942286383367E-14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271.42245454555501</v>
      </c>
      <c r="BJ83" s="59">
        <f t="shared" si="92"/>
        <v>362.63944425429077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138.14903886725494</v>
      </c>
      <c r="BQ83" s="21">
        <f>EXP(-LN(2)/25)*BQ82+(1-EXP(-LN(2)/25))/(LN(2)/25)*Calculateur!BL83*Calculateur!BN83*VLOOKUP('Données projet'!$B$11,Paramètres!$A$1:$I$89,3,0)*0.475*44/12</f>
        <v>28.803840194119942</v>
      </c>
      <c r="BR83" s="21">
        <f>EXP(-LN(2)/2)*BR82+(1-EXP(-LN(2)/2))/(LN(2)/2)*BL83*BO83*VLOOKUP('Données projet'!$B$11,Paramètres!$A$1:$I$89,3,0)*0.475*44/12</f>
        <v>5.8973851844441134E-3</v>
      </c>
      <c r="BS83" s="22">
        <f t="shared" si="63"/>
        <v>166.95877644655934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-5.6843418860808015E-14</v>
      </c>
      <c r="BZ83" s="13">
        <f>BY83*VLOOKUP('Données projet'!$B$12,Paramètres!$A$1:$I$89,3,0)*VLOOKUP('Données projet'!$B$12,Paramètres!$A$1:$I$89,5,0)</f>
        <v>-3.1036506698001178E-14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154.35821558431712</v>
      </c>
      <c r="CE83" s="59">
        <f t="shared" si="94"/>
        <v>263.86720460501306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30.540896570416233</v>
      </c>
      <c r="CL83" s="21">
        <f>EXP(-LN(2)/25)*CL82+(1-EXP(-LN(2)/25))/(LN(2)/25)*Calculateur!CG83*Calculateur!CI83*VLOOKUP('Données projet'!$B$12,Paramètres!$A$1:$I$89,3,0)*0.475*44/12</f>
        <v>49.45650825750392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79.99740482792015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219</v>
      </c>
      <c r="CR83" s="12">
        <f>VLOOKUP(A83,'Données projet'!$A$139:$I$159,9,0)</f>
        <v>2.4</v>
      </c>
      <c r="CS83" s="12">
        <f t="array" ref="CS83">INDEX(CR:CR,MIN(IF(ISNUMBER(CR83:CR279),ROW(CR83:CR279),"")))</f>
        <v>2.4</v>
      </c>
      <c r="CT83" s="12">
        <f>IF('Données projet'!$A$140&gt;35,CT82+CS83-DB82,IF(A83&lt;'Données projet'!$A$140,$CQ$205^A83,IF(A83='Données projet'!$A$140,'Données projet'!$B$140,CT82+CS83-DB82)))</f>
        <v>219</v>
      </c>
      <c r="CU83" s="17">
        <f>CT83*VLOOKUP('Données projet'!$B$13,Paramètres!$A$1:$I$89,3,0)*VLOOKUP('Données projet'!$B$13,Paramètres!$A$1:$I$89,5,0)</f>
        <v>174.2364</v>
      </c>
      <c r="CV83" s="13">
        <f t="shared" si="95"/>
        <v>44.03747274965864</v>
      </c>
      <c r="CW83" s="20">
        <f t="shared" si="67"/>
        <v>380.16032837232211</v>
      </c>
      <c r="CX83" s="59">
        <f t="shared" si="68"/>
        <v>673.49366170565543</v>
      </c>
      <c r="CY83" s="59">
        <f ca="1">AVERAGE(OFFSET($CX$3,0,0,'Données projet'!$E$13+1,1))-AVERAGE(OFFSET($H$3,0,0,'Données projet'!$E$13+1,1))</f>
        <v>157.25319335691853</v>
      </c>
      <c r="CZ83" s="59">
        <f t="shared" si="96"/>
        <v>159.50903492442171</v>
      </c>
      <c r="DA83" s="15">
        <f>IF(ISNA(VLOOKUP(A83,'Données projet'!$A$139:$I$159,3,0)),0,VLOOKUP(A83,'Données projet'!$A$139:$I$159,3,0))</f>
        <v>13</v>
      </c>
      <c r="DB83" s="15">
        <f>IF(ISNA(VLOOKUP(A83,'Données projet'!$A$139:$I$159,4,0)),0,VLOOKUP(A83,'Données projet'!$A$139:$I$159,4,0))</f>
        <v>6</v>
      </c>
      <c r="DC83" s="16">
        <f>IF(ISNA(VLOOKUP(A83,'Données projet'!$A$139:$I$159,5,0)),0%,VLOOKUP(A83,'Données projet'!$A$139:$I$159,5,0)*VLOOKUP('Données projet'!$B$13,Paramètres!$A$1:$I$89,7,0))</f>
        <v>0.35510000000000003</v>
      </c>
      <c r="DD83" s="16">
        <f>IF(ISNA(VLOOKUP(A83,'Données projet'!$A$139:$I$159,6,0)),0%,VLOOKUP(A83,'Données projet'!$A$139:$I$159,6,0)*VLOOKUP('Données projet'!$B$13,Paramètres!$A$1:$I$89,7,0))</f>
        <v>9.0100000000000013E-2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11.279906644682919</v>
      </c>
      <c r="DG83" s="21">
        <f>EXP(-LN(2)/25)*DG82+(1-EXP(-LN(2)/25))/(LN(2)/25)*Calculateur!DB83*Calculateur!DD83*VLOOKUP('Données projet'!$B$13,Paramètres!$A$1:$I$89,3,0)*0.475*44/12</f>
        <v>8.7378279499977403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20.017734594680661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227</v>
      </c>
      <c r="DM83" s="12">
        <f>VLOOKUP(A83,'Données projet'!$A$165:$I$185,9,0)</f>
        <v>3.6</v>
      </c>
      <c r="DN83" s="12">
        <f t="array" ref="DN83">INDEX(DM:DM,MIN(IF(ISNUMBER(DM83:DM279),ROW(DM83:DM279),"")))</f>
        <v>3.6</v>
      </c>
      <c r="DO83" s="12">
        <f>IF('Données projet'!$A$166&gt;35,DO82+DN83-DW82,IF(A83&lt;'Données projet'!$A$166,$DL$205^A83,IF(A83='Données projet'!$A$166,'Données projet'!$B$166,DO82+DN83-DW82)))</f>
        <v>226.99999999999994</v>
      </c>
      <c r="DP83" s="17">
        <f>DO83*VLOOKUP('Données projet'!$B$14,Paramètres!$A$1:$I$89,3,0)*VLOOKUP('Données projet'!$B$14,Paramètres!$A$1:$I$89,5,0)</f>
        <v>198.30719999999997</v>
      </c>
      <c r="DQ83" s="13">
        <f t="shared" si="97"/>
        <v>49.371957679623371</v>
      </c>
      <c r="DR83" s="20">
        <f t="shared" si="70"/>
        <v>431.37453295867726</v>
      </c>
      <c r="DS83" s="59">
        <f t="shared" si="71"/>
        <v>724.70786629201052</v>
      </c>
      <c r="DT83" s="59">
        <f ca="1">AVERAGE(OFFSET($DS$3,0,0,'Données projet'!$E$14+1,1))-AVERAGE(OFFSET($H$3,0,0,'Données projet'!$E$14+1,1))</f>
        <v>229.5312221178919</v>
      </c>
      <c r="DU83" s="59">
        <f t="shared" si="98"/>
        <v>218.1982095871906</v>
      </c>
      <c r="DV83" s="15">
        <f>IF(ISNA(VLOOKUP(A83,'Données projet'!$A$165:$I$185,3,0)),0,VLOOKUP(A83,'Données projet'!$A$165:$I$185,3,0))</f>
        <v>13</v>
      </c>
      <c r="DW83" s="15" t="str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0.215</v>
      </c>
      <c r="DY83" s="16">
        <f>IF(ISNA(VLOOKUP(A83,'Données projet'!$A$165:$I$185,6,0)),0%,VLOOKUP(A83,'Données projet'!$A$165:$I$185,6,0)*VLOOKUP('Données projet'!$B$14,Paramètres!$A$1:$I$89,7,0))</f>
        <v>0.17200000000000001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14.192366420183706</v>
      </c>
      <c r="EB83" s="21">
        <f>EXP(-LN(2)/25)*EB82+(1-EXP(-LN(2)/25))/(LN(2)/25)*Calculateur!DW83*Calculateur!DY83*VLOOKUP('Données projet'!$B$14,Paramètres!$A$1:$I$89,3,0)*0.475*44/12</f>
        <v>16.578072043183081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30.770438463366787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5.5042735042735051</v>
      </c>
      <c r="EJ83" s="12">
        <f>IF('Données projet'!$A$192&gt;35,EJ82+EI83-ER82,IF(A83&lt;'Données projet'!$A$192,$EG$205^A83,IF(A83='Données projet'!$A$192,'Données projet'!$B$192,EJ82+EI83-ER82)))</f>
        <v>177.98931623931617</v>
      </c>
      <c r="EK83" s="17">
        <f>EJ83*VLOOKUP('Données projet'!$B$15,Paramètres!$A$1:$I$89,3,0)*VLOOKUP('Données projet'!$B$15,Paramètres!$A$1:$I$89,5,0)</f>
        <v>161.04473333333328</v>
      </c>
      <c r="EL83" s="13">
        <f t="shared" si="99"/>
        <v>41.078068593790562</v>
      </c>
      <c r="EM83" s="20">
        <f t="shared" si="73"/>
        <v>352.03054668974067</v>
      </c>
      <c r="EN83" s="59">
        <f t="shared" si="74"/>
        <v>645.36388002307399</v>
      </c>
      <c r="EO83" s="59">
        <f ca="1">AVERAGE(OFFSET($EN$3,0,0,'Données projet'!$E$15+1,1))-AVERAGE(OFFSET($H$3,0,0,'Données projet'!$E$15+1,1))</f>
        <v>204.39656982394689</v>
      </c>
      <c r="EP83" s="59">
        <f t="shared" si="100"/>
        <v>134.95704640904546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8.4305241416438861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8.4305241416438861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7.327635327635325</v>
      </c>
      <c r="FE83" s="12">
        <f>IF('Données projet'!$A$218&gt;35,FE82+FD83-FM82,IF(A83&lt;'Données projet'!$A$218,$FB$205^A83,IF(A83='Données projet'!$A$218,'Données projet'!$B$218,FE82+FD83-FM82)))</f>
        <v>188.42663817663862</v>
      </c>
      <c r="FF83" s="17">
        <f>FE83*VLOOKUP('Données projet'!$B$16,Paramètres!$A$1:$I$89,3,0)*VLOOKUP('Données projet'!$B$16,Paramètres!$A$1:$I$89,5,0)</f>
        <v>161.67005555555596</v>
      </c>
      <c r="FG83" s="13">
        <f t="shared" si="101"/>
        <v>41.218973152849792</v>
      </c>
      <c r="FH83" s="20">
        <f t="shared" si="76"/>
        <v>353.3650583338067</v>
      </c>
      <c r="FI83" s="59">
        <f t="shared" si="77"/>
        <v>646.69839166713996</v>
      </c>
      <c r="FJ83" s="59">
        <f ca="1">AVERAGE(OFFSET($FI$3,0,0,'Données projet'!$E$16+1,1))-AVERAGE(OFFSET($H$3,0,0,'Données projet'!$E$16+1,1))</f>
        <v>199.60585215726968</v>
      </c>
      <c r="FK83" s="59">
        <f t="shared" si="102"/>
        <v>137.37366750114404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9.7273666763140305</v>
      </c>
      <c r="FS83" s="21">
        <f>EXP(-LN(2)/2)*FS82+(1-EXP(-LN(2)/2))/(LN(2)/2)*FM83*FP83*VLOOKUP('Données projet'!$B$16,Paramètres!$A$1:$I$89,3,0)*0.475*44/12</f>
        <v>2.6015966100611148</v>
      </c>
      <c r="FT83" s="22">
        <f t="shared" si="78"/>
        <v>12.328963286375146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9.5237179487179446</v>
      </c>
      <c r="N84" s="13">
        <f>IF('Données projet'!$A$36&gt;35,N83+M84-V83,IF(A84&lt;'Données projet'!$A$36,$K$205^A84,IF(A84='Données projet'!$A$36,'Données projet'!$B$36,N83+M84-V83)))</f>
        <v>340.73589743589787</v>
      </c>
      <c r="O84" s="13">
        <f>N84*VLOOKUP('Données projet'!$B$9,Paramètres!$A$1:$I$89,3,0)*VLOOKUP('Données projet'!$B$9,Paramètres!$A$1:$I$89,5,0)</f>
        <v>159.46440000000021</v>
      </c>
      <c r="P84" s="13">
        <f t="shared" si="87"/>
        <v>40.721685766303303</v>
      </c>
      <c r="Q84" s="20">
        <f t="shared" si="54"/>
        <v>348.65743270964526</v>
      </c>
      <c r="R84" s="59">
        <f t="shared" si="55"/>
        <v>641.99076604297852</v>
      </c>
      <c r="S84" s="59">
        <f ca="1">AVERAGE(OFFSET($R$3,0,0,'Données projet'!$E$9+1,1))-AVERAGE(OFFSET($H$3,0,0,'Données projet'!$E$9+1,1))</f>
        <v>164.93438869099657</v>
      </c>
      <c r="T84" s="59">
        <f t="shared" si="88"/>
        <v>112.28641356594233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34.33344871762764</v>
      </c>
      <c r="AA84" s="21">
        <f>EXP(-LN(2)/25)*AA83+(1-EXP(-LN(2)/25))/(LN(2)/25)*Calculateur!V84*Calculateur!X84*VLOOKUP('Données projet'!$B$9,Paramètres!$A$1:$I$89,3,0)*0.475*44/12</f>
        <v>21.50052359612933</v>
      </c>
      <c r="AB84" s="21">
        <f>EXP(-LN(2)/2)*AB83+(1-EXP(-LN(2)/2))/(LN(2)/2)*V84*Y84*VLOOKUP('Données projet'!$B$9,Paramètres!$A$1:$I$89,3,0)*0.475*44/12</f>
        <v>0.41679317726371951</v>
      </c>
      <c r="AC84" s="22">
        <f t="shared" si="57"/>
        <v>56.250765491020694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273.81843612193632</v>
      </c>
      <c r="AO84" s="59">
        <f t="shared" si="90"/>
        <v>241.86405419073208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-6.3550942286383367E-14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271.42245454555501</v>
      </c>
      <c r="BJ84" s="59">
        <f t="shared" si="92"/>
        <v>362.63944425429077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135.44002047766153</v>
      </c>
      <c r="BQ84" s="21">
        <f>EXP(-LN(2)/25)*BQ83+(1-EXP(-LN(2)/25))/(LN(2)/25)*Calculateur!BL84*Calculateur!BN84*VLOOKUP('Données projet'!$B$11,Paramètres!$A$1:$I$89,3,0)*0.475*44/12</f>
        <v>28.01619766928361</v>
      </c>
      <c r="BR84" s="21">
        <f>EXP(-LN(2)/2)*BR83+(1-EXP(-LN(2)/2))/(LN(2)/2)*BL84*BO84*VLOOKUP('Données projet'!$B$11,Paramètres!$A$1:$I$89,3,0)*0.475*44/12</f>
        <v>4.1700810551895109E-3</v>
      </c>
      <c r="BS84" s="22">
        <f t="shared" si="63"/>
        <v>163.46038822800031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-5.6843418860808015E-14</v>
      </c>
      <c r="BZ84" s="13">
        <f>BY84*VLOOKUP('Données projet'!$B$12,Paramètres!$A$1:$I$89,3,0)*VLOOKUP('Données projet'!$B$12,Paramètres!$A$1:$I$89,5,0)</f>
        <v>-3.1036506698001178E-14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154.35821558431712</v>
      </c>
      <c r="CE84" s="59">
        <f t="shared" si="94"/>
        <v>263.86720460501306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29.942008216777907</v>
      </c>
      <c r="CL84" s="21">
        <f>EXP(-LN(2)/25)*CL83+(1-EXP(-LN(2)/25))/(LN(2)/25)*Calculateur!CG84*Calculateur!CI84*VLOOKUP('Données projet'!$B$12,Paramètres!$A$1:$I$89,3,0)*0.475*44/12</f>
        <v>48.104117438397743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78.046125655175643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213</v>
      </c>
      <c r="CU84" s="17">
        <f>CT84*VLOOKUP('Données projet'!$B$13,Paramètres!$A$1:$I$89,3,0)*VLOOKUP('Données projet'!$B$13,Paramètres!$A$1:$I$89,5,0)</f>
        <v>169.46279999999999</v>
      </c>
      <c r="CV84" s="13">
        <f t="shared" si="95"/>
        <v>42.969686502194378</v>
      </c>
      <c r="CW84" s="20">
        <f t="shared" si="67"/>
        <v>369.9865806579885</v>
      </c>
      <c r="CX84" s="59">
        <f t="shared" si="68"/>
        <v>663.31991399132176</v>
      </c>
      <c r="CY84" s="59">
        <f ca="1">AVERAGE(OFFSET($CX$3,0,0,'Données projet'!$E$13+1,1))-AVERAGE(OFFSET($H$3,0,0,'Données projet'!$E$13+1,1))</f>
        <v>157.25319335691853</v>
      </c>
      <c r="CZ84" s="59">
        <f t="shared" si="96"/>
        <v>159.50903492442171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11.058714555444391</v>
      </c>
      <c r="DG84" s="21">
        <f>EXP(-LN(2)/25)*DG83+(1-EXP(-LN(2)/25))/(LN(2)/25)*Calculateur!DB84*Calculateur!DD84*VLOOKUP('Données projet'!$B$13,Paramètres!$A$1:$I$89,3,0)*0.475*44/12</f>
        <v>8.4988915852026512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19.557606140647042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3.2</v>
      </c>
      <c r="DO84" s="12">
        <f>IF('Données projet'!$A$166&gt;35,DO83+DN84-DW83,IF(A84&lt;'Données projet'!$A$166,$DL$205^A84,IF(A84='Données projet'!$A$166,'Données projet'!$B$166,DO83+DN84-DW83)))</f>
        <v>217.19999999999993</v>
      </c>
      <c r="DP84" s="17">
        <f>DO84*VLOOKUP('Données projet'!$B$14,Paramètres!$A$1:$I$89,3,0)*VLOOKUP('Données projet'!$B$14,Paramètres!$A$1:$I$89,5,0)</f>
        <v>189.74591999999998</v>
      </c>
      <c r="DQ84" s="13">
        <f t="shared" si="97"/>
        <v>47.483774996623204</v>
      </c>
      <c r="DR84" s="20">
        <f t="shared" si="70"/>
        <v>413.17505211911867</v>
      </c>
      <c r="DS84" s="59">
        <f t="shared" si="71"/>
        <v>706.50838545245199</v>
      </c>
      <c r="DT84" s="59">
        <f ca="1">AVERAGE(OFFSET($DS$3,0,0,'Données projet'!$E$14+1,1))-AVERAGE(OFFSET($H$3,0,0,'Données projet'!$E$14+1,1))</f>
        <v>229.5312221178919</v>
      </c>
      <c r="DU84" s="59">
        <f t="shared" si="98"/>
        <v>218.1982095871906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13.914062771172663</v>
      </c>
      <c r="EB84" s="21">
        <f>EXP(-LN(2)/25)*EB83+(1-EXP(-LN(2)/25))/(LN(2)/25)*Calculateur!DW84*Calculateur!DY84*VLOOKUP('Données projet'!$B$14,Paramètres!$A$1:$I$89,3,0)*0.475*44/12</f>
        <v>16.124743791359322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30.038806562531985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5.5042735042735051</v>
      </c>
      <c r="EJ84" s="12">
        <f>IF('Données projet'!$A$192&gt;35,EJ83+EI84-ER83,IF(A84&lt;'Données projet'!$A$192,$EG$205^A84,IF(A84='Données projet'!$A$192,'Données projet'!$B$192,EJ83+EI84-ER83)))</f>
        <v>183.49358974358967</v>
      </c>
      <c r="EK84" s="17">
        <f>EJ84*VLOOKUP('Données projet'!$B$15,Paramètres!$A$1:$I$89,3,0)*VLOOKUP('Données projet'!$B$15,Paramètres!$A$1:$I$89,5,0)</f>
        <v>166.02499999999992</v>
      </c>
      <c r="EL84" s="13">
        <f t="shared" si="99"/>
        <v>42.198533618502132</v>
      </c>
      <c r="EM84" s="20">
        <f t="shared" si="73"/>
        <v>362.65598771889108</v>
      </c>
      <c r="EN84" s="59">
        <f t="shared" si="74"/>
        <v>655.98932105222434</v>
      </c>
      <c r="EO84" s="59">
        <f ca="1">AVERAGE(OFFSET($EN$3,0,0,'Données projet'!$E$15+1,1))-AVERAGE(OFFSET($H$3,0,0,'Données projet'!$E$15+1,1))</f>
        <v>204.39656982394689</v>
      </c>
      <c r="EP84" s="59">
        <f t="shared" si="100"/>
        <v>134.95704640904546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8.265206705338235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8.265206705338235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7.327635327635325</v>
      </c>
      <c r="FE84" s="12">
        <f>IF('Données projet'!$A$218&gt;35,FE83+FD84-FM83,IF(A84&lt;'Données projet'!$A$218,$FB$205^A84,IF(A84='Données projet'!$A$218,'Données projet'!$B$218,FE83+FD84-FM83)))</f>
        <v>195.75427350427395</v>
      </c>
      <c r="FF84" s="17">
        <f>FE84*VLOOKUP('Données projet'!$B$16,Paramètres!$A$1:$I$89,3,0)*VLOOKUP('Données projet'!$B$16,Paramètres!$A$1:$I$89,5,0)</f>
        <v>167.95716666666706</v>
      </c>
      <c r="FG84" s="13">
        <f t="shared" si="101"/>
        <v>42.632175454307294</v>
      </c>
      <c r="FH84" s="20">
        <f t="shared" si="76"/>
        <v>366.77643752736367</v>
      </c>
      <c r="FI84" s="59">
        <f t="shared" si="77"/>
        <v>660.10977086069693</v>
      </c>
      <c r="FJ84" s="59">
        <f ca="1">AVERAGE(OFFSET($FI$3,0,0,'Données projet'!$E$16+1,1))-AVERAGE(OFFSET($H$3,0,0,'Données projet'!$E$16+1,1))</f>
        <v>199.60585215726968</v>
      </c>
      <c r="FK84" s="59">
        <f t="shared" si="102"/>
        <v>137.37366750114404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9.4613713230102423</v>
      </c>
      <c r="FS84" s="21">
        <f>EXP(-LN(2)/2)*FS83+(1-EXP(-LN(2)/2))/(LN(2)/2)*FM84*FP84*VLOOKUP('Données projet'!$B$16,Paramètres!$A$1:$I$89,3,0)*0.475*44/12</f>
        <v>1.8396066048861486</v>
      </c>
      <c r="FT84" s="22">
        <f t="shared" si="78"/>
        <v>11.30097792789639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9.5237179487179446</v>
      </c>
      <c r="N85" s="13">
        <f>IF('Données projet'!$A$36&gt;35,N84+M85-V84,IF(A85&lt;'Données projet'!$A$36,$K$205^A85,IF(A85='Données projet'!$A$36,'Données projet'!$B$36,N84+M85-V84)))</f>
        <v>350.25961538461581</v>
      </c>
      <c r="O85" s="13">
        <f>N85*VLOOKUP('Données projet'!$B$9,Paramètres!$A$1:$I$89,3,0)*VLOOKUP('Données projet'!$B$9,Paramètres!$A$1:$I$89,5,0)</f>
        <v>163.92150000000018</v>
      </c>
      <c r="P85" s="13">
        <f t="shared" si="87"/>
        <v>41.725770339892605</v>
      </c>
      <c r="Q85" s="20">
        <f t="shared" si="54"/>
        <v>358.16899584197989</v>
      </c>
      <c r="R85" s="59">
        <f t="shared" si="55"/>
        <v>651.50232917531321</v>
      </c>
      <c r="S85" s="59">
        <f ca="1">AVERAGE(OFFSET($R$3,0,0,'Données projet'!$E$9+1,1))-AVERAGE(OFFSET($H$3,0,0,'Données projet'!$E$9+1,1))</f>
        <v>164.93438869099657</v>
      </c>
      <c r="T85" s="59">
        <f t="shared" si="88"/>
        <v>112.28641356594233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33.660190729610896</v>
      </c>
      <c r="AA85" s="21">
        <f>EXP(-LN(2)/25)*AA84+(1-EXP(-LN(2)/25))/(LN(2)/25)*Calculateur!V85*Calculateur!X85*VLOOKUP('Données projet'!$B$9,Paramètres!$A$1:$I$89,3,0)*0.475*44/12</f>
        <v>20.912590647729779</v>
      </c>
      <c r="AB85" s="21">
        <f>EXP(-LN(2)/2)*AB84+(1-EXP(-LN(2)/2))/(LN(2)/2)*V85*Y85*VLOOKUP('Données projet'!$B$9,Paramètres!$A$1:$I$89,3,0)*0.475*44/12</f>
        <v>0.29471728199546282</v>
      </c>
      <c r="AC85" s="22">
        <f t="shared" si="57"/>
        <v>54.867498659336135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273.81843612193632</v>
      </c>
      <c r="AO85" s="59">
        <f t="shared" si="90"/>
        <v>241.86405419073208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-6.3550942286383367E-14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271.42245454555501</v>
      </c>
      <c r="BJ85" s="59">
        <f t="shared" si="92"/>
        <v>362.63944425429077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132.78412428634999</v>
      </c>
      <c r="BQ85" s="21">
        <f>EXP(-LN(2)/25)*BQ84+(1-EXP(-LN(2)/25))/(LN(2)/25)*Calculateur!BL85*Calculateur!BN85*VLOOKUP('Données projet'!$B$11,Paramètres!$A$1:$I$89,3,0)*0.475*44/12</f>
        <v>27.250093270709247</v>
      </c>
      <c r="BR85" s="21">
        <f>EXP(-LN(2)/2)*BR84+(1-EXP(-LN(2)/2))/(LN(2)/2)*BL85*BO85*VLOOKUP('Données projet'!$B$11,Paramètres!$A$1:$I$89,3,0)*0.475*44/12</f>
        <v>2.9486925922220567E-3</v>
      </c>
      <c r="BS85" s="22">
        <f t="shared" si="63"/>
        <v>160.03716624965145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-5.6843418860808015E-14</v>
      </c>
      <c r="BZ85" s="13">
        <f>BY85*VLOOKUP('Données projet'!$B$12,Paramètres!$A$1:$I$89,3,0)*VLOOKUP('Données projet'!$B$12,Paramètres!$A$1:$I$89,5,0)</f>
        <v>-3.1036506698001178E-14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154.35821558431712</v>
      </c>
      <c r="CE85" s="59">
        <f t="shared" si="94"/>
        <v>263.86720460501306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29.354863698468602</v>
      </c>
      <c r="CL85" s="21">
        <f>EXP(-LN(2)/25)*CL84+(1-EXP(-LN(2)/25))/(LN(2)/25)*Calculateur!CG85*Calculateur!CI85*VLOOKUP('Données projet'!$B$12,Paramètres!$A$1:$I$89,3,0)*0.475*44/12</f>
        <v>46.788707817359168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76.143571515827773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213</v>
      </c>
      <c r="CU85" s="17">
        <f>CT85*VLOOKUP('Données projet'!$B$13,Paramètres!$A$1:$I$89,3,0)*VLOOKUP('Données projet'!$B$13,Paramètres!$A$1:$I$89,5,0)</f>
        <v>169.46279999999999</v>
      </c>
      <c r="CV85" s="13">
        <f t="shared" si="95"/>
        <v>42.969686502194378</v>
      </c>
      <c r="CW85" s="20">
        <f t="shared" si="67"/>
        <v>369.9865806579885</v>
      </c>
      <c r="CX85" s="59">
        <f t="shared" si="68"/>
        <v>663.31991399132176</v>
      </c>
      <c r="CY85" s="59">
        <f ca="1">AVERAGE(OFFSET($CX$3,0,0,'Données projet'!$E$13+1,1))-AVERAGE(OFFSET($H$3,0,0,'Données projet'!$E$13+1,1))</f>
        <v>157.25319335691853</v>
      </c>
      <c r="CZ85" s="59">
        <f t="shared" si="96"/>
        <v>159.50903492442171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10.841859908161977</v>
      </c>
      <c r="DG85" s="21">
        <f>EXP(-LN(2)/25)*DG84+(1-EXP(-LN(2)/25))/(LN(2)/25)*Calculateur!DB85*Calculateur!DD85*VLOOKUP('Données projet'!$B$13,Paramètres!$A$1:$I$89,3,0)*0.475*44/12</f>
        <v>8.2664889478679999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19.108348856029977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3.2</v>
      </c>
      <c r="DO85" s="12">
        <f>IF('Données projet'!$A$166&gt;35,DO84+DN85-DW84,IF(A85&lt;'Données projet'!$A$166,$DL$205^A85,IF(A85='Données projet'!$A$166,'Données projet'!$B$166,DO84+DN85-DW84)))</f>
        <v>220.39999999999992</v>
      </c>
      <c r="DP85" s="17">
        <f>DO85*VLOOKUP('Données projet'!$B$14,Paramètres!$A$1:$I$89,3,0)*VLOOKUP('Données projet'!$B$14,Paramètres!$A$1:$I$89,5,0)</f>
        <v>192.54143999999994</v>
      </c>
      <c r="DQ85" s="13">
        <f t="shared" si="97"/>
        <v>48.101393902059698</v>
      </c>
      <c r="DR85" s="20">
        <f t="shared" si="70"/>
        <v>419.11960237942054</v>
      </c>
      <c r="DS85" s="59">
        <f t="shared" si="71"/>
        <v>712.45293571275386</v>
      </c>
      <c r="DT85" s="59">
        <f ca="1">AVERAGE(OFFSET($DS$3,0,0,'Données projet'!$E$14+1,1))-AVERAGE(OFFSET($H$3,0,0,'Données projet'!$E$14+1,1))</f>
        <v>229.5312221178919</v>
      </c>
      <c r="DU85" s="59">
        <f t="shared" si="98"/>
        <v>218.1982095871906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13.641216486970261</v>
      </c>
      <c r="EB85" s="21">
        <f>EXP(-LN(2)/25)*EB84+(1-EXP(-LN(2)/25))/(LN(2)/25)*Calculateur!DW85*Calculateur!DY85*VLOOKUP('Données projet'!$B$14,Paramètres!$A$1:$I$89,3,0)*0.475*44/12</f>
        <v>15.683811824421179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29.325028311391442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5.5042735042735051</v>
      </c>
      <c r="EJ85" s="12">
        <f>IF('Données projet'!$A$192&gt;35,EJ84+EI85-ER84,IF(A85&lt;'Données projet'!$A$192,$EG$205^A85,IF(A85='Données projet'!$A$192,'Données projet'!$B$192,EJ84+EI85-ER84)))</f>
        <v>188.99786324786317</v>
      </c>
      <c r="EK85" s="17">
        <f>EJ85*VLOOKUP('Données projet'!$B$15,Paramètres!$A$1:$I$89,3,0)*VLOOKUP('Données projet'!$B$15,Paramètres!$A$1:$I$89,5,0)</f>
        <v>171.00526666666659</v>
      </c>
      <c r="EL85" s="13">
        <f t="shared" si="99"/>
        <v>43.31509256233069</v>
      </c>
      <c r="EM85" s="20">
        <f t="shared" si="73"/>
        <v>373.27462565717025</v>
      </c>
      <c r="EN85" s="59">
        <f t="shared" si="74"/>
        <v>666.60795899050356</v>
      </c>
      <c r="EO85" s="59">
        <f ca="1">AVERAGE(OFFSET($EN$3,0,0,'Données projet'!$E$15+1,1))-AVERAGE(OFFSET($H$3,0,0,'Données projet'!$E$15+1,1))</f>
        <v>204.39656982394689</v>
      </c>
      <c r="EP85" s="59">
        <f t="shared" si="100"/>
        <v>134.95704640904546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8.1031310431248578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8.1031310431248578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7.327635327635325</v>
      </c>
      <c r="FE85" s="12">
        <f>IF('Données projet'!$A$218&gt;35,FE84+FD85-FM84,IF(A85&lt;'Données projet'!$A$218,$FB$205^A85,IF(A85='Données projet'!$A$218,'Données projet'!$B$218,FE84+FD85-FM84)))</f>
        <v>203.08190883190929</v>
      </c>
      <c r="FF85" s="17">
        <f>FE85*VLOOKUP('Données projet'!$B$16,Paramètres!$A$1:$I$89,3,0)*VLOOKUP('Données projet'!$B$16,Paramètres!$A$1:$I$89,5,0)</f>
        <v>174.24427777777819</v>
      </c>
      <c r="FG85" s="13">
        <f t="shared" si="101"/>
        <v>44.039232057297312</v>
      </c>
      <c r="FH85" s="20">
        <f t="shared" si="76"/>
        <v>380.17711296275655</v>
      </c>
      <c r="FI85" s="59">
        <f t="shared" si="77"/>
        <v>673.51044629608987</v>
      </c>
      <c r="FJ85" s="59">
        <f ca="1">AVERAGE(OFFSET($FI$3,0,0,'Données projet'!$E$16+1,1))-AVERAGE(OFFSET($H$3,0,0,'Données projet'!$E$16+1,1))</f>
        <v>199.60585215726968</v>
      </c>
      <c r="FK85" s="59">
        <f t="shared" si="102"/>
        <v>137.37366750114404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9.2026496266306328</v>
      </c>
      <c r="FS85" s="21">
        <f>EXP(-LN(2)/2)*FS84+(1-EXP(-LN(2)/2))/(LN(2)/2)*FM85*FP85*VLOOKUP('Données projet'!$B$16,Paramètres!$A$1:$I$89,3,0)*0.475*44/12</f>
        <v>1.3007983050305576</v>
      </c>
      <c r="FT85" s="22">
        <f t="shared" si="78"/>
        <v>10.50344793166119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9.5237179487179446</v>
      </c>
      <c r="N86" s="13">
        <f>IF('Données projet'!$A$36&gt;35,N85+M86-V85,IF(A86&lt;'Données projet'!$A$36,$K$205^A86,IF(A86='Données projet'!$A$36,'Données projet'!$B$36,N85+M86-V85)))</f>
        <v>359.78333333333376</v>
      </c>
      <c r="O86" s="13">
        <f>N86*VLOOKUP('Données projet'!$B$9,Paramètres!$A$1:$I$89,3,0)*VLOOKUP('Données projet'!$B$9,Paramètres!$A$1:$I$89,5,0)</f>
        <v>168.3786000000002</v>
      </c>
      <c r="P86" s="13">
        <f t="shared" si="87"/>
        <v>42.726681627572944</v>
      </c>
      <c r="Q86" s="20">
        <f t="shared" si="54"/>
        <v>367.67503216802317</v>
      </c>
      <c r="R86" s="59">
        <f t="shared" si="55"/>
        <v>661.00836550135648</v>
      </c>
      <c r="S86" s="59">
        <f ca="1">AVERAGE(OFFSET($R$3,0,0,'Données projet'!$E$9+1,1))-AVERAGE(OFFSET($H$3,0,0,'Données projet'!$E$9+1,1))</f>
        <v>164.93438869099657</v>
      </c>
      <c r="T86" s="59">
        <f t="shared" si="88"/>
        <v>112.28641356594233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33.000134920092336</v>
      </c>
      <c r="AA86" s="21">
        <f>EXP(-LN(2)/25)*AA85+(1-EXP(-LN(2)/25))/(LN(2)/25)*Calculateur!V86*Calculateur!X86*VLOOKUP('Données projet'!$B$9,Paramètres!$A$1:$I$89,3,0)*0.475*44/12</f>
        <v>20.340734756722263</v>
      </c>
      <c r="AB86" s="21">
        <f>EXP(-LN(2)/2)*AB85+(1-EXP(-LN(2)/2))/(LN(2)/2)*V86*Y86*VLOOKUP('Données projet'!$B$9,Paramètres!$A$1:$I$89,3,0)*0.475*44/12</f>
        <v>0.20839658863185975</v>
      </c>
      <c r="AC86" s="22">
        <f t="shared" si="57"/>
        <v>53.549266265446455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273.81843612193632</v>
      </c>
      <c r="AO86" s="59">
        <f t="shared" si="90"/>
        <v>241.86405419073208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-6.3550942286383367E-14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271.42245454555501</v>
      </c>
      <c r="BJ86" s="59">
        <f t="shared" si="92"/>
        <v>362.63944425429077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130.18030859941337</v>
      </c>
      <c r="BQ86" s="21">
        <f>EXP(-LN(2)/25)*BQ85+(1-EXP(-LN(2)/25))/(LN(2)/25)*Calculateur!BL86*Calculateur!BN86*VLOOKUP('Données projet'!$B$11,Paramètres!$A$1:$I$89,3,0)*0.475*44/12</f>
        <v>26.50493803720158</v>
      </c>
      <c r="BR86" s="21">
        <f>EXP(-LN(2)/2)*BR85+(1-EXP(-LN(2)/2))/(LN(2)/2)*BL86*BO86*VLOOKUP('Données projet'!$B$11,Paramètres!$A$1:$I$89,3,0)*0.475*44/12</f>
        <v>2.0850405275947555E-3</v>
      </c>
      <c r="BS86" s="22">
        <f t="shared" si="63"/>
        <v>156.68733167714254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-5.6843418860808015E-14</v>
      </c>
      <c r="BZ86" s="13">
        <f>BY86*VLOOKUP('Données projet'!$B$12,Paramètres!$A$1:$I$89,3,0)*VLOOKUP('Données projet'!$B$12,Paramètres!$A$1:$I$89,5,0)</f>
        <v>-3.1036506698001178E-14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154.35821558431712</v>
      </c>
      <c r="CE86" s="59">
        <f t="shared" si="94"/>
        <v>263.86720460501306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28.779232726040547</v>
      </c>
      <c r="CL86" s="21">
        <f>EXP(-LN(2)/25)*CL85+(1-EXP(-LN(2)/25))/(LN(2)/25)*Calculateur!CG86*Calculateur!CI86*VLOOKUP('Données projet'!$B$12,Paramètres!$A$1:$I$89,3,0)*0.475*44/12</f>
        <v>45.509268141582275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74.288500867622815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213</v>
      </c>
      <c r="CU86" s="17">
        <f>CT86*VLOOKUP('Données projet'!$B$13,Paramètres!$A$1:$I$89,3,0)*VLOOKUP('Données projet'!$B$13,Paramètres!$A$1:$I$89,5,0)</f>
        <v>169.46279999999999</v>
      </c>
      <c r="CV86" s="13">
        <f t="shared" si="95"/>
        <v>42.969686502194378</v>
      </c>
      <c r="CW86" s="20">
        <f t="shared" si="67"/>
        <v>369.9865806579885</v>
      </c>
      <c r="CX86" s="59">
        <f t="shared" si="68"/>
        <v>663.31991399132176</v>
      </c>
      <c r="CY86" s="59">
        <f ca="1">AVERAGE(OFFSET($CX$3,0,0,'Données projet'!$E$13+1,1))-AVERAGE(OFFSET($H$3,0,0,'Données projet'!$E$13+1,1))</f>
        <v>157.25319335691853</v>
      </c>
      <c r="CZ86" s="59">
        <f t="shared" si="96"/>
        <v>159.50903492442171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10.629257648244497</v>
      </c>
      <c r="DG86" s="21">
        <f>EXP(-LN(2)/25)*DG85+(1-EXP(-LN(2)/25))/(LN(2)/25)*Calculateur!DB86*Calculateur!DD86*VLOOKUP('Données projet'!$B$13,Paramètres!$A$1:$I$89,3,0)*0.475*44/12</f>
        <v>8.0404413728727882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18.669699021117285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3.2</v>
      </c>
      <c r="DO86" s="12">
        <f>IF('Données projet'!$A$166&gt;35,DO85+DN86-DW85,IF(A86&lt;'Données projet'!$A$166,$DL$205^A86,IF(A86='Données projet'!$A$166,'Données projet'!$B$166,DO85+DN86-DW85)))</f>
        <v>223.59999999999991</v>
      </c>
      <c r="DP86" s="17">
        <f>DO86*VLOOKUP('Données projet'!$B$14,Paramètres!$A$1:$I$89,3,0)*VLOOKUP('Données projet'!$B$14,Paramètres!$A$1:$I$89,5,0)</f>
        <v>195.33695999999995</v>
      </c>
      <c r="DQ86" s="13">
        <f t="shared" si="97"/>
        <v>48.717969863105445</v>
      </c>
      <c r="DR86" s="20">
        <f t="shared" si="70"/>
        <v>425.06233617824188</v>
      </c>
      <c r="DS86" s="59">
        <f t="shared" si="71"/>
        <v>718.39566951157519</v>
      </c>
      <c r="DT86" s="59">
        <f ca="1">AVERAGE(OFFSET($DS$3,0,0,'Données projet'!$E$14+1,1))-AVERAGE(OFFSET($H$3,0,0,'Données projet'!$E$14+1,1))</f>
        <v>229.5312221178919</v>
      </c>
      <c r="DU86" s="59">
        <f t="shared" si="98"/>
        <v>218.1982095871906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13.373720551981268</v>
      </c>
      <c r="EB86" s="21">
        <f>EXP(-LN(2)/25)*EB85+(1-EXP(-LN(2)/25))/(LN(2)/25)*Calculateur!DW86*Calculateur!DY86*VLOOKUP('Données projet'!$B$14,Paramètres!$A$1:$I$89,3,0)*0.475*44/12</f>
        <v>15.254937165306563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28.62865771728783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5.5042735042735051</v>
      </c>
      <c r="EJ86" s="12">
        <f>IF('Données projet'!$A$192&gt;35,EJ85+EI86-ER85,IF(A86&lt;'Données projet'!$A$192,$EG$205^A86,IF(A86='Données projet'!$A$192,'Données projet'!$B$192,EJ85+EI86-ER85)))</f>
        <v>194.50213675213666</v>
      </c>
      <c r="EK86" s="17">
        <f>EJ86*VLOOKUP('Données projet'!$B$15,Paramètres!$A$1:$I$89,3,0)*VLOOKUP('Données projet'!$B$15,Paramètres!$A$1:$I$89,5,0)</f>
        <v>175.98553333333325</v>
      </c>
      <c r="EL86" s="13">
        <f t="shared" si="99"/>
        <v>44.427872246727624</v>
      </c>
      <c r="EM86" s="20">
        <f t="shared" si="73"/>
        <v>383.88668138527265</v>
      </c>
      <c r="EN86" s="59">
        <f t="shared" si="74"/>
        <v>677.22001471860597</v>
      </c>
      <c r="EO86" s="59">
        <f ca="1">AVERAGE(OFFSET($EN$3,0,0,'Données projet'!$E$15+1,1))-AVERAGE(OFFSET($H$3,0,0,'Données projet'!$E$15+1,1))</f>
        <v>204.39656982394689</v>
      </c>
      <c r="EP86" s="59">
        <f t="shared" si="100"/>
        <v>134.95704640904546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7.9442335857910917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7.9442335857910917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7.327635327635325</v>
      </c>
      <c r="FE86" s="12">
        <f>IF('Données projet'!$A$218&gt;35,FE85+FD86-FM85,IF(A86&lt;'Données projet'!$A$218,$FB$205^A86,IF(A86='Données projet'!$A$218,'Données projet'!$B$218,FE85+FD86-FM85)))</f>
        <v>210.40954415954462</v>
      </c>
      <c r="FF86" s="17">
        <f>FE86*VLOOKUP('Données projet'!$B$16,Paramètres!$A$1:$I$89,3,0)*VLOOKUP('Données projet'!$B$16,Paramètres!$A$1:$I$89,5,0)</f>
        <v>180.5313888888893</v>
      </c>
      <c r="FG86" s="13">
        <f t="shared" si="101"/>
        <v>45.440390113578374</v>
      </c>
      <c r="FH86" s="20">
        <f t="shared" si="76"/>
        <v>393.56751509596444</v>
      </c>
      <c r="FI86" s="59">
        <f t="shared" si="77"/>
        <v>686.90084842929775</v>
      </c>
      <c r="FJ86" s="59">
        <f ca="1">AVERAGE(OFFSET($FI$3,0,0,'Données projet'!$E$16+1,1))-AVERAGE(OFFSET($H$3,0,0,'Données projet'!$E$16+1,1))</f>
        <v>199.60585215726968</v>
      </c>
      <c r="FK86" s="59">
        <f t="shared" si="102"/>
        <v>137.37366750114404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8.9510026886441079</v>
      </c>
      <c r="FS86" s="21">
        <f>EXP(-LN(2)/2)*FS85+(1-EXP(-LN(2)/2))/(LN(2)/2)*FM86*FP86*VLOOKUP('Données projet'!$B$16,Paramètres!$A$1:$I$89,3,0)*0.475*44/12</f>
        <v>0.91980330244307451</v>
      </c>
      <c r="FT86" s="22">
        <f t="shared" si="78"/>
        <v>9.8708059910871828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9.5237179487179446</v>
      </c>
      <c r="N87" s="13">
        <f>IF('Données projet'!$A$36&gt;35,N86+M87-V86,IF(A87&lt;'Données projet'!$A$36,$K$205^A87,IF(A87='Données projet'!$A$36,'Données projet'!$B$36,N86+M87-V86)))</f>
        <v>369.3070512820517</v>
      </c>
      <c r="O87" s="13">
        <f>N87*VLOOKUP('Données projet'!$B$9,Paramètres!$A$1:$I$89,3,0)*VLOOKUP('Données projet'!$B$9,Paramètres!$A$1:$I$89,5,0)</f>
        <v>172.83570000000017</v>
      </c>
      <c r="P87" s="13">
        <f t="shared" si="87"/>
        <v>43.724513283769518</v>
      </c>
      <c r="Q87" s="20">
        <f t="shared" si="54"/>
        <v>377.17570480256546</v>
      </c>
      <c r="R87" s="59">
        <f t="shared" si="55"/>
        <v>670.50903813589878</v>
      </c>
      <c r="S87" s="59">
        <f ca="1">AVERAGE(OFFSET($R$3,0,0,'Données projet'!$E$9+1,1))-AVERAGE(OFFSET($H$3,0,0,'Données projet'!$E$9+1,1))</f>
        <v>164.93438869099657</v>
      </c>
      <c r="T87" s="59">
        <f t="shared" si="88"/>
        <v>112.28641356594233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32.353022402404143</v>
      </c>
      <c r="AA87" s="21">
        <f>EXP(-LN(2)/25)*AA86+(1-EXP(-LN(2)/25))/(LN(2)/25)*Calculateur!V87*Calculateur!X87*VLOOKUP('Données projet'!$B$9,Paramètres!$A$1:$I$89,3,0)*0.475*44/12</f>
        <v>19.784516295126942</v>
      </c>
      <c r="AB87" s="21">
        <f>EXP(-LN(2)/2)*AB86+(1-EXP(-LN(2)/2))/(LN(2)/2)*V87*Y87*VLOOKUP('Données projet'!$B$9,Paramètres!$A$1:$I$89,3,0)*0.475*44/12</f>
        <v>0.14735864099773141</v>
      </c>
      <c r="AC87" s="22">
        <f t="shared" si="57"/>
        <v>52.284897338528815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273.81843612193632</v>
      </c>
      <c r="AO87" s="59">
        <f t="shared" si="90"/>
        <v>241.86405419073208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-6.3550942286383367E-14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271.42245454555501</v>
      </c>
      <c r="BJ87" s="59">
        <f t="shared" si="92"/>
        <v>362.63944425429077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127.6275521499268</v>
      </c>
      <c r="BQ87" s="21">
        <f>EXP(-LN(2)/25)*BQ86+(1-EXP(-LN(2)/25))/(LN(2)/25)*Calculateur!BL87*Calculateur!BN87*VLOOKUP('Données projet'!$B$11,Paramètres!$A$1:$I$89,3,0)*0.475*44/12</f>
        <v>25.78015911274019</v>
      </c>
      <c r="BR87" s="21">
        <f>EXP(-LN(2)/2)*BR86+(1-EXP(-LN(2)/2))/(LN(2)/2)*BL87*BO87*VLOOKUP('Données projet'!$B$11,Paramètres!$A$1:$I$89,3,0)*0.475*44/12</f>
        <v>1.4743462961110284E-3</v>
      </c>
      <c r="BS87" s="22">
        <f t="shared" si="63"/>
        <v>153.4091856089631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-5.6843418860808015E-14</v>
      </c>
      <c r="BZ87" s="13">
        <f>BY87*VLOOKUP('Données projet'!$B$12,Paramètres!$A$1:$I$89,3,0)*VLOOKUP('Données projet'!$B$12,Paramètres!$A$1:$I$89,5,0)</f>
        <v>-3.1036506698001178E-14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154.35821558431712</v>
      </c>
      <c r="CE87" s="59">
        <f t="shared" si="94"/>
        <v>263.86720460501306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28.214889525881581</v>
      </c>
      <c r="CL87" s="21">
        <f>EXP(-LN(2)/25)*CL86+(1-EXP(-LN(2)/25))/(LN(2)/25)*Calculateur!CG87*Calculateur!CI87*VLOOKUP('Données projet'!$B$12,Paramètres!$A$1:$I$89,3,0)*0.475*44/12</f>
        <v>44.264814811022312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72.479704336903893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213</v>
      </c>
      <c r="CU87" s="17">
        <f>CT87*VLOOKUP('Données projet'!$B$13,Paramètres!$A$1:$I$89,3,0)*VLOOKUP('Données projet'!$B$13,Paramètres!$A$1:$I$89,5,0)</f>
        <v>169.46279999999999</v>
      </c>
      <c r="CV87" s="13">
        <f t="shared" si="95"/>
        <v>42.969686502194378</v>
      </c>
      <c r="CW87" s="20">
        <f t="shared" si="67"/>
        <v>369.9865806579885</v>
      </c>
      <c r="CX87" s="59">
        <f t="shared" si="68"/>
        <v>663.31991399132176</v>
      </c>
      <c r="CY87" s="59">
        <f ca="1">AVERAGE(OFFSET($CX$3,0,0,'Données projet'!$E$13+1,1))-AVERAGE(OFFSET($H$3,0,0,'Données projet'!$E$13+1,1))</f>
        <v>157.25319335691853</v>
      </c>
      <c r="CZ87" s="59">
        <f t="shared" si="96"/>
        <v>159.50903492442171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10.420824388969425</v>
      </c>
      <c r="DG87" s="21">
        <f>EXP(-LN(2)/25)*DG86+(1-EXP(-LN(2)/25))/(LN(2)/25)*Calculateur!DB87*Calculateur!DD87*VLOOKUP('Données projet'!$B$13,Paramètres!$A$1:$I$89,3,0)*0.475*44/12</f>
        <v>7.8205750807031462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18.241399469672572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3.2</v>
      </c>
      <c r="DO87" s="12">
        <f>IF('Données projet'!$A$166&gt;35,DO86+DN87-DW86,IF(A87&lt;'Données projet'!$A$166,$DL$205^A87,IF(A87='Données projet'!$A$166,'Données projet'!$B$166,DO86+DN87-DW86)))</f>
        <v>226.7999999999999</v>
      </c>
      <c r="DP87" s="17">
        <f>DO87*VLOOKUP('Données projet'!$B$14,Paramètres!$A$1:$I$89,3,0)*VLOOKUP('Données projet'!$B$14,Paramètres!$A$1:$I$89,5,0)</f>
        <v>198.13247999999993</v>
      </c>
      <c r="DQ87" s="13">
        <f t="shared" si="97"/>
        <v>49.333519530262095</v>
      </c>
      <c r="DR87" s="20">
        <f t="shared" si="70"/>
        <v>431.00328251520631</v>
      </c>
      <c r="DS87" s="59">
        <f t="shared" si="71"/>
        <v>724.33661584853962</v>
      </c>
      <c r="DT87" s="59">
        <f ca="1">AVERAGE(OFFSET($DS$3,0,0,'Données projet'!$E$14+1,1))-AVERAGE(OFFSET($H$3,0,0,'Données projet'!$E$14+1,1))</f>
        <v>229.5312221178919</v>
      </c>
      <c r="DU87" s="59">
        <f t="shared" si="98"/>
        <v>218.1982095871906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13.111470049120999</v>
      </c>
      <c r="EB87" s="21">
        <f>EXP(-LN(2)/25)*EB86+(1-EXP(-LN(2)/25))/(LN(2)/25)*Calculateur!DW87*Calculateur!DY87*VLOOKUP('Données projet'!$B$14,Paramètres!$A$1:$I$89,3,0)*0.475*44/12</f>
        <v>14.837790106298975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27.949260155419974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200.00641025641025</v>
      </c>
      <c r="EH87" s="12">
        <f>VLOOKUP(A87,'Données projet'!$A$191:$I$211,9,0)</f>
        <v>5.5042735042735051</v>
      </c>
      <c r="EI87" s="12">
        <f t="array" ref="EI87">INDEX(EH:EH,MIN(IF(ISNUMBER(EH87:EH283),ROW(EH87:EH283),"")))</f>
        <v>5.5042735042735051</v>
      </c>
      <c r="EJ87" s="12">
        <f>IF('Données projet'!$A$192&gt;35,EJ86+EI87-ER86,IF(A87&lt;'Données projet'!$A$192,$EG$205^A87,IF(A87='Données projet'!$A$192,'Données projet'!$B$192,EJ86+EI87-ER86)))</f>
        <v>200.00641025641016</v>
      </c>
      <c r="EK87" s="17">
        <f>EJ87*VLOOKUP('Données projet'!$B$15,Paramètres!$A$1:$I$89,3,0)*VLOOKUP('Données projet'!$B$15,Paramètres!$A$1:$I$89,5,0)</f>
        <v>180.96579999999992</v>
      </c>
      <c r="EL87" s="13">
        <f t="shared" si="99"/>
        <v>45.536991906907375</v>
      </c>
      <c r="EM87" s="20">
        <f t="shared" si="73"/>
        <v>394.49236257119691</v>
      </c>
      <c r="EN87" s="59">
        <f t="shared" si="74"/>
        <v>687.82569590453022</v>
      </c>
      <c r="EO87" s="59">
        <f ca="1">AVERAGE(OFFSET($EN$3,0,0,'Données projet'!$E$15+1,1))-AVERAGE(OFFSET($H$3,0,0,'Données projet'!$E$15+1,1))</f>
        <v>204.39656982394689</v>
      </c>
      <c r="EP87" s="59">
        <f t="shared" si="100"/>
        <v>134.95704640904546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35.083333333333329</v>
      </c>
      <c r="ES87" s="16">
        <f>IF(ISNA(VLOOKUP(A87,'Données projet'!$A$191:$I$211,5,0)),0%,VLOOKUP(A87,'Données projet'!$A$191:$I$211,5,0)*VLOOKUP('Données projet'!$B$15,Paramètres!$A$1:$I$89,7,0))</f>
        <v>0.30099999999999999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18.350959932823301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18.350959932823301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>
        <f>VLOOKUP(A87,'Données projet'!$A$217:$I$237,2,0)</f>
        <v>217.73717948717945</v>
      </c>
      <c r="FC87" s="12">
        <f>VLOOKUP(A87,'Données projet'!$A$217:$I$237,9,0)</f>
        <v>7.327635327635325</v>
      </c>
      <c r="FD87" s="12">
        <f t="array" ref="FD87">INDEX(FC:FC,MIN(IF(ISNUMBER(FC87:FC283),ROW(FC87:FC283),"")))</f>
        <v>7.327635327635325</v>
      </c>
      <c r="FE87" s="12">
        <f>IF('Données projet'!$A$218&gt;35,FE86+FD87-FM86,IF(A87&lt;'Données projet'!$A$218,$FB$205^A87,IF(A87='Données projet'!$A$218,'Données projet'!$B$218,FE86+FD87-FM86)))</f>
        <v>217.73717948717996</v>
      </c>
      <c r="FF87" s="17">
        <f>FE87*VLOOKUP('Données projet'!$B$16,Paramètres!$A$1:$I$89,3,0)*VLOOKUP('Données projet'!$B$16,Paramètres!$A$1:$I$89,5,0)</f>
        <v>186.81850000000043</v>
      </c>
      <c r="FG87" s="13">
        <f t="shared" si="101"/>
        <v>46.835878584294868</v>
      </c>
      <c r="FH87" s="20">
        <f t="shared" si="76"/>
        <v>406.94804270098098</v>
      </c>
      <c r="FI87" s="59">
        <f t="shared" si="77"/>
        <v>700.28137603431423</v>
      </c>
      <c r="FJ87" s="59">
        <f ca="1">AVERAGE(OFFSET($FI$3,0,0,'Données projet'!$E$16+1,1))-AVERAGE(OFFSET($H$3,0,0,'Données projet'!$E$16+1,1))</f>
        <v>199.60585215726968</v>
      </c>
      <c r="FK87" s="59">
        <f t="shared" si="102"/>
        <v>137.37366750114404</v>
      </c>
      <c r="FL87" s="15">
        <f>IF(ISNA(VLOOKUP(A87,'Données projet'!$A$217:$I$237,3,0)),0,VLOOKUP(A87,'Données projet'!$A$217:$I$237,3,0))</f>
        <v>4</v>
      </c>
      <c r="FM87" s="15">
        <f>IF(ISNA(VLOOKUP(A87,'Données projet'!$A$217:$I$237,4,0)),0,VLOOKUP(A87,'Données projet'!$A$217:$I$237,4,0))</f>
        <v>47.980769230769226</v>
      </c>
      <c r="FN87" s="16">
        <f>IF(ISNA(VLOOKUP(A87,'Données projet'!$A$217:$I$237,5,0)),0%,VLOOKUP(A87,'Données projet'!$A$217:$I$237,5,0)*VLOOKUP('Données projet'!$B$16,Paramètres!$A$1:$I$89,7,0))</f>
        <v>0.159</v>
      </c>
      <c r="FO87" s="16">
        <f>IF(ISNA(VLOOKUP(A87,'Données projet'!$A$217:$I$237,6,0)),0%,VLOOKUP(A87,'Données projet'!$A$217:$I$237,6,0)*VLOOKUP('Données projet'!$B$16,Paramètres!$A$1:$I$89,7,0))</f>
        <v>0.159</v>
      </c>
      <c r="FP87" s="16">
        <f>IF(ISNA(VLOOKUP(A87,'Données projet'!$A$217:$I$237,7,0)),0%,VLOOKUP(A87,'Données projet'!$A$217:$I$237,7,0))</f>
        <v>0.2</v>
      </c>
      <c r="FQ87" s="21">
        <f>EXP(-LN(2)/35)*FQ86+(1-EXP(-LN(2)/35))/(LN(2)/35)*FM87*FN87*VLOOKUP('Données projet'!$B$16,Paramètres!$A$1:$I$89,3,0)*0.475*44/12</f>
        <v>7.2360028440582136</v>
      </c>
      <c r="FR87" s="21">
        <f>EXP(-LN(2)/25)*FR86+(1-EXP(-LN(2)/25))/(LN(2)/25)*Calculateur!FM87*Calculateur!FO87*VLOOKUP('Données projet'!$B$16,Paramètres!$A$1:$I$89,3,0)*0.475*44/12</f>
        <v>15.913748993138277</v>
      </c>
      <c r="FS87" s="21">
        <f>EXP(-LN(2)/2)*FS86+(1-EXP(-LN(2)/2))/(LN(2)/2)*FM87*FP87*VLOOKUP('Données projet'!$B$16,Paramètres!$A$1:$I$89,3,0)*0.475*44/12</f>
        <v>8.418928003918742</v>
      </c>
      <c r="FT87" s="22">
        <f t="shared" si="78"/>
        <v>31.568679841115234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378.83076923076919</v>
      </c>
      <c r="L88" s="12">
        <f>VLOOKUP(A88,'Données projet'!$A$35:$I$55,9,0)</f>
        <v>9.5237179487179446</v>
      </c>
      <c r="M88" s="12">
        <f t="array" ref="M88">INDEX(L:L,MIN(IF(ISNUMBER(L88:L284),ROW(L88:L284),"")))</f>
        <v>9.5237179487179446</v>
      </c>
      <c r="N88" s="13">
        <f>IF('Données projet'!$A$36&gt;35,N87+M88-V87,IF(A88&lt;'Données projet'!$A$36,$K$205^A88,IF(A88='Données projet'!$A$36,'Données projet'!$B$36,N87+M88-V87)))</f>
        <v>378.83076923076965</v>
      </c>
      <c r="O88" s="13">
        <f>N88*VLOOKUP('Données projet'!$B$9,Paramètres!$A$1:$I$89,3,0)*VLOOKUP('Données projet'!$B$9,Paramètres!$A$1:$I$89,5,0)</f>
        <v>177.2928000000002</v>
      </c>
      <c r="P88" s="13">
        <f t="shared" si="87"/>
        <v>44.719353857403945</v>
      </c>
      <c r="Q88" s="20">
        <f t="shared" si="54"/>
        <v>386.67116796831215</v>
      </c>
      <c r="R88" s="59">
        <f t="shared" si="55"/>
        <v>680.0045013016454</v>
      </c>
      <c r="S88" s="59">
        <f ca="1">AVERAGE(OFFSET($R$3,0,0,'Données projet'!$E$9+1,1))-AVERAGE(OFFSET($H$3,0,0,'Données projet'!$E$9+1,1))</f>
        <v>164.93438869099657</v>
      </c>
      <c r="T88" s="59">
        <f t="shared" si="88"/>
        <v>112.28641356594233</v>
      </c>
      <c r="U88" s="15">
        <f>IF(ISNA(VLOOKUP(A88,'Données projet'!$A$35:$I$55,3,0)),0,VLOOKUP(A88,'Données projet'!$A$35:$I$55,3,0))</f>
        <v>4</v>
      </c>
      <c r="V88" s="15">
        <f>IF(ISNA(VLOOKUP(A88,'Données projet'!$A$35:$I$55,4,0)),0,VLOOKUP(A88,'Données projet'!$A$35:$I$55,4,0))</f>
        <v>85.207692307692298</v>
      </c>
      <c r="W88" s="16">
        <f>IF(ISNA(VLOOKUP(A88,'Données projet'!$A$35:$I$55,5,0)),0%,VLOOKUP(A88,'Données projet'!$A$35:$I$55,5,0)*VLOOKUP('Données projet'!$B$9,Paramètres!$A$1:$I$89,7,0))</f>
        <v>0.38500000000000001</v>
      </c>
      <c r="X88" s="16">
        <f>IF(ISNA(VLOOKUP(A88,'Données projet'!$A$35:$I$55,6,0)),0%,VLOOKUP(A88,'Données projet'!$A$35:$I$55,6,0)*VLOOKUP('Données projet'!$B$9,Paramètres!$A$1:$I$89,7,0))</f>
        <v>9.240000000000001E-2</v>
      </c>
      <c r="Y88" s="16">
        <f>IF(ISNA(VLOOKUP(A88,'Données projet'!$A$35:$I$55,7,0)),0%,VLOOKUP(A88,'Données projet'!$A$35:$I$55,7,0))</f>
        <v>0.13200000000000001</v>
      </c>
      <c r="Z88" s="21">
        <f>EXP(-LN(2)/35)*Z87+(1-EXP(-LN(2)/35))/(LN(2)/35)*V88*W88*VLOOKUP('Données projet'!$B$9,Paramètres!$A$1:$I$89,3,0)*0.475*44/12</f>
        <v>52.084974665932798</v>
      </c>
      <c r="AA88" s="21">
        <f>EXP(-LN(2)/25)*AA87+(1-EXP(-LN(2)/25))/(LN(2)/25)*Calculateur!V88*Calculateur!X88*VLOOKUP('Données projet'!$B$9,Paramètres!$A$1:$I$89,3,0)*0.475*44/12</f>
        <v>24.11219208534061</v>
      </c>
      <c r="AB88" s="21">
        <f>EXP(-LN(2)/2)*AB87+(1-EXP(-LN(2)/2))/(LN(2)/2)*V88*Y88*VLOOKUP('Données projet'!$B$9,Paramètres!$A$1:$I$89,3,0)*0.475*44/12</f>
        <v>6.0640317926056841</v>
      </c>
      <c r="AC88" s="22">
        <f t="shared" si="57"/>
        <v>82.261198543879104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273.81843612193632</v>
      </c>
      <c r="AO88" s="59">
        <f t="shared" si="90"/>
        <v>241.86405419073208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-6.3550942286383367E-14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271.42245454555501</v>
      </c>
      <c r="BJ88" s="59">
        <f t="shared" si="92"/>
        <v>362.63944425429077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125.12485369738698</v>
      </c>
      <c r="BQ88" s="21">
        <f>EXP(-LN(2)/25)*BQ87+(1-EXP(-LN(2)/25))/(LN(2)/25)*Calculateur!BL88*Calculateur!BN88*VLOOKUP('Données projet'!$B$11,Paramètres!$A$1:$I$89,3,0)*0.475*44/12</f>
        <v>25.075199306082663</v>
      </c>
      <c r="BR88" s="21">
        <f>EXP(-LN(2)/2)*BR87+(1-EXP(-LN(2)/2))/(LN(2)/2)*BL88*BO88*VLOOKUP('Données projet'!$B$11,Paramètres!$A$1:$I$89,3,0)*0.475*44/12</f>
        <v>1.0425202637973777E-3</v>
      </c>
      <c r="BS88" s="22">
        <f t="shared" si="63"/>
        <v>150.20109552373344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-5.6843418860808015E-14</v>
      </c>
      <c r="BZ88" s="13">
        <f>BY88*VLOOKUP('Données projet'!$B$12,Paramètres!$A$1:$I$89,3,0)*VLOOKUP('Données projet'!$B$12,Paramètres!$A$1:$I$89,5,0)</f>
        <v>-3.1036506698001178E-14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154.35821558431712</v>
      </c>
      <c r="CE88" s="59">
        <f t="shared" si="94"/>
        <v>263.86720460501306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27.661612751662368</v>
      </c>
      <c r="CL88" s="21">
        <f>EXP(-LN(2)/25)*CL87+(1-EXP(-LN(2)/25))/(LN(2)/25)*Calculateur!CG88*Calculateur!CI88*VLOOKUP('Données projet'!$B$12,Paramètres!$A$1:$I$89,3,0)*0.475*44/12</f>
        <v>43.054391122229461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70.716003873891822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213</v>
      </c>
      <c r="CU88" s="17">
        <f>CT88*VLOOKUP('Données projet'!$B$13,Paramètres!$A$1:$I$89,3,0)*VLOOKUP('Données projet'!$B$13,Paramètres!$A$1:$I$89,5,0)</f>
        <v>169.46279999999999</v>
      </c>
      <c r="CV88" s="13">
        <f t="shared" si="95"/>
        <v>42.969686502194378</v>
      </c>
      <c r="CW88" s="20">
        <f t="shared" si="67"/>
        <v>369.9865806579885</v>
      </c>
      <c r="CX88" s="59">
        <f t="shared" si="68"/>
        <v>663.31991399132176</v>
      </c>
      <c r="CY88" s="59">
        <f ca="1">AVERAGE(OFFSET($CX$3,0,0,'Données projet'!$E$13+1,1))-AVERAGE(OFFSET($H$3,0,0,'Données projet'!$E$13+1,1))</f>
        <v>157.25319335691853</v>
      </c>
      <c r="CZ88" s="59">
        <f t="shared" si="96"/>
        <v>159.50903492442171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10.216478378777001</v>
      </c>
      <c r="DG88" s="21">
        <f>EXP(-LN(2)/25)*DG87+(1-EXP(-LN(2)/25))/(LN(2)/25)*Calculateur!DB88*Calculateur!DD88*VLOOKUP('Données projet'!$B$13,Paramètres!$A$1:$I$89,3,0)*0.475*44/12</f>
        <v>7.6067210438551491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17.82319942263215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230</v>
      </c>
      <c r="DM88" s="12">
        <f>VLOOKUP(A88,'Données projet'!$A$165:$I$185,9,0)</f>
        <v>3.2</v>
      </c>
      <c r="DN88" s="12">
        <f t="array" ref="DN88">INDEX(DM:DM,MIN(IF(ISNUMBER(DM88:DM284),ROW(DM88:DM284),"")))</f>
        <v>3.2</v>
      </c>
      <c r="DO88" s="12">
        <f>IF('Données projet'!$A$166&gt;35,DO87+DN88-DW87,IF(A88&lt;'Données projet'!$A$166,$DL$205^A88,IF(A88='Données projet'!$A$166,'Données projet'!$B$166,DO87+DN88-DW87)))</f>
        <v>229.99999999999989</v>
      </c>
      <c r="DP88" s="17">
        <f>DO88*VLOOKUP('Données projet'!$B$14,Paramètres!$A$1:$I$89,3,0)*VLOOKUP('Données projet'!$B$14,Paramètres!$A$1:$I$89,5,0)</f>
        <v>200.92799999999994</v>
      </c>
      <c r="DQ88" s="13">
        <f t="shared" si="97"/>
        <v>49.948059057189042</v>
      </c>
      <c r="DR88" s="20">
        <f t="shared" si="70"/>
        <v>436.94246952460412</v>
      </c>
      <c r="DS88" s="59">
        <f t="shared" si="71"/>
        <v>730.27580285793738</v>
      </c>
      <c r="DT88" s="59">
        <f ca="1">AVERAGE(OFFSET($DS$3,0,0,'Données projet'!$E$14+1,1))-AVERAGE(OFFSET($H$3,0,0,'Données projet'!$E$14+1,1))</f>
        <v>229.5312221178919</v>
      </c>
      <c r="DU88" s="59">
        <f t="shared" si="98"/>
        <v>218.1982095871906</v>
      </c>
      <c r="DV88" s="15">
        <f>IF(ISNA(VLOOKUP(A88,'Données projet'!$A$165:$I$185,3,0)),0,VLOOKUP(A88,'Données projet'!$A$165:$I$185,3,0))</f>
        <v>14</v>
      </c>
      <c r="DW88" s="15" t="str">
        <f>IF(ISNA(VLOOKUP(A88,'Données projet'!$A$165:$I$185,4,0)),0,VLOOKUP(A88,'Données projet'!$A$165:$I$185,4,0))</f>
        <v>12</v>
      </c>
      <c r="DX88" s="16">
        <f>IF(ISNA(VLOOKUP(A88,'Données projet'!$A$165:$I$185,5,0)),0%,VLOOKUP(A88,'Données projet'!$A$165:$I$185,5,0)*VLOOKUP('Données projet'!$B$14,Paramètres!$A$1:$I$89,7,0))</f>
        <v>0.215</v>
      </c>
      <c r="DY88" s="16">
        <f>IF(ISNA(VLOOKUP(A88,'Données projet'!$A$165:$I$185,6,0)),0%,VLOOKUP(A88,'Données projet'!$A$165:$I$185,6,0)*VLOOKUP('Données projet'!$B$14,Paramètres!$A$1:$I$89,7,0))</f>
        <v>0.17200000000000001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15.345968541449571</v>
      </c>
      <c r="EB88" s="21">
        <f>EXP(-LN(2)/25)*EB87+(1-EXP(-LN(2)/25))/(LN(2)/25)*Calculateur!DW88*Calculateur!DY88*VLOOKUP('Données projet'!$B$14,Paramètres!$A$1:$I$89,3,0)*0.475*44/12</f>
        <v>16.417486770694186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31.763455312143755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5.2606837606837598</v>
      </c>
      <c r="EJ88" s="12">
        <f>IF('Données projet'!$A$192&gt;35,EJ87+EI88-ER87,IF(A88&lt;'Données projet'!$A$192,$EG$205^A88,IF(A88='Données projet'!$A$192,'Données projet'!$B$192,EJ87+EI88-ER87)))</f>
        <v>170.18376068376057</v>
      </c>
      <c r="EK88" s="17">
        <f>EJ88*VLOOKUP('Données projet'!$B$15,Paramètres!$A$1:$I$89,3,0)*VLOOKUP('Données projet'!$B$15,Paramètres!$A$1:$I$89,5,0)</f>
        <v>153.98226666666656</v>
      </c>
      <c r="EL88" s="13">
        <f t="shared" si="99"/>
        <v>39.482185325458943</v>
      </c>
      <c r="EM88" s="20">
        <f t="shared" si="73"/>
        <v>336.95058721961857</v>
      </c>
      <c r="EN88" s="59">
        <f t="shared" si="74"/>
        <v>630.28392055295194</v>
      </c>
      <c r="EO88" s="59">
        <f ca="1">AVERAGE(OFFSET($EN$3,0,0,'Données projet'!$E$15+1,1))-AVERAGE(OFFSET($H$3,0,0,'Données projet'!$E$15+1,1))</f>
        <v>204.39656982394689</v>
      </c>
      <c r="EP88" s="59">
        <f t="shared" si="100"/>
        <v>134.95704640904546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17.99110880152098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17.99110880152098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6.9529914529914549</v>
      </c>
      <c r="FE88" s="12">
        <f>IF('Données projet'!$A$218&gt;35,FE87+FD88-FM87,IF(A88&lt;'Données projet'!$A$218,$FB$205^A88,IF(A88='Données projet'!$A$218,'Données projet'!$B$218,FE87+FD88-FM87)))</f>
        <v>176.70940170940219</v>
      </c>
      <c r="FF88" s="17">
        <f>FE88*VLOOKUP('Données projet'!$B$16,Paramètres!$A$1:$I$89,3,0)*VLOOKUP('Données projet'!$B$16,Paramètres!$A$1:$I$89,5,0)</f>
        <v>151.6166666666671</v>
      </c>
      <c r="FG88" s="13">
        <f t="shared" si="101"/>
        <v>38.945749387531393</v>
      </c>
      <c r="FH88" s="20">
        <f t="shared" si="76"/>
        <v>331.89620796106232</v>
      </c>
      <c r="FI88" s="59">
        <f t="shared" si="77"/>
        <v>625.22954129439563</v>
      </c>
      <c r="FJ88" s="59">
        <f ca="1">AVERAGE(OFFSET($FI$3,0,0,'Données projet'!$E$16+1,1))-AVERAGE(OFFSET($H$3,0,0,'Données projet'!$E$16+1,1))</f>
        <v>199.60585215726968</v>
      </c>
      <c r="FK88" s="59">
        <f t="shared" si="102"/>
        <v>137.37366750114404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7.0941092418121672</v>
      </c>
      <c r="FR88" s="21">
        <f>EXP(-LN(2)/25)*FR87+(1-EXP(-LN(2)/25))/(LN(2)/25)*Calculateur!FM88*Calculateur!FO88*VLOOKUP('Données projet'!$B$16,Paramètres!$A$1:$I$89,3,0)*0.475*44/12</f>
        <v>15.478586690053223</v>
      </c>
      <c r="FS88" s="21">
        <f>EXP(-LN(2)/2)*FS87+(1-EXP(-LN(2)/2))/(LN(2)/2)*FM88*FP88*VLOOKUP('Données projet'!$B$16,Paramètres!$A$1:$I$89,3,0)*0.475*44/12</f>
        <v>5.9530810818922673</v>
      </c>
      <c r="FT88" s="22">
        <f t="shared" si="78"/>
        <v>28.525777013757658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8.7211538461538485</v>
      </c>
      <c r="N89" s="13">
        <f>IF('Données projet'!$A$36&gt;35,N88+M89-V88,IF(A89&lt;'Données projet'!$A$36,$K$205^A89,IF(A89='Données projet'!$A$36,'Données projet'!$B$36,N88+M89-V88)))</f>
        <v>302.34423076923122</v>
      </c>
      <c r="O89" s="13">
        <f>N89*VLOOKUP('Données projet'!$B$9,Paramètres!$A$1:$I$89,3,0)*VLOOKUP('Données projet'!$B$9,Paramètres!$A$1:$I$89,5,0)</f>
        <v>141.49710000000022</v>
      </c>
      <c r="P89" s="13">
        <f t="shared" si="87"/>
        <v>36.639757477223711</v>
      </c>
      <c r="Q89" s="20">
        <f t="shared" si="54"/>
        <v>310.25502677283174</v>
      </c>
      <c r="R89" s="59">
        <f t="shared" si="55"/>
        <v>603.58836010616506</v>
      </c>
      <c r="S89" s="59">
        <f ca="1">AVERAGE(OFFSET($R$3,0,0,'Données projet'!$E$9+1,1))-AVERAGE(OFFSET($H$3,0,0,'Données projet'!$E$9+1,1))</f>
        <v>164.93438869099657</v>
      </c>
      <c r="T89" s="59">
        <f t="shared" si="88"/>
        <v>112.28641356594233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51.063620081431502</v>
      </c>
      <c r="AA89" s="21">
        <f>EXP(-LN(2)/25)*AA88+(1-EXP(-LN(2)/25))/(LN(2)/25)*Calculateur!V89*Calculateur!X89*VLOOKUP('Données projet'!$B$9,Paramètres!$A$1:$I$89,3,0)*0.475*44/12</f>
        <v>23.452842924761899</v>
      </c>
      <c r="AB89" s="21">
        <f>EXP(-LN(2)/2)*AB88+(1-EXP(-LN(2)/2))/(LN(2)/2)*V89*Y89*VLOOKUP('Données projet'!$B$9,Paramètres!$A$1:$I$89,3,0)*0.475*44/12</f>
        <v>4.2879180018822955</v>
      </c>
      <c r="AC89" s="22">
        <f t="shared" si="57"/>
        <v>78.804381008075694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273.81843612193632</v>
      </c>
      <c r="AO89" s="59">
        <f t="shared" si="90"/>
        <v>241.86405419073208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-6.3550942286383367E-14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271.42245454555501</v>
      </c>
      <c r="BJ89" s="59">
        <f t="shared" si="92"/>
        <v>362.63944425429077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122.67123163500614</v>
      </c>
      <c r="BQ89" s="21">
        <f>EXP(-LN(2)/25)*BQ88+(1-EXP(-LN(2)/25))/(LN(2)/25)*Calculateur!BL89*Calculateur!BN89*VLOOKUP('Données projet'!$B$11,Paramètres!$A$1:$I$89,3,0)*0.475*44/12</f>
        <v>24.389516662410411</v>
      </c>
      <c r="BR89" s="21">
        <f>EXP(-LN(2)/2)*BR88+(1-EXP(-LN(2)/2))/(LN(2)/2)*BL89*BO89*VLOOKUP('Données projet'!$B$11,Paramètres!$A$1:$I$89,3,0)*0.475*44/12</f>
        <v>7.3717314805551418E-4</v>
      </c>
      <c r="BS89" s="22">
        <f t="shared" si="63"/>
        <v>147.06148547056461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-5.6843418860808015E-14</v>
      </c>
      <c r="BZ89" s="13">
        <f>BY89*VLOOKUP('Données projet'!$B$12,Paramètres!$A$1:$I$89,3,0)*VLOOKUP('Données projet'!$B$12,Paramètres!$A$1:$I$89,5,0)</f>
        <v>-3.1036506698001178E-14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154.35821558431712</v>
      </c>
      <c r="CE89" s="59">
        <f t="shared" si="94"/>
        <v>263.86720460501306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27.119185397520084</v>
      </c>
      <c r="CL89" s="21">
        <f>EXP(-LN(2)/25)*CL88+(1-EXP(-LN(2)/25))/(LN(2)/25)*Calculateur!CG89*Calculateur!CI89*VLOOKUP('Données projet'!$B$12,Paramètres!$A$1:$I$89,3,0)*0.475*44/12</f>
        <v>41.87706653286007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68.996251930380154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213</v>
      </c>
      <c r="CU89" s="17">
        <f>CT89*VLOOKUP('Données projet'!$B$13,Paramètres!$A$1:$I$89,3,0)*VLOOKUP('Données projet'!$B$13,Paramètres!$A$1:$I$89,5,0)</f>
        <v>169.46279999999999</v>
      </c>
      <c r="CV89" s="13">
        <f t="shared" si="95"/>
        <v>42.969686502194378</v>
      </c>
      <c r="CW89" s="20">
        <f t="shared" si="67"/>
        <v>369.9865806579885</v>
      </c>
      <c r="CX89" s="59">
        <f t="shared" si="68"/>
        <v>663.31991399132176</v>
      </c>
      <c r="CY89" s="59">
        <f ca="1">AVERAGE(OFFSET($CX$3,0,0,'Données projet'!$E$13+1,1))-AVERAGE(OFFSET($H$3,0,0,'Données projet'!$E$13+1,1))</f>
        <v>157.25319335691853</v>
      </c>
      <c r="CZ89" s="59">
        <f t="shared" si="96"/>
        <v>159.50903492442171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10.016139469205692</v>
      </c>
      <c r="DG89" s="21">
        <f>EXP(-LN(2)/25)*DG88+(1-EXP(-LN(2)/25))/(LN(2)/25)*Calculateur!DB89*Calculateur!DD89*VLOOKUP('Données projet'!$B$13,Paramètres!$A$1:$I$89,3,0)*0.475*44/12</f>
        <v>7.3987148568908561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17.414854326096549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</v>
      </c>
      <c r="DO89" s="12">
        <f>IF('Données projet'!$A$166&gt;35,DO88+DN89-DW88,IF(A89&lt;'Données projet'!$A$166,$DL$205^A89,IF(A89='Données projet'!$A$166,'Données projet'!$B$166,DO88+DN89-DW88)))</f>
        <v>220.99999999999989</v>
      </c>
      <c r="DP89" s="17">
        <f>DO89*VLOOKUP('Données projet'!$B$14,Paramètres!$A$1:$I$89,3,0)*VLOOKUP('Données projet'!$B$14,Paramètres!$A$1:$I$89,5,0)</f>
        <v>193.06559999999993</v>
      </c>
      <c r="DQ89" s="13">
        <f t="shared" si="97"/>
        <v>48.217080828790415</v>
      </c>
      <c r="DR89" s="20">
        <f t="shared" si="70"/>
        <v>420.23400244347653</v>
      </c>
      <c r="DS89" s="59">
        <f t="shared" si="71"/>
        <v>713.56733577680984</v>
      </c>
      <c r="DT89" s="59">
        <f ca="1">AVERAGE(OFFSET($DS$3,0,0,'Données projet'!$E$14+1,1))-AVERAGE(OFFSET($H$3,0,0,'Données projet'!$E$14+1,1))</f>
        <v>229.5312221178919</v>
      </c>
      <c r="DU89" s="59">
        <f t="shared" si="98"/>
        <v>218.1982095871906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15.045043458468321</v>
      </c>
      <c r="EB89" s="21">
        <f>EXP(-LN(2)/25)*EB88+(1-EXP(-LN(2)/25))/(LN(2)/25)*Calculateur!DW89*Calculateur!DY89*VLOOKUP('Données projet'!$B$14,Paramètres!$A$1:$I$89,3,0)*0.475*44/12</f>
        <v>15.968549731591446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31.013593190059765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5.2606837606837598</v>
      </c>
      <c r="EJ89" s="12">
        <f>IF('Données projet'!$A$192&gt;35,EJ88+EI89-ER88,IF(A89&lt;'Données projet'!$A$192,$EG$205^A89,IF(A89='Données projet'!$A$192,'Données projet'!$B$192,EJ88+EI89-ER88)))</f>
        <v>175.44444444444431</v>
      </c>
      <c r="EK89" s="17">
        <f>EJ89*VLOOKUP('Données projet'!$B$15,Paramètres!$A$1:$I$89,3,0)*VLOOKUP('Données projet'!$B$15,Paramètres!$A$1:$I$89,5,0)</f>
        <v>158.74213333333321</v>
      </c>
      <c r="EL89" s="13">
        <f t="shared" si="99"/>
        <v>40.558669873865824</v>
      </c>
      <c r="EM89" s="20">
        <f t="shared" si="73"/>
        <v>347.11556558587159</v>
      </c>
      <c r="EN89" s="59">
        <f t="shared" si="74"/>
        <v>640.44889891920491</v>
      </c>
      <c r="EO89" s="59">
        <f ca="1">AVERAGE(OFFSET($EN$3,0,0,'Données projet'!$E$15+1,1))-AVERAGE(OFFSET($H$3,0,0,'Données projet'!$E$15+1,1))</f>
        <v>204.39656982394689</v>
      </c>
      <c r="EP89" s="59">
        <f t="shared" si="100"/>
        <v>134.95704640904546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17.638314131415981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17.638314131415981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6.9529914529914549</v>
      </c>
      <c r="FE89" s="12">
        <f>IF('Données projet'!$A$218&gt;35,FE88+FD89-FM88,IF(A89&lt;'Données projet'!$A$218,$FB$205^A89,IF(A89='Données projet'!$A$218,'Données projet'!$B$218,FE88+FD89-FM88)))</f>
        <v>183.66239316239364</v>
      </c>
      <c r="FF89" s="17">
        <f>FE89*VLOOKUP('Données projet'!$B$16,Paramètres!$A$1:$I$89,3,0)*VLOOKUP('Données projet'!$B$16,Paramètres!$A$1:$I$89,5,0)</f>
        <v>157.58233333333376</v>
      </c>
      <c r="FG89" s="13">
        <f t="shared" si="101"/>
        <v>40.296721661918291</v>
      </c>
      <c r="FH89" s="20">
        <f t="shared" si="76"/>
        <v>344.63935411673066</v>
      </c>
      <c r="FI89" s="59">
        <f t="shared" si="77"/>
        <v>637.97268745006397</v>
      </c>
      <c r="FJ89" s="59">
        <f ca="1">AVERAGE(OFFSET($FI$3,0,0,'Données projet'!$E$16+1,1))-AVERAGE(OFFSET($H$3,0,0,'Données projet'!$E$16+1,1))</f>
        <v>199.60585215726968</v>
      </c>
      <c r="FK89" s="59">
        <f t="shared" si="102"/>
        <v>137.37366750114404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6.9549980865596144</v>
      </c>
      <c r="FR89" s="21">
        <f>EXP(-LN(2)/25)*FR88+(1-EXP(-LN(2)/25))/(LN(2)/25)*Calculateur!FM89*Calculateur!FO89*VLOOKUP('Données projet'!$B$16,Paramètres!$A$1:$I$89,3,0)*0.475*44/12</f>
        <v>15.055323923030221</v>
      </c>
      <c r="FS89" s="21">
        <f>EXP(-LN(2)/2)*FS88+(1-EXP(-LN(2)/2))/(LN(2)/2)*FM89*FP89*VLOOKUP('Données projet'!$B$16,Paramètres!$A$1:$I$89,3,0)*0.475*44/12</f>
        <v>4.209464001959371</v>
      </c>
      <c r="FT89" s="22">
        <f t="shared" si="78"/>
        <v>26.219786011549207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8.7211538461538485</v>
      </c>
      <c r="N90" s="13">
        <f>IF('Données projet'!$A$36&gt;35,N89+M90-V89,IF(A90&lt;'Données projet'!$A$36,$K$205^A90,IF(A90='Données projet'!$A$36,'Données projet'!$B$36,N89+M90-V89)))</f>
        <v>311.06538461538508</v>
      </c>
      <c r="O90" s="13">
        <f>N90*VLOOKUP('Données projet'!$B$9,Paramètres!$A$1:$I$89,3,0)*VLOOKUP('Données projet'!$B$9,Paramètres!$A$1:$I$89,5,0)</f>
        <v>145.57860000000022</v>
      </c>
      <c r="P90" s="13">
        <f t="shared" si="87"/>
        <v>37.572063695955627</v>
      </c>
      <c r="Q90" s="20">
        <f t="shared" si="54"/>
        <v>318.98740593712301</v>
      </c>
      <c r="R90" s="59">
        <f t="shared" si="55"/>
        <v>612.32073927045633</v>
      </c>
      <c r="S90" s="59">
        <f ca="1">AVERAGE(OFFSET($R$3,0,0,'Données projet'!$E$9+1,1))-AVERAGE(OFFSET($H$3,0,0,'Données projet'!$E$9+1,1))</f>
        <v>164.93438869099657</v>
      </c>
      <c r="T90" s="59">
        <f t="shared" si="88"/>
        <v>112.28641356594233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50.062293637367496</v>
      </c>
      <c r="AA90" s="21">
        <f>EXP(-LN(2)/25)*AA89+(1-EXP(-LN(2)/25))/(LN(2)/25)*Calculateur!V90*Calculateur!X90*VLOOKUP('Données projet'!$B$9,Paramètres!$A$1:$I$89,3,0)*0.475*44/12</f>
        <v>22.811523701652877</v>
      </c>
      <c r="AB90" s="21">
        <f>EXP(-LN(2)/2)*AB89+(1-EXP(-LN(2)/2))/(LN(2)/2)*V90*Y90*VLOOKUP('Données projet'!$B$9,Paramètres!$A$1:$I$89,3,0)*0.475*44/12</f>
        <v>3.0320158963028425</v>
      </c>
      <c r="AC90" s="22">
        <f t="shared" si="57"/>
        <v>75.905833235323215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273.81843612193632</v>
      </c>
      <c r="AO90" s="59">
        <f t="shared" si="90"/>
        <v>241.86405419073208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-6.3550942286383367E-14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271.42245454555501</v>
      </c>
      <c r="BJ90" s="59">
        <f t="shared" si="92"/>
        <v>362.63944425429077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120.26572360470689</v>
      </c>
      <c r="BQ90" s="21">
        <f>EXP(-LN(2)/25)*BQ89+(1-EXP(-LN(2)/25))/(LN(2)/25)*Calculateur!BL90*Calculateur!BN90*VLOOKUP('Données projet'!$B$11,Paramètres!$A$1:$I$89,3,0)*0.475*44/12</f>
        <v>23.72258404668786</v>
      </c>
      <c r="BR90" s="21">
        <f>EXP(-LN(2)/2)*BR89+(1-EXP(-LN(2)/2))/(LN(2)/2)*BL90*BO90*VLOOKUP('Données projet'!$B$11,Paramètres!$A$1:$I$89,3,0)*0.475*44/12</f>
        <v>5.2126013189868886E-4</v>
      </c>
      <c r="BS90" s="22">
        <f t="shared" si="63"/>
        <v>143.98882891152667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-5.6843418860808015E-14</v>
      </c>
      <c r="BZ90" s="13">
        <f>BY90*VLOOKUP('Données projet'!$B$12,Paramètres!$A$1:$I$89,3,0)*VLOOKUP('Données projet'!$B$12,Paramètres!$A$1:$I$89,5,0)</f>
        <v>-3.1036506698001178E-14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154.35821558431712</v>
      </c>
      <c r="CE90" s="59">
        <f t="shared" si="94"/>
        <v>263.86720460501306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26.587394712944512</v>
      </c>
      <c r="CL90" s="21">
        <f>EXP(-LN(2)/25)*CL89+(1-EXP(-LN(2)/25))/(LN(2)/25)*Calculateur!CG90*Calculateur!CI90*VLOOKUP('Données projet'!$B$12,Paramètres!$A$1:$I$89,3,0)*0.475*44/12</f>
        <v>40.731935946299792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67.319330659244301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213</v>
      </c>
      <c r="CU90" s="17">
        <f>CT90*VLOOKUP('Données projet'!$B$13,Paramètres!$A$1:$I$89,3,0)*VLOOKUP('Données projet'!$B$13,Paramètres!$A$1:$I$89,5,0)</f>
        <v>169.46279999999999</v>
      </c>
      <c r="CV90" s="13">
        <f t="shared" si="95"/>
        <v>42.969686502194378</v>
      </c>
      <c r="CW90" s="20">
        <f t="shared" si="67"/>
        <v>369.9865806579885</v>
      </c>
      <c r="CX90" s="59">
        <f t="shared" si="68"/>
        <v>663.31991399132176</v>
      </c>
      <c r="CY90" s="59">
        <f ca="1">AVERAGE(OFFSET($CX$3,0,0,'Données projet'!$E$13+1,1))-AVERAGE(OFFSET($H$3,0,0,'Données projet'!$E$13+1,1))</f>
        <v>157.25319335691853</v>
      </c>
      <c r="CZ90" s="59">
        <f t="shared" si="96"/>
        <v>159.50903492442171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9.8197290834564068</v>
      </c>
      <c r="DG90" s="21">
        <f>EXP(-LN(2)/25)*DG89+(1-EXP(-LN(2)/25))/(LN(2)/25)*Calculateur!DB90*Calculateur!DD90*VLOOKUP('Données projet'!$B$13,Paramètres!$A$1:$I$89,3,0)*0.475*44/12</f>
        <v>7.1963966100476711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17.01612569350408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</v>
      </c>
      <c r="DO90" s="12">
        <f>IF('Données projet'!$A$166&gt;35,DO89+DN90-DW89,IF(A90&lt;'Données projet'!$A$166,$DL$205^A90,IF(A90='Données projet'!$A$166,'Données projet'!$B$166,DO89+DN90-DW89)))</f>
        <v>223.99999999999989</v>
      </c>
      <c r="DP90" s="17">
        <f>DO90*VLOOKUP('Données projet'!$B$14,Paramètres!$A$1:$I$89,3,0)*VLOOKUP('Données projet'!$B$14,Paramètres!$A$1:$I$89,5,0)</f>
        <v>195.68639999999994</v>
      </c>
      <c r="DQ90" s="13">
        <f t="shared" si="97"/>
        <v>48.794969360985114</v>
      </c>
      <c r="DR90" s="20">
        <f t="shared" si="70"/>
        <v>425.80505163704896</v>
      </c>
      <c r="DS90" s="59">
        <f t="shared" si="71"/>
        <v>719.13838497038228</v>
      </c>
      <c r="DT90" s="59">
        <f ca="1">AVERAGE(OFFSET($DS$3,0,0,'Données projet'!$E$14+1,1))-AVERAGE(OFFSET($H$3,0,0,'Données projet'!$E$14+1,1))</f>
        <v>229.5312221178919</v>
      </c>
      <c r="DU90" s="59">
        <f t="shared" si="98"/>
        <v>218.1982095871906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14.750019332818155</v>
      </c>
      <c r="EB90" s="21">
        <f>EXP(-LN(2)/25)*EB89+(1-EXP(-LN(2)/25))/(LN(2)/25)*Calculateur!DW90*Calculateur!DY90*VLOOKUP('Données projet'!$B$14,Paramètres!$A$1:$I$89,3,0)*0.475*44/12</f>
        <v>15.531888899431545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30.281908232249698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5.2606837606837598</v>
      </c>
      <c r="EJ90" s="12">
        <f>IF('Données projet'!$A$192&gt;35,EJ89+EI90-ER89,IF(A90&lt;'Données projet'!$A$192,$EG$205^A90,IF(A90='Données projet'!$A$192,'Données projet'!$B$192,EJ89+EI90-ER89)))</f>
        <v>180.70512820512806</v>
      </c>
      <c r="EK90" s="17">
        <f>EJ90*VLOOKUP('Données projet'!$B$15,Paramètres!$A$1:$I$89,3,0)*VLOOKUP('Données projet'!$B$15,Paramètres!$A$1:$I$89,5,0)</f>
        <v>163.50199999999987</v>
      </c>
      <c r="EL90" s="13">
        <f t="shared" si="99"/>
        <v>41.631403185766587</v>
      </c>
      <c r="EM90" s="20">
        <f t="shared" si="73"/>
        <v>357.27401054854323</v>
      </c>
      <c r="EN90" s="59">
        <f t="shared" si="74"/>
        <v>650.60734388187655</v>
      </c>
      <c r="EO90" s="59">
        <f ca="1">AVERAGE(OFFSET($EN$3,0,0,'Données projet'!$E$15+1,1))-AVERAGE(OFFSET($H$3,0,0,'Données projet'!$E$15+1,1))</f>
        <v>204.39656982394689</v>
      </c>
      <c r="EP90" s="59">
        <f t="shared" si="100"/>
        <v>134.95704640904546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17.292437549608241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17.292437549608241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6.9529914529914549</v>
      </c>
      <c r="FE90" s="12">
        <f>IF('Données projet'!$A$218&gt;35,FE89+FD90-FM89,IF(A90&lt;'Données projet'!$A$218,$FB$205^A90,IF(A90='Données projet'!$A$218,'Données projet'!$B$218,FE89+FD90-FM89)))</f>
        <v>190.6153846153851</v>
      </c>
      <c r="FF90" s="17">
        <f>FE90*VLOOKUP('Données projet'!$B$16,Paramètres!$A$1:$I$89,3,0)*VLOOKUP('Données projet'!$B$16,Paramètres!$A$1:$I$89,5,0)</f>
        <v>163.54800000000043</v>
      </c>
      <c r="FG90" s="13">
        <f t="shared" si="101"/>
        <v>41.641752329245357</v>
      </c>
      <c r="FH90" s="20">
        <f t="shared" si="76"/>
        <v>357.37215197343636</v>
      </c>
      <c r="FI90" s="59">
        <f t="shared" si="77"/>
        <v>650.70548530676967</v>
      </c>
      <c r="FJ90" s="59">
        <f ca="1">AVERAGE(OFFSET($FI$3,0,0,'Données projet'!$E$16+1,1))-AVERAGE(OFFSET($H$3,0,0,'Données projet'!$E$16+1,1))</f>
        <v>199.60585215726968</v>
      </c>
      <c r="FK90" s="59">
        <f t="shared" si="102"/>
        <v>137.37366750114404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6.8186148162121372</v>
      </c>
      <c r="FR90" s="21">
        <f>EXP(-LN(2)/25)*FR89+(1-EXP(-LN(2)/25))/(LN(2)/25)*Calculateur!FM90*Calculateur!FO90*VLOOKUP('Données projet'!$B$16,Paramètres!$A$1:$I$89,3,0)*0.475*44/12</f>
        <v>14.643635298629883</v>
      </c>
      <c r="FS90" s="21">
        <f>EXP(-LN(2)/2)*FS89+(1-EXP(-LN(2)/2))/(LN(2)/2)*FM90*FP90*VLOOKUP('Données projet'!$B$16,Paramètres!$A$1:$I$89,3,0)*0.475*44/12</f>
        <v>2.9765405409461336</v>
      </c>
      <c r="FT90" s="22">
        <f t="shared" si="78"/>
        <v>24.438790655788154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8.7211538461538485</v>
      </c>
      <c r="N91" s="13">
        <f>IF('Données projet'!$A$36&gt;35,N90+M91-V90,IF(A91&lt;'Données projet'!$A$36,$K$205^A91,IF(A91='Données projet'!$A$36,'Données projet'!$B$36,N90+M91-V90)))</f>
        <v>319.78653846153895</v>
      </c>
      <c r="O91" s="13">
        <f>N91*VLOOKUP('Données projet'!$B$9,Paramètres!$A$1:$I$89,3,0)*VLOOKUP('Données projet'!$B$9,Paramètres!$A$1:$I$89,5,0)</f>
        <v>149.66010000000023</v>
      </c>
      <c r="P91" s="13">
        <f t="shared" si="87"/>
        <v>38.501331930603563</v>
      </c>
      <c r="Q91" s="20">
        <f t="shared" si="54"/>
        <v>327.71449394580162</v>
      </c>
      <c r="R91" s="59">
        <f t="shared" si="55"/>
        <v>621.04782727913494</v>
      </c>
      <c r="S91" s="59">
        <f ca="1">AVERAGE(OFFSET($R$3,0,0,'Données projet'!$E$9+1,1))-AVERAGE(OFFSET($H$3,0,0,'Données projet'!$E$9+1,1))</f>
        <v>164.93438869099657</v>
      </c>
      <c r="T91" s="59">
        <f t="shared" si="88"/>
        <v>112.28641356594233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49.080602594122759</v>
      </c>
      <c r="AA91" s="21">
        <f>EXP(-LN(2)/25)*AA90+(1-EXP(-LN(2)/25))/(LN(2)/25)*Calculateur!V91*Calculateur!X91*VLOOKUP('Données projet'!$B$9,Paramètres!$A$1:$I$89,3,0)*0.475*44/12</f>
        <v>22.187741386425284</v>
      </c>
      <c r="AB91" s="21">
        <f>EXP(-LN(2)/2)*AB90+(1-EXP(-LN(2)/2))/(LN(2)/2)*V91*Y91*VLOOKUP('Données projet'!$B$9,Paramètres!$A$1:$I$89,3,0)*0.475*44/12</f>
        <v>2.1439590009411478</v>
      </c>
      <c r="AC91" s="22">
        <f t="shared" si="57"/>
        <v>73.412302981489191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273.81843612193632</v>
      </c>
      <c r="AO91" s="59">
        <f t="shared" si="90"/>
        <v>241.86405419073208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-6.3550942286383367E-14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271.42245454555501</v>
      </c>
      <c r="BJ91" s="59">
        <f t="shared" si="92"/>
        <v>362.63944425429077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117.9073861196668</v>
      </c>
      <c r="BQ91" s="21">
        <f>EXP(-LN(2)/25)*BQ90+(1-EXP(-LN(2)/25))/(LN(2)/25)*Calculateur!BL91*Calculateur!BN91*VLOOKUP('Données projet'!$B$11,Paramètres!$A$1:$I$89,3,0)*0.475*44/12</f>
        <v>23.073888738414706</v>
      </c>
      <c r="BR91" s="21">
        <f>EXP(-LN(2)/2)*BR90+(1-EXP(-LN(2)/2))/(LN(2)/2)*BL91*BO91*VLOOKUP('Données projet'!$B$11,Paramètres!$A$1:$I$89,3,0)*0.475*44/12</f>
        <v>3.6858657402775709E-4</v>
      </c>
      <c r="BS91" s="22">
        <f t="shared" si="63"/>
        <v>140.98164344465553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-5.6843418860808015E-14</v>
      </c>
      <c r="BZ91" s="13">
        <f>BY91*VLOOKUP('Données projet'!$B$12,Paramètres!$A$1:$I$89,3,0)*VLOOKUP('Données projet'!$B$12,Paramètres!$A$1:$I$89,5,0)</f>
        <v>-3.1036506698001178E-14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154.35821558431712</v>
      </c>
      <c r="CE91" s="59">
        <f t="shared" si="94"/>
        <v>263.86720460501306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26.06603211933318</v>
      </c>
      <c r="CL91" s="21">
        <f>EXP(-LN(2)/25)*CL90+(1-EXP(-LN(2)/25))/(LN(2)/25)*Calculateur!CG91*Calculateur!CI91*VLOOKUP('Données projet'!$B$12,Paramètres!$A$1:$I$89,3,0)*0.475*44/12</f>
        <v>39.618119015848805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65.684151135181992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213</v>
      </c>
      <c r="CU91" s="17">
        <f>CT91*VLOOKUP('Données projet'!$B$13,Paramètres!$A$1:$I$89,3,0)*VLOOKUP('Données projet'!$B$13,Paramètres!$A$1:$I$89,5,0)</f>
        <v>169.46279999999999</v>
      </c>
      <c r="CV91" s="13">
        <f t="shared" si="95"/>
        <v>42.969686502194378</v>
      </c>
      <c r="CW91" s="20">
        <f t="shared" si="67"/>
        <v>369.9865806579885</v>
      </c>
      <c r="CX91" s="59">
        <f t="shared" si="68"/>
        <v>663.31991399132176</v>
      </c>
      <c r="CY91" s="59">
        <f ca="1">AVERAGE(OFFSET($CX$3,0,0,'Données projet'!$E$13+1,1))-AVERAGE(OFFSET($H$3,0,0,'Données projet'!$E$13+1,1))</f>
        <v>157.25319335691853</v>
      </c>
      <c r="CZ91" s="59">
        <f t="shared" si="96"/>
        <v>159.50903492442171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9.62717018557316</v>
      </c>
      <c r="DG91" s="21">
        <f>EXP(-LN(2)/25)*DG90+(1-EXP(-LN(2)/25))/(LN(2)/25)*Calculateur!DB91*Calculateur!DD91*VLOOKUP('Données projet'!$B$13,Paramètres!$A$1:$I$89,3,0)*0.475*44/12</f>
        <v>6.9996107663038671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16.626780951877027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</v>
      </c>
      <c r="DO91" s="12">
        <f>IF('Données projet'!$A$166&gt;35,DO90+DN91-DW90,IF(A91&lt;'Données projet'!$A$166,$DL$205^A91,IF(A91='Données projet'!$A$166,'Données projet'!$B$166,DO90+DN91-DW90)))</f>
        <v>226.99999999999989</v>
      </c>
      <c r="DP91" s="17">
        <f>DO91*VLOOKUP('Données projet'!$B$14,Paramètres!$A$1:$I$89,3,0)*VLOOKUP('Données projet'!$B$14,Paramètres!$A$1:$I$89,5,0)</f>
        <v>198.30719999999994</v>
      </c>
      <c r="DQ91" s="13">
        <f t="shared" si="97"/>
        <v>49.371957679623371</v>
      </c>
      <c r="DR91" s="20">
        <f t="shared" si="70"/>
        <v>431.37453295867726</v>
      </c>
      <c r="DS91" s="59">
        <f t="shared" si="71"/>
        <v>724.70786629201052</v>
      </c>
      <c r="DT91" s="59">
        <f ca="1">AVERAGE(OFFSET($DS$3,0,0,'Données projet'!$E$14+1,1))-AVERAGE(OFFSET($H$3,0,0,'Données projet'!$E$14+1,1))</f>
        <v>229.5312221178919</v>
      </c>
      <c r="DU91" s="59">
        <f t="shared" si="98"/>
        <v>218.1982095871906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14.460780450325041</v>
      </c>
      <c r="EB91" s="21">
        <f>EXP(-LN(2)/25)*EB90+(1-EXP(-LN(2)/25))/(LN(2)/25)*Calculateur!DW91*Calculateur!DY91*VLOOKUP('Données projet'!$B$14,Paramètres!$A$1:$I$89,3,0)*0.475*44/12</f>
        <v>15.10716858069005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29.56794903101509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5.2606837606837598</v>
      </c>
      <c r="EJ91" s="12">
        <f>IF('Données projet'!$A$192&gt;35,EJ90+EI91-ER90,IF(A91&lt;'Données projet'!$A$192,$EG$205^A91,IF(A91='Données projet'!$A$192,'Données projet'!$B$192,EJ90+EI91-ER90)))</f>
        <v>185.96581196581181</v>
      </c>
      <c r="EK91" s="17">
        <f>EJ91*VLOOKUP('Données projet'!$B$15,Paramètres!$A$1:$I$89,3,0)*VLOOKUP('Données projet'!$B$15,Paramètres!$A$1:$I$89,5,0)</f>
        <v>168.26186666666652</v>
      </c>
      <c r="EL91" s="13">
        <f t="shared" si="99"/>
        <v>42.700507007169499</v>
      </c>
      <c r="EM91" s="20">
        <f t="shared" si="73"/>
        <v>367.42613414859778</v>
      </c>
      <c r="EN91" s="59">
        <f t="shared" si="74"/>
        <v>660.7594674819311</v>
      </c>
      <c r="EO91" s="59">
        <f ca="1">AVERAGE(OFFSET($EN$3,0,0,'Données projet'!$E$15+1,1))-AVERAGE(OFFSET($H$3,0,0,'Données projet'!$E$15+1,1))</f>
        <v>204.39656982394689</v>
      </c>
      <c r="EP91" s="59">
        <f t="shared" si="100"/>
        <v>134.95704640904546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16.953343396605867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16.953343396605867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6.9529914529914549</v>
      </c>
      <c r="FE91" s="12">
        <f>IF('Données projet'!$A$218&gt;35,FE90+FD91-FM90,IF(A91&lt;'Données projet'!$A$218,$FB$205^A91,IF(A91='Données projet'!$A$218,'Données projet'!$B$218,FE90+FD91-FM90)))</f>
        <v>197.56837606837655</v>
      </c>
      <c r="FF91" s="17">
        <f>FE91*VLOOKUP('Données projet'!$B$16,Paramètres!$A$1:$I$89,3,0)*VLOOKUP('Données projet'!$B$16,Paramètres!$A$1:$I$89,5,0)</f>
        <v>169.51366666666709</v>
      </c>
      <c r="FG91" s="13">
        <f t="shared" si="101"/>
        <v>42.981082942164541</v>
      </c>
      <c r="FH91" s="20">
        <f t="shared" si="76"/>
        <v>370.09502223538175</v>
      </c>
      <c r="FI91" s="59">
        <f t="shared" si="77"/>
        <v>663.42835556871501</v>
      </c>
      <c r="FJ91" s="59">
        <f ca="1">AVERAGE(OFFSET($FI$3,0,0,'Données projet'!$E$16+1,1))-AVERAGE(OFFSET($H$3,0,0,'Données projet'!$E$16+1,1))</f>
        <v>199.60585215726968</v>
      </c>
      <c r="FK91" s="59">
        <f t="shared" si="102"/>
        <v>137.37366750114404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6.6849059386105933</v>
      </c>
      <c r="FR91" s="21">
        <f>EXP(-LN(2)/25)*FR90+(1-EXP(-LN(2)/25))/(LN(2)/25)*Calculateur!FM91*Calculateur!FO91*VLOOKUP('Données projet'!$B$16,Paramètres!$A$1:$I$89,3,0)*0.475*44/12</f>
        <v>14.243204321313538</v>
      </c>
      <c r="FS91" s="21">
        <f>EXP(-LN(2)/2)*FS90+(1-EXP(-LN(2)/2))/(LN(2)/2)*FM91*FP91*VLOOKUP('Données projet'!$B$16,Paramètres!$A$1:$I$89,3,0)*0.475*44/12</f>
        <v>2.1047320009796855</v>
      </c>
      <c r="FT91" s="22">
        <f t="shared" si="78"/>
        <v>23.032842260903816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8.7211538461538485</v>
      </c>
      <c r="N92" s="13">
        <f>IF('Données projet'!$A$36&gt;35,N91+M92-V91,IF(A92&lt;'Données projet'!$A$36,$K$205^A92,IF(A92='Données projet'!$A$36,'Données projet'!$B$36,N91+M92-V91)))</f>
        <v>328.50769230769282</v>
      </c>
      <c r="O92" s="13">
        <f>N92*VLOOKUP('Données projet'!$B$9,Paramètres!$A$1:$I$89,3,0)*VLOOKUP('Données projet'!$B$9,Paramètres!$A$1:$I$89,5,0)</f>
        <v>153.74160000000023</v>
      </c>
      <c r="P92" s="13">
        <f t="shared" si="87"/>
        <v>39.427654552879716</v>
      </c>
      <c r="Q92" s="20">
        <f t="shared" si="54"/>
        <v>336.4364516795992</v>
      </c>
      <c r="R92" s="59">
        <f t="shared" si="55"/>
        <v>629.76978501293252</v>
      </c>
      <c r="S92" s="59">
        <f ca="1">AVERAGE(OFFSET($R$3,0,0,'Données projet'!$E$9+1,1))-AVERAGE(OFFSET($H$3,0,0,'Données projet'!$E$9+1,1))</f>
        <v>164.93438869099657</v>
      </c>
      <c r="T92" s="59">
        <f t="shared" si="88"/>
        <v>112.28641356594233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48.118161913463638</v>
      </c>
      <c r="AA92" s="21">
        <f>EXP(-LN(2)/25)*AA91+(1-EXP(-LN(2)/25))/(LN(2)/25)*Calculateur!V92*Calculateur!X92*VLOOKUP('Données projet'!$B$9,Paramètres!$A$1:$I$89,3,0)*0.475*44/12</f>
        <v>21.581016431410877</v>
      </c>
      <c r="AB92" s="21">
        <f>EXP(-LN(2)/2)*AB91+(1-EXP(-LN(2)/2))/(LN(2)/2)*V92*Y92*VLOOKUP('Données projet'!$B$9,Paramètres!$A$1:$I$89,3,0)*0.475*44/12</f>
        <v>1.5160079481514213</v>
      </c>
      <c r="AC92" s="22">
        <f t="shared" si="57"/>
        <v>71.215186293025937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273.81843612193632</v>
      </c>
      <c r="AO92" s="59">
        <f t="shared" si="90"/>
        <v>241.86405419073208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-6.3550942286383367E-14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271.42245454555501</v>
      </c>
      <c r="BJ92" s="59">
        <f t="shared" si="92"/>
        <v>362.63944425429077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115.59529419426451</v>
      </c>
      <c r="BQ92" s="21">
        <f>EXP(-LN(2)/25)*BQ91+(1-EXP(-LN(2)/25))/(LN(2)/25)*Calculateur!BL92*Calculateur!BN92*VLOOKUP('Données projet'!$B$11,Paramètres!$A$1:$I$89,3,0)*0.475*44/12</f>
        <v>22.442932037459684</v>
      </c>
      <c r="BR92" s="21">
        <f>EXP(-LN(2)/2)*BR91+(1-EXP(-LN(2)/2))/(LN(2)/2)*BL92*BO92*VLOOKUP('Données projet'!$B$11,Paramètres!$A$1:$I$89,3,0)*0.475*44/12</f>
        <v>2.6063006594934443E-4</v>
      </c>
      <c r="BS92" s="22">
        <f t="shared" si="63"/>
        <v>138.03848686179015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-5.6843418860808015E-14</v>
      </c>
      <c r="BZ92" s="13">
        <f>BY92*VLOOKUP('Données projet'!$B$12,Paramètres!$A$1:$I$89,3,0)*VLOOKUP('Données projet'!$B$12,Paramètres!$A$1:$I$89,5,0)</f>
        <v>-3.1036506698001178E-14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154.35821558431712</v>
      </c>
      <c r="CE92" s="59">
        <f t="shared" si="94"/>
        <v>263.86720460501306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25.554893128182783</v>
      </c>
      <c r="CL92" s="21">
        <f>EXP(-LN(2)/25)*CL91+(1-EXP(-LN(2)/25))/(LN(2)/25)*Calculateur!CG92*Calculateur!CI92*VLOOKUP('Données projet'!$B$12,Paramètres!$A$1:$I$89,3,0)*0.475*44/12</f>
        <v>38.534759467934087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64.089652596116878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213</v>
      </c>
      <c r="CU92" s="17">
        <f>CT92*VLOOKUP('Données projet'!$B$13,Paramètres!$A$1:$I$89,3,0)*VLOOKUP('Données projet'!$B$13,Paramètres!$A$1:$I$89,5,0)</f>
        <v>169.46279999999999</v>
      </c>
      <c r="CV92" s="13">
        <f t="shared" si="95"/>
        <v>42.969686502194378</v>
      </c>
      <c r="CW92" s="20">
        <f t="shared" si="67"/>
        <v>369.9865806579885</v>
      </c>
      <c r="CX92" s="59">
        <f t="shared" si="68"/>
        <v>663.31991399132176</v>
      </c>
      <c r="CY92" s="59">
        <f ca="1">AVERAGE(OFFSET($CX$3,0,0,'Données projet'!$E$13+1,1))-AVERAGE(OFFSET($H$3,0,0,'Données projet'!$E$13+1,1))</f>
        <v>157.25319335691853</v>
      </c>
      <c r="CZ92" s="59">
        <f t="shared" si="96"/>
        <v>159.50903492442171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9.4383872502280717</v>
      </c>
      <c r="DG92" s="21">
        <f>EXP(-LN(2)/25)*DG91+(1-EXP(-LN(2)/25))/(LN(2)/25)*Calculateur!DB92*Calculateur!DD92*VLOOKUP('Données projet'!$B$13,Paramètres!$A$1:$I$89,3,0)*0.475*44/12</f>
        <v>6.8082060418057555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16.246593292033829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</v>
      </c>
      <c r="DO92" s="12">
        <f>IF('Données projet'!$A$166&gt;35,DO91+DN92-DW91,IF(A92&lt;'Données projet'!$A$166,$DL$205^A92,IF(A92='Données projet'!$A$166,'Données projet'!$B$166,DO91+DN92-DW91)))</f>
        <v>229.99999999999989</v>
      </c>
      <c r="DP92" s="17">
        <f>DO92*VLOOKUP('Données projet'!$B$14,Paramètres!$A$1:$I$89,3,0)*VLOOKUP('Données projet'!$B$14,Paramètres!$A$1:$I$89,5,0)</f>
        <v>200.92799999999994</v>
      </c>
      <c r="DQ92" s="13">
        <f t="shared" si="97"/>
        <v>49.948059057189042</v>
      </c>
      <c r="DR92" s="20">
        <f t="shared" si="70"/>
        <v>436.94246952460412</v>
      </c>
      <c r="DS92" s="59">
        <f t="shared" si="71"/>
        <v>730.27580285793738</v>
      </c>
      <c r="DT92" s="59">
        <f ca="1">AVERAGE(OFFSET($DS$3,0,0,'Données projet'!$E$14+1,1))-AVERAGE(OFFSET($H$3,0,0,'Données projet'!$E$14+1,1))</f>
        <v>229.5312221178919</v>
      </c>
      <c r="DU92" s="59">
        <f t="shared" si="98"/>
        <v>218.1982095871906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14.177213365899318</v>
      </c>
      <c r="EB92" s="21">
        <f>EXP(-LN(2)/25)*EB91+(1-EXP(-LN(2)/25))/(LN(2)/25)*Calculateur!DW92*Calculateur!DY92*VLOOKUP('Données projet'!$B$14,Paramètres!$A$1:$I$89,3,0)*0.475*44/12</f>
        <v>14.694062261399614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28.871275627298932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5.2606837606837598</v>
      </c>
      <c r="EJ92" s="12">
        <f>IF('Données projet'!$A$192&gt;35,EJ91+EI92-ER91,IF(A92&lt;'Données projet'!$A$192,$EG$205^A92,IF(A92='Données projet'!$A$192,'Données projet'!$B$192,EJ91+EI92-ER91)))</f>
        <v>191.22649572649556</v>
      </c>
      <c r="EK92" s="17">
        <f>EJ92*VLOOKUP('Données projet'!$B$15,Paramètres!$A$1:$I$89,3,0)*VLOOKUP('Données projet'!$B$15,Paramètres!$A$1:$I$89,5,0)</f>
        <v>173.02173333333317</v>
      </c>
      <c r="EL92" s="13">
        <f t="shared" si="99"/>
        <v>43.766095804240145</v>
      </c>
      <c r="EM92" s="20">
        <f t="shared" si="73"/>
        <v>377.57213574794014</v>
      </c>
      <c r="EN92" s="59">
        <f t="shared" si="74"/>
        <v>670.9054690812734</v>
      </c>
      <c r="EO92" s="59">
        <f ca="1">AVERAGE(OFFSET($EN$3,0,0,'Données projet'!$E$15+1,1))-AVERAGE(OFFSET($H$3,0,0,'Données projet'!$E$15+1,1))</f>
        <v>204.39656982394689</v>
      </c>
      <c r="EP92" s="59">
        <f t="shared" si="100"/>
        <v>134.95704640904546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16.620898673116855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16.620898673116855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6.9529914529914549</v>
      </c>
      <c r="FE92" s="12">
        <f>IF('Données projet'!$A$218&gt;35,FE91+FD92-FM91,IF(A92&lt;'Données projet'!$A$218,$FB$205^A92,IF(A92='Données projet'!$A$218,'Données projet'!$B$218,FE91+FD92-FM91)))</f>
        <v>204.52136752136801</v>
      </c>
      <c r="FF92" s="17">
        <f>FE92*VLOOKUP('Données projet'!$B$16,Paramètres!$A$1:$I$89,3,0)*VLOOKUP('Données projet'!$B$16,Paramètres!$A$1:$I$89,5,0)</f>
        <v>175.47933333333378</v>
      </c>
      <c r="FG92" s="13">
        <f t="shared" si="101"/>
        <v>44.314937087475613</v>
      </c>
      <c r="FH92" s="20">
        <f t="shared" si="76"/>
        <v>382.80835431624308</v>
      </c>
      <c r="FI92" s="59">
        <f t="shared" si="77"/>
        <v>676.1416876495764</v>
      </c>
      <c r="FJ92" s="59">
        <f ca="1">AVERAGE(OFFSET($FI$3,0,0,'Données projet'!$E$16+1,1))-AVERAGE(OFFSET($H$3,0,0,'Données projet'!$E$16+1,1))</f>
        <v>199.60585215726968</v>
      </c>
      <c r="FK92" s="59">
        <f t="shared" si="102"/>
        <v>137.37366750114404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6.5538190105444531</v>
      </c>
      <c r="FR92" s="21">
        <f>EXP(-LN(2)/25)*FR91+(1-EXP(-LN(2)/25))/(LN(2)/25)*Calculateur!FM92*Calculateur!FO92*VLOOKUP('Données projet'!$B$16,Paramètres!$A$1:$I$89,3,0)*0.475*44/12</f>
        <v>13.853723150129657</v>
      </c>
      <c r="FS92" s="21">
        <f>EXP(-LN(2)/2)*FS91+(1-EXP(-LN(2)/2))/(LN(2)/2)*FM92*FP92*VLOOKUP('Données projet'!$B$16,Paramètres!$A$1:$I$89,3,0)*0.475*44/12</f>
        <v>1.4882702704730668</v>
      </c>
      <c r="FT92" s="22">
        <f t="shared" si="78"/>
        <v>21.895812431147178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8.7211538461538485</v>
      </c>
      <c r="N93" s="13">
        <f>IF('Données projet'!$A$36&gt;35,N92+M93-V92,IF(A93&lt;'Données projet'!$A$36,$K$205^A93,IF(A93='Données projet'!$A$36,'Données projet'!$B$36,N92+M93-V92)))</f>
        <v>337.22884615384669</v>
      </c>
      <c r="O93" s="13">
        <f>N93*VLOOKUP('Données projet'!$B$9,Paramètres!$A$1:$I$89,3,0)*VLOOKUP('Données projet'!$B$9,Paramètres!$A$1:$I$89,5,0)</f>
        <v>157.82310000000024</v>
      </c>
      <c r="P93" s="13">
        <f t="shared" si="87"/>
        <v>40.351118750694802</v>
      </c>
      <c r="Q93" s="20">
        <f t="shared" si="54"/>
        <v>345.15343099079388</v>
      </c>
      <c r="R93" s="59">
        <f t="shared" si="55"/>
        <v>638.48676432412719</v>
      </c>
      <c r="S93" s="59">
        <f ca="1">AVERAGE(OFFSET($R$3,0,0,'Données projet'!$E$9+1,1))-AVERAGE(OFFSET($H$3,0,0,'Données projet'!$E$9+1,1))</f>
        <v>164.93438869099657</v>
      </c>
      <c r="T93" s="59">
        <f t="shared" si="88"/>
        <v>112.28641356594233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47.174594107521393</v>
      </c>
      <c r="AA93" s="21">
        <f>EXP(-LN(2)/25)*AA92+(1-EXP(-LN(2)/25))/(LN(2)/25)*Calculateur!V93*Calculateur!X93*VLOOKUP('Données projet'!$B$9,Paramètres!$A$1:$I$89,3,0)*0.475*44/12</f>
        <v>20.990882402197617</v>
      </c>
      <c r="AB93" s="21">
        <f>EXP(-LN(2)/2)*AB92+(1-EXP(-LN(2)/2))/(LN(2)/2)*V93*Y93*VLOOKUP('Données projet'!$B$9,Paramètres!$A$1:$I$89,3,0)*0.475*44/12</f>
        <v>1.0719795004705739</v>
      </c>
      <c r="AC93" s="22">
        <f t="shared" si="57"/>
        <v>69.23745601018959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273.81843612193632</v>
      </c>
      <c r="AO93" s="59">
        <f t="shared" si="90"/>
        <v>241.86405419073208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-6.3550942286383367E-14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271.42245454555501</v>
      </c>
      <c r="BJ93" s="59">
        <f t="shared" si="92"/>
        <v>362.63944425429077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113.32854098128254</v>
      </c>
      <c r="BQ93" s="21">
        <f>EXP(-LN(2)/25)*BQ92+(1-EXP(-LN(2)/25))/(LN(2)/25)*Calculateur!BL93*Calculateur!BN93*VLOOKUP('Données projet'!$B$11,Paramètres!$A$1:$I$89,3,0)*0.475*44/12</f>
        <v>21.829228880672847</v>
      </c>
      <c r="BR93" s="21">
        <f>EXP(-LN(2)/2)*BR92+(1-EXP(-LN(2)/2))/(LN(2)/2)*BL93*BO93*VLOOKUP('Données projet'!$B$11,Paramètres!$A$1:$I$89,3,0)*0.475*44/12</f>
        <v>1.8429328701387854E-4</v>
      </c>
      <c r="BS93" s="22">
        <f t="shared" si="63"/>
        <v>135.15795415524241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-5.6843418860808015E-14</v>
      </c>
      <c r="BZ93" s="13">
        <f>BY93*VLOOKUP('Données projet'!$B$12,Paramètres!$A$1:$I$89,3,0)*VLOOKUP('Données projet'!$B$12,Paramètres!$A$1:$I$89,5,0)</f>
        <v>-3.1036506698001178E-14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154.35821558431712</v>
      </c>
      <c r="CE93" s="59">
        <f t="shared" si="94"/>
        <v>263.86720460501306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25.053777260884843</v>
      </c>
      <c r="CL93" s="21">
        <f>EXP(-LN(2)/25)*CL92+(1-EXP(-LN(2)/25))/(LN(2)/25)*Calculateur!CG93*Calculateur!CI93*VLOOKUP('Données projet'!$B$12,Paramètres!$A$1:$I$89,3,0)*0.475*44/12</f>
        <v>37.481024443828503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62.534801704713345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213</v>
      </c>
      <c r="CU93" s="17">
        <f>CT93*VLOOKUP('Données projet'!$B$13,Paramètres!$A$1:$I$89,3,0)*VLOOKUP('Données projet'!$B$13,Paramètres!$A$1:$I$89,5,0)</f>
        <v>169.46279999999999</v>
      </c>
      <c r="CV93" s="13">
        <f t="shared" si="95"/>
        <v>42.969686502194378</v>
      </c>
      <c r="CW93" s="20">
        <f t="shared" si="67"/>
        <v>369.9865806579885</v>
      </c>
      <c r="CX93" s="59">
        <f t="shared" si="68"/>
        <v>663.31991399132176</v>
      </c>
      <c r="CY93" s="59">
        <f ca="1">AVERAGE(OFFSET($CX$3,0,0,'Données projet'!$E$13+1,1))-AVERAGE(OFFSET($H$3,0,0,'Données projet'!$E$13+1,1))</f>
        <v>157.25319335691853</v>
      </c>
      <c r="CZ93" s="59">
        <f t="shared" si="96"/>
        <v>159.50903492442171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9.2533062330988809</v>
      </c>
      <c r="DG93" s="21">
        <f>EXP(-LN(2)/25)*DG92+(1-EXP(-LN(2)/25))/(LN(2)/25)*Calculateur!DB93*Calculateur!DD93*VLOOKUP('Données projet'!$B$13,Paramètres!$A$1:$I$89,3,0)*0.475*44/12</f>
        <v>6.6220352895645815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15.875341522663462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233</v>
      </c>
      <c r="DM93" s="12">
        <f>VLOOKUP(A93,'Données projet'!$A$165:$I$185,9,0)</f>
        <v>3</v>
      </c>
      <c r="DN93" s="12">
        <f t="array" ref="DN93">INDEX(DM:DM,MIN(IF(ISNUMBER(DM93:DM289),ROW(DM93:DM289),"")))</f>
        <v>3</v>
      </c>
      <c r="DO93" s="12">
        <f>IF('Données projet'!$A$166&gt;35,DO92+DN93-DW92,IF(A93&lt;'Données projet'!$A$166,$DL$205^A93,IF(A93='Données projet'!$A$166,'Données projet'!$B$166,DO92+DN93-DW92)))</f>
        <v>232.99999999999989</v>
      </c>
      <c r="DP93" s="17">
        <f>DO93*VLOOKUP('Données projet'!$B$14,Paramètres!$A$1:$I$89,3,0)*VLOOKUP('Données projet'!$B$14,Paramètres!$A$1:$I$89,5,0)</f>
        <v>203.54879999999994</v>
      </c>
      <c r="DQ93" s="13">
        <f t="shared" si="97"/>
        <v>50.523286400023487</v>
      </c>
      <c r="DR93" s="20">
        <f t="shared" si="70"/>
        <v>442.5088838133741</v>
      </c>
      <c r="DS93" s="59">
        <f t="shared" si="71"/>
        <v>735.84221714670741</v>
      </c>
      <c r="DT93" s="59">
        <f ca="1">AVERAGE(OFFSET($DS$3,0,0,'Données projet'!$E$14+1,1))-AVERAGE(OFFSET($H$3,0,0,'Données projet'!$E$14+1,1))</f>
        <v>229.5312221178919</v>
      </c>
      <c r="DU93" s="59">
        <f t="shared" si="98"/>
        <v>218.1982095871906</v>
      </c>
      <c r="DV93" s="15">
        <f>IF(ISNA(VLOOKUP(A93,'Données projet'!$A$165:$I$185,3,0)),0,VLOOKUP(A93,'Données projet'!$A$165:$I$185,3,0))</f>
        <v>15</v>
      </c>
      <c r="DW93" s="15" t="str">
        <f>IF(ISNA(VLOOKUP(A93,'Données projet'!$A$165:$I$185,4,0)),0,VLOOKUP(A93,'Données projet'!$A$165:$I$185,4,0))</f>
        <v>11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0.129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16.639973924103579</v>
      </c>
      <c r="EB93" s="21">
        <f>EXP(-LN(2)/25)*EB92+(1-EXP(-LN(2)/25))/(LN(2)/25)*Calculateur!DW93*Calculateur!DY93*VLOOKUP('Données projet'!$B$14,Paramètres!$A$1:$I$89,3,0)*0.475*44/12</f>
        <v>15.65724016654147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32.297214090645049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5.2606837606837598</v>
      </c>
      <c r="EJ93" s="12">
        <f>IF('Données projet'!$A$192&gt;35,EJ92+EI93-ER92,IF(A93&lt;'Données projet'!$A$192,$EG$205^A93,IF(A93='Données projet'!$A$192,'Données projet'!$B$192,EJ92+EI93-ER92)))</f>
        <v>196.4871794871793</v>
      </c>
      <c r="EK93" s="17">
        <f>EJ93*VLOOKUP('Données projet'!$B$15,Paramètres!$A$1:$I$89,3,0)*VLOOKUP('Données projet'!$B$15,Paramètres!$A$1:$I$89,5,0)</f>
        <v>177.78159999999983</v>
      </c>
      <c r="EL93" s="13">
        <f t="shared" si="99"/>
        <v>44.828277386743572</v>
      </c>
      <c r="EM93" s="20">
        <f t="shared" si="73"/>
        <v>387.71220311524468</v>
      </c>
      <c r="EN93" s="59">
        <f t="shared" si="74"/>
        <v>681.04553644857799</v>
      </c>
      <c r="EO93" s="59">
        <f ca="1">AVERAGE(OFFSET($EN$3,0,0,'Données projet'!$E$15+1,1))-AVERAGE(OFFSET($H$3,0,0,'Données projet'!$E$15+1,1))</f>
        <v>204.39656982394689</v>
      </c>
      <c r="EP93" s="59">
        <f t="shared" si="100"/>
        <v>134.95704640904546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16.294972987884204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16.294972987884204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6.9529914529914549</v>
      </c>
      <c r="FE93" s="12">
        <f>IF('Données projet'!$A$218&gt;35,FE92+FD93-FM92,IF(A93&lt;'Données projet'!$A$218,$FB$205^A93,IF(A93='Données projet'!$A$218,'Données projet'!$B$218,FE92+FD93-FM92)))</f>
        <v>211.47435897435946</v>
      </c>
      <c r="FF93" s="17">
        <f>FE93*VLOOKUP('Données projet'!$B$16,Paramètres!$A$1:$I$89,3,0)*VLOOKUP('Données projet'!$B$16,Paramètres!$A$1:$I$89,5,0)</f>
        <v>181.44500000000045</v>
      </c>
      <c r="FG93" s="13">
        <f t="shared" si="101"/>
        <v>45.64352228728098</v>
      </c>
      <c r="FH93" s="20">
        <f t="shared" si="76"/>
        <v>395.51250965034842</v>
      </c>
      <c r="FI93" s="59">
        <f t="shared" si="77"/>
        <v>688.84584298368168</v>
      </c>
      <c r="FJ93" s="59">
        <f ca="1">AVERAGE(OFFSET($FI$3,0,0,'Données projet'!$E$16+1,1))-AVERAGE(OFFSET($H$3,0,0,'Données projet'!$E$16+1,1))</f>
        <v>199.60585215726968</v>
      </c>
      <c r="FK93" s="59">
        <f t="shared" si="102"/>
        <v>137.37366750114404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6.4253026171825587</v>
      </c>
      <c r="FR93" s="21">
        <f>EXP(-LN(2)/25)*FR92+(1-EXP(-LN(2)/25))/(LN(2)/25)*Calculateur!FM93*Calculateur!FO93*VLOOKUP('Données projet'!$B$16,Paramètres!$A$1:$I$89,3,0)*0.475*44/12</f>
        <v>13.474892362053724</v>
      </c>
      <c r="FS93" s="21">
        <f>EXP(-LN(2)/2)*FS92+(1-EXP(-LN(2)/2))/(LN(2)/2)*FM93*FP93*VLOOKUP('Données projet'!$B$16,Paramètres!$A$1:$I$89,3,0)*0.475*44/12</f>
        <v>1.0523660004898427</v>
      </c>
      <c r="FT93" s="22">
        <f t="shared" si="78"/>
        <v>20.952560979726126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8.7211538461538485</v>
      </c>
      <c r="N94" s="13">
        <f>IF('Données projet'!$A$36&gt;35,N93+M94-V93,IF(A94&lt;'Données projet'!$A$36,$K$205^A94,IF(A94='Données projet'!$A$36,'Données projet'!$B$36,N93+M94-V93)))</f>
        <v>345.95000000000056</v>
      </c>
      <c r="O94" s="13">
        <f>N94*VLOOKUP('Données projet'!$B$9,Paramètres!$A$1:$I$89,3,0)*VLOOKUP('Données projet'!$B$9,Paramètres!$A$1:$I$89,5,0)</f>
        <v>161.90460000000027</v>
      </c>
      <c r="P94" s="13">
        <f t="shared" si="87"/>
        <v>41.27180694550065</v>
      </c>
      <c r="Q94" s="20">
        <f t="shared" si="54"/>
        <v>353.86557543008075</v>
      </c>
      <c r="R94" s="59">
        <f t="shared" si="55"/>
        <v>647.19890876341401</v>
      </c>
      <c r="S94" s="59">
        <f ca="1">AVERAGE(OFFSET($R$3,0,0,'Données projet'!$E$9+1,1))-AVERAGE(OFFSET($H$3,0,0,'Données projet'!$E$9+1,1))</f>
        <v>164.93438869099657</v>
      </c>
      <c r="T94" s="59">
        <f t="shared" si="88"/>
        <v>112.28641356594233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46.249529090734143</v>
      </c>
      <c r="AA94" s="21">
        <f>EXP(-LN(2)/25)*AA93+(1-EXP(-LN(2)/25))/(LN(2)/25)*Calculateur!V94*Calculateur!X94*VLOOKUP('Données projet'!$B$9,Paramètres!$A$1:$I$89,3,0)*0.475*44/12</f>
        <v>20.416885619046994</v>
      </c>
      <c r="AB94" s="21">
        <f>EXP(-LN(2)/2)*AB93+(1-EXP(-LN(2)/2))/(LN(2)/2)*V94*Y94*VLOOKUP('Données projet'!$B$9,Paramètres!$A$1:$I$89,3,0)*0.475*44/12</f>
        <v>0.75800397407571063</v>
      </c>
      <c r="AC94" s="22">
        <f t="shared" si="57"/>
        <v>67.424418683856842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273.81843612193632</v>
      </c>
      <c r="AO94" s="59">
        <f t="shared" si="90"/>
        <v>241.86405419073208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-6.3550942286383367E-14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271.42245454555501</v>
      </c>
      <c r="BJ94" s="59">
        <f t="shared" si="92"/>
        <v>362.63944425429077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111.1062374162242</v>
      </c>
      <c r="BQ94" s="21">
        <f>EXP(-LN(2)/25)*BQ93+(1-EXP(-LN(2)/25))/(LN(2)/25)*Calculateur!BL94*Calculateur!BN94*VLOOKUP('Données projet'!$B$11,Paramètres!$A$1:$I$89,3,0)*0.475*44/12</f>
        <v>21.232307468981592</v>
      </c>
      <c r="BR94" s="21">
        <f>EXP(-LN(2)/2)*BR93+(1-EXP(-LN(2)/2))/(LN(2)/2)*BL94*BO94*VLOOKUP('Données projet'!$B$11,Paramètres!$A$1:$I$89,3,0)*0.475*44/12</f>
        <v>1.3031503297467222E-4</v>
      </c>
      <c r="BS94" s="22">
        <f t="shared" si="63"/>
        <v>132.33867520023878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-3.1036506698001178E-14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154.35821558431712</v>
      </c>
      <c r="CE94" s="59">
        <f t="shared" si="94"/>
        <v>263.86720460501306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24.562487970094118</v>
      </c>
      <c r="CL94" s="21">
        <f>EXP(-LN(2)/25)*CL93+(1-EXP(-LN(2)/25))/(LN(2)/25)*Calculateur!CG94*Calculateur!CI94*VLOOKUP('Données projet'!$B$12,Paramètres!$A$1:$I$89,3,0)*0.475*44/12</f>
        <v>36.4561038593706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61.018591829464718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213</v>
      </c>
      <c r="CU94" s="17">
        <f>CT94*VLOOKUP('Données projet'!$B$13,Paramètres!$A$1:$I$89,3,0)*VLOOKUP('Données projet'!$B$13,Paramètres!$A$1:$I$89,5,0)</f>
        <v>169.46279999999999</v>
      </c>
      <c r="CV94" s="13">
        <f t="shared" si="95"/>
        <v>42.969686502194378</v>
      </c>
      <c r="CW94" s="20">
        <f t="shared" si="67"/>
        <v>369.9865806579885</v>
      </c>
      <c r="CX94" s="59">
        <f t="shared" si="68"/>
        <v>663.31991399132176</v>
      </c>
      <c r="CY94" s="59">
        <f ca="1">AVERAGE(OFFSET($CX$3,0,0,'Données projet'!$E$13+1,1))-AVERAGE(OFFSET($H$3,0,0,'Données projet'!$E$13+1,1))</f>
        <v>157.25319335691853</v>
      </c>
      <c r="CZ94" s="59">
        <f t="shared" si="96"/>
        <v>159.50903492442171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9.0718545418273191</v>
      </c>
      <c r="DG94" s="21">
        <f>EXP(-LN(2)/25)*DG93+(1-EXP(-LN(2)/25))/(LN(2)/25)*Calculateur!DB94*Calculateur!DD94*VLOOKUP('Données projet'!$B$13,Paramètres!$A$1:$I$89,3,0)*0.475*44/12</f>
        <v>6.4409553863337372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15.512809928161056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2.8</v>
      </c>
      <c r="DO94" s="12">
        <f>IF('Données projet'!$A$166&gt;35,DO93+DN94-DW93,IF(A94&lt;'Données projet'!$A$166,$DL$205^A94,IF(A94='Données projet'!$A$166,'Données projet'!$B$166,DO93+DN94-DW93)))</f>
        <v>224.7999999999999</v>
      </c>
      <c r="DP94" s="17">
        <f>DO94*VLOOKUP('Données projet'!$B$14,Paramètres!$A$1:$I$89,3,0)*VLOOKUP('Données projet'!$B$14,Paramètres!$A$1:$I$89,5,0)</f>
        <v>196.38527999999994</v>
      </c>
      <c r="DQ94" s="13">
        <f t="shared" si="97"/>
        <v>48.948920378863825</v>
      </c>
      <c r="DR94" s="20">
        <f t="shared" si="70"/>
        <v>427.29039899318769</v>
      </c>
      <c r="DS94" s="59">
        <f t="shared" si="71"/>
        <v>720.62373232652101</v>
      </c>
      <c r="DT94" s="59">
        <f ca="1">AVERAGE(OFFSET($DS$3,0,0,'Données projet'!$E$14+1,1))-AVERAGE(OFFSET($H$3,0,0,'Données projet'!$E$14+1,1))</f>
        <v>229.5312221178919</v>
      </c>
      <c r="DU94" s="59">
        <f t="shared" si="98"/>
        <v>218.1982095871906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16.313674184833832</v>
      </c>
      <c r="EB94" s="21">
        <f>EXP(-LN(2)/25)*EB93+(1-EXP(-LN(2)/25))/(LN(2)/25)*Calculateur!DW94*Calculateur!DY94*VLOOKUP('Données projet'!$B$14,Paramètres!$A$1:$I$89,3,0)*0.475*44/12</f>
        <v>15.229092110808919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31.54276629564275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5.2606837606837598</v>
      </c>
      <c r="EJ94" s="12">
        <f>IF('Données projet'!$A$192&gt;35,EJ93+EI94-ER93,IF(A94&lt;'Données projet'!$A$192,$EG$205^A94,IF(A94='Données projet'!$A$192,'Données projet'!$B$192,EJ93+EI94-ER93)))</f>
        <v>201.74786324786305</v>
      </c>
      <c r="EK94" s="17">
        <f>EJ94*VLOOKUP('Données projet'!$B$15,Paramètres!$A$1:$I$89,3,0)*VLOOKUP('Données projet'!$B$15,Paramètres!$A$1:$I$89,5,0)</f>
        <v>182.54146666666648</v>
      </c>
      <c r="EL94" s="13">
        <f t="shared" si="99"/>
        <v>45.887153462840786</v>
      </c>
      <c r="EM94" s="20">
        <f t="shared" si="73"/>
        <v>397.84651339222506</v>
      </c>
      <c r="EN94" s="59">
        <f t="shared" si="74"/>
        <v>691.17984672555838</v>
      </c>
      <c r="EO94" s="59">
        <f ca="1">AVERAGE(OFFSET($EN$3,0,0,'Données projet'!$E$15+1,1))-AVERAGE(OFFSET($H$3,0,0,'Données projet'!$E$15+1,1))</f>
        <v>204.39656982394689</v>
      </c>
      <c r="EP94" s="59">
        <f t="shared" si="100"/>
        <v>134.95704640904546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15.975438506543927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15.975438506543927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6.9529914529914549</v>
      </c>
      <c r="FE94" s="12">
        <f>IF('Données projet'!$A$218&gt;35,FE93+FD94-FM93,IF(A94&lt;'Données projet'!$A$218,$FB$205^A94,IF(A94='Données projet'!$A$218,'Données projet'!$B$218,FE93+FD94-FM93)))</f>
        <v>218.42735042735092</v>
      </c>
      <c r="FF94" s="17">
        <f>FE94*VLOOKUP('Données projet'!$B$16,Paramètres!$A$1:$I$89,3,0)*VLOOKUP('Données projet'!$B$16,Paramètres!$A$1:$I$89,5,0)</f>
        <v>187.41066666666711</v>
      </c>
      <c r="FG94" s="13">
        <f t="shared" si="101"/>
        <v>46.967031643087516</v>
      </c>
      <c r="FH94" s="20">
        <f t="shared" si="76"/>
        <v>408.20782455615603</v>
      </c>
      <c r="FI94" s="59">
        <f t="shared" si="77"/>
        <v>701.54115788948934</v>
      </c>
      <c r="FJ94" s="59">
        <f ca="1">AVERAGE(OFFSET($FI$3,0,0,'Données projet'!$E$16+1,1))-AVERAGE(OFFSET($H$3,0,0,'Données projet'!$E$16+1,1))</f>
        <v>199.60585215726968</v>
      </c>
      <c r="FK94" s="59">
        <f t="shared" si="102"/>
        <v>137.37366750114404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6.299306351907231</v>
      </c>
      <c r="FR94" s="21">
        <f>EXP(-LN(2)/25)*FR93+(1-EXP(-LN(2)/25))/(LN(2)/25)*Calculateur!FM94*Calculateur!FO94*VLOOKUP('Données projet'!$B$16,Paramètres!$A$1:$I$89,3,0)*0.475*44/12</f>
        <v>13.106420721799573</v>
      </c>
      <c r="FS94" s="21">
        <f>EXP(-LN(2)/2)*FS93+(1-EXP(-LN(2)/2))/(LN(2)/2)*FM94*FP94*VLOOKUP('Données projet'!$B$16,Paramètres!$A$1:$I$89,3,0)*0.475*44/12</f>
        <v>0.74413513523653341</v>
      </c>
      <c r="FT94" s="22">
        <f t="shared" si="78"/>
        <v>20.149862208943336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8.7211538461538485</v>
      </c>
      <c r="N95" s="13">
        <f>IF('Données projet'!$A$36&gt;35,N94+M95-V94,IF(A95&lt;'Données projet'!$A$36,$K$205^A95,IF(A95='Données projet'!$A$36,'Données projet'!$B$36,N94+M95-V94)))</f>
        <v>354.67115384615443</v>
      </c>
      <c r="O95" s="13">
        <f>N95*VLOOKUP('Données projet'!$B$9,Paramètres!$A$1:$I$89,3,0)*VLOOKUP('Données projet'!$B$9,Paramètres!$A$1:$I$89,5,0)</f>
        <v>165.98610000000025</v>
      </c>
      <c r="P95" s="13">
        <f t="shared" si="87"/>
        <v>42.189797166364926</v>
      </c>
      <c r="Q95" s="20">
        <f t="shared" si="54"/>
        <v>362.57302089808604</v>
      </c>
      <c r="R95" s="59">
        <f t="shared" si="55"/>
        <v>655.9063542314193</v>
      </c>
      <c r="S95" s="59">
        <f ca="1">AVERAGE(OFFSET($R$3,0,0,'Données projet'!$E$9+1,1))-AVERAGE(OFFSET($H$3,0,0,'Données projet'!$E$9+1,1))</f>
        <v>164.93438869099657</v>
      </c>
      <c r="T95" s="59">
        <f t="shared" si="88"/>
        <v>112.28641356594233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45.342604034692144</v>
      </c>
      <c r="AA95" s="21">
        <f>EXP(-LN(2)/25)*AA94+(1-EXP(-LN(2)/25))/(LN(2)/25)*Calculateur!V95*Calculateur!X95*VLOOKUP('Données projet'!$B$9,Paramètres!$A$1:$I$89,3,0)*0.475*44/12</f>
        <v>19.858584808116802</v>
      </c>
      <c r="AB95" s="21">
        <f>EXP(-LN(2)/2)*AB94+(1-EXP(-LN(2)/2))/(LN(2)/2)*V95*Y95*VLOOKUP('Données projet'!$B$9,Paramètres!$A$1:$I$89,3,0)*0.475*44/12</f>
        <v>0.53598975023528694</v>
      </c>
      <c r="AC95" s="22">
        <f t="shared" si="57"/>
        <v>65.737178593044234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273.81843612193632</v>
      </c>
      <c r="AO95" s="59">
        <f t="shared" si="90"/>
        <v>241.86405419073208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-6.3550942286383367E-14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271.42245454555501</v>
      </c>
      <c r="BJ95" s="59">
        <f t="shared" si="92"/>
        <v>362.63944425429077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108.92751186860532</v>
      </c>
      <c r="BQ95" s="21">
        <f>EXP(-LN(2)/25)*BQ94+(1-EXP(-LN(2)/25))/(LN(2)/25)*Calculateur!BL95*Calculateur!BN95*VLOOKUP('Données projet'!$B$11,Paramètres!$A$1:$I$89,3,0)*0.475*44/12</f>
        <v>20.651708904683769</v>
      </c>
      <c r="BR95" s="21">
        <f>EXP(-LN(2)/2)*BR94+(1-EXP(-LN(2)/2))/(LN(2)/2)*BL95*BO95*VLOOKUP('Données projet'!$B$11,Paramètres!$A$1:$I$89,3,0)*0.475*44/12</f>
        <v>9.2146643506939272E-5</v>
      </c>
      <c r="BS95" s="22">
        <f t="shared" si="63"/>
        <v>129.57931291993259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-3.1036506698001178E-14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154.35821558431712</v>
      </c>
      <c r="CE95" s="59">
        <f t="shared" si="94"/>
        <v>263.86720460501306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24.080832562638921</v>
      </c>
      <c r="CL95" s="21">
        <f>EXP(-LN(2)/25)*CL94+(1-EXP(-LN(2)/25))/(LN(2)/25)*Calculateur!CG95*Calculateur!CI95*VLOOKUP('Données projet'!$B$12,Paramètres!$A$1:$I$89,3,0)*0.475*44/12</f>
        <v>35.459209782192929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59.540042344831846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213</v>
      </c>
      <c r="CU95" s="17">
        <f>CT95*VLOOKUP('Données projet'!$B$13,Paramètres!$A$1:$I$89,3,0)*VLOOKUP('Données projet'!$B$13,Paramètres!$A$1:$I$89,5,0)</f>
        <v>169.46279999999999</v>
      </c>
      <c r="CV95" s="13">
        <f t="shared" si="95"/>
        <v>42.969686502194378</v>
      </c>
      <c r="CW95" s="20">
        <f t="shared" si="67"/>
        <v>369.9865806579885</v>
      </c>
      <c r="CX95" s="59">
        <f t="shared" si="68"/>
        <v>663.31991399132176</v>
      </c>
      <c r="CY95" s="59">
        <f ca="1">AVERAGE(OFFSET($CX$3,0,0,'Données projet'!$E$13+1,1))-AVERAGE(OFFSET($H$3,0,0,'Données projet'!$E$13+1,1))</f>
        <v>157.25319335691853</v>
      </c>
      <c r="CZ95" s="59">
        <f t="shared" si="96"/>
        <v>159.50903492442171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8.8939610075469897</v>
      </c>
      <c r="DG95" s="21">
        <f>EXP(-LN(2)/25)*DG94+(1-EXP(-LN(2)/25))/(LN(2)/25)*Calculateur!DB95*Calculateur!DD95*VLOOKUP('Données projet'!$B$13,Paramètres!$A$1:$I$89,3,0)*0.475*44/12</f>
        <v>6.2648271225793186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15.158788130126307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2.8</v>
      </c>
      <c r="DO95" s="12">
        <f>IF('Données projet'!$A$166&gt;35,DO94+DN95-DW94,IF(A95&lt;'Données projet'!$A$166,$DL$205^A95,IF(A95='Données projet'!$A$166,'Données projet'!$B$166,DO94+DN95-DW94)))</f>
        <v>227.59999999999991</v>
      </c>
      <c r="DP95" s="17">
        <f>DO95*VLOOKUP('Données projet'!$B$14,Paramètres!$A$1:$I$89,3,0)*VLOOKUP('Données projet'!$B$14,Paramètres!$A$1:$I$89,5,0)</f>
        <v>198.83135999999993</v>
      </c>
      <c r="DQ95" s="13">
        <f t="shared" si="97"/>
        <v>49.487248492242287</v>
      </c>
      <c r="DR95" s="20">
        <f t="shared" si="70"/>
        <v>432.48824312398847</v>
      </c>
      <c r="DS95" s="59">
        <f t="shared" si="71"/>
        <v>725.82157645732173</v>
      </c>
      <c r="DT95" s="59">
        <f ca="1">AVERAGE(OFFSET($DS$3,0,0,'Données projet'!$E$14+1,1))-AVERAGE(OFFSET($H$3,0,0,'Données projet'!$E$14+1,1))</f>
        <v>229.5312221178919</v>
      </c>
      <c r="DU95" s="59">
        <f t="shared" si="98"/>
        <v>218.1982095871906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15.993772984427977</v>
      </c>
      <c r="EB95" s="21">
        <f>EXP(-LN(2)/25)*EB94+(1-EXP(-LN(2)/25))/(LN(2)/25)*Calculateur!DW95*Calculateur!DY95*VLOOKUP('Données projet'!$B$14,Paramètres!$A$1:$I$89,3,0)*0.475*44/12</f>
        <v>14.812651786175701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30.806424770603677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5.2606837606837598</v>
      </c>
      <c r="EJ95" s="12">
        <f>IF('Données projet'!$A$192&gt;35,EJ94+EI95-ER94,IF(A95&lt;'Données projet'!$A$192,$EG$205^A95,IF(A95='Données projet'!$A$192,'Données projet'!$B$192,EJ94+EI95-ER94)))</f>
        <v>207.0085470085468</v>
      </c>
      <c r="EK95" s="17">
        <f>EJ95*VLOOKUP('Données projet'!$B$15,Paramètres!$A$1:$I$89,3,0)*VLOOKUP('Données projet'!$B$15,Paramètres!$A$1:$I$89,5,0)</f>
        <v>187.30133333333313</v>
      </c>
      <c r="EL95" s="13">
        <f t="shared" si="99"/>
        <v>46.942820134391475</v>
      </c>
      <c r="EM95" s="20">
        <f t="shared" si="73"/>
        <v>407.97523395628696</v>
      </c>
      <c r="EN95" s="59">
        <f t="shared" si="74"/>
        <v>701.30856728962021</v>
      </c>
      <c r="EO95" s="59">
        <f ca="1">AVERAGE(OFFSET($EN$3,0,0,'Données projet'!$E$15+1,1))-AVERAGE(OFFSET($H$3,0,0,'Données projet'!$E$15+1,1))</f>
        <v>204.39656982394689</v>
      </c>
      <c r="EP95" s="59">
        <f t="shared" si="100"/>
        <v>134.95704640904546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15.662169901485944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15.662169901485944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6.9529914529914549</v>
      </c>
      <c r="FE95" s="12">
        <f>IF('Données projet'!$A$218&gt;35,FE94+FD95-FM94,IF(A95&lt;'Données projet'!$A$218,$FB$205^A95,IF(A95='Données projet'!$A$218,'Données projet'!$B$218,FE94+FD95-FM94)))</f>
        <v>225.38034188034237</v>
      </c>
      <c r="FF95" s="17">
        <f>FE95*VLOOKUP('Données projet'!$B$16,Paramètres!$A$1:$I$89,3,0)*VLOOKUP('Données projet'!$B$16,Paramètres!$A$1:$I$89,5,0)</f>
        <v>193.37633333333378</v>
      </c>
      <c r="FG95" s="13">
        <f t="shared" si="101"/>
        <v>48.285645264687034</v>
      </c>
      <c r="FH95" s="20">
        <f t="shared" si="76"/>
        <v>420.89461272488626</v>
      </c>
      <c r="FI95" s="59">
        <f t="shared" si="77"/>
        <v>714.22794605821957</v>
      </c>
      <c r="FJ95" s="59">
        <f ca="1">AVERAGE(OFFSET($FI$3,0,0,'Données projet'!$E$16+1,1))-AVERAGE(OFFSET($H$3,0,0,'Données projet'!$E$16+1,1))</f>
        <v>199.60585215726968</v>
      </c>
      <c r="FK95" s="59">
        <f t="shared" si="102"/>
        <v>137.37366750114404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6.175780796543819</v>
      </c>
      <c r="FR95" s="21">
        <f>EXP(-LN(2)/25)*FR94+(1-EXP(-LN(2)/25))/(LN(2)/25)*Calculateur!FM95*Calculateur!FO95*VLOOKUP('Données projet'!$B$16,Paramètres!$A$1:$I$89,3,0)*0.475*44/12</f>
        <v>12.748024957925253</v>
      </c>
      <c r="FS95" s="21">
        <f>EXP(-LN(2)/2)*FS94+(1-EXP(-LN(2)/2))/(LN(2)/2)*FM95*FP95*VLOOKUP('Données projet'!$B$16,Paramètres!$A$1:$I$89,3,0)*0.475*44/12</f>
        <v>0.52618300024492137</v>
      </c>
      <c r="FT95" s="22">
        <f t="shared" si="78"/>
        <v>19.449988754713992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8.7211538461538485</v>
      </c>
      <c r="N96" s="13">
        <f>IF('Données projet'!$A$36&gt;35,N95+M96-V95,IF(A96&lt;'Données projet'!$A$36,$K$205^A96,IF(A96='Données projet'!$A$36,'Données projet'!$B$36,N95+M96-V95)))</f>
        <v>363.39230769230829</v>
      </c>
      <c r="O96" s="13">
        <f>N96*VLOOKUP('Données projet'!$B$9,Paramètres!$A$1:$I$89,3,0)*VLOOKUP('Données projet'!$B$9,Paramètres!$A$1:$I$89,5,0)</f>
        <v>170.06760000000031</v>
      </c>
      <c r="P96" s="13">
        <f t="shared" si="87"/>
        <v>43.105163386216866</v>
      </c>
      <c r="Q96" s="20">
        <f t="shared" si="54"/>
        <v>371.27589623099493</v>
      </c>
      <c r="R96" s="59">
        <f t="shared" si="55"/>
        <v>664.60922956432819</v>
      </c>
      <c r="S96" s="59">
        <f ca="1">AVERAGE(OFFSET($R$3,0,0,'Données projet'!$E$9+1,1))-AVERAGE(OFFSET($H$3,0,0,'Données projet'!$E$9+1,1))</f>
        <v>164.93438869099657</v>
      </c>
      <c r="T96" s="59">
        <f t="shared" si="88"/>
        <v>112.28641356594233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44.453463225829466</v>
      </c>
      <c r="AA96" s="21">
        <f>EXP(-LN(2)/25)*AA95+(1-EXP(-LN(2)/25))/(LN(2)/25)*Calculateur!V96*Calculateur!X96*VLOOKUP('Données projet'!$B$9,Paramètres!$A$1:$I$89,3,0)*0.475*44/12</f>
        <v>19.31555076222126</v>
      </c>
      <c r="AB96" s="21">
        <f>EXP(-LN(2)/2)*AB95+(1-EXP(-LN(2)/2))/(LN(2)/2)*V96*Y96*VLOOKUP('Données projet'!$B$9,Paramètres!$A$1:$I$89,3,0)*0.475*44/12</f>
        <v>0.37900198703785531</v>
      </c>
      <c r="AC96" s="22">
        <f t="shared" si="57"/>
        <v>64.148015975088583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273.81843612193632</v>
      </c>
      <c r="AO96" s="59">
        <f t="shared" si="90"/>
        <v>241.86405419073208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-6.3550942286383367E-14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271.42245454555501</v>
      </c>
      <c r="BJ96" s="59">
        <f t="shared" si="92"/>
        <v>362.63944425429077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106.79150980008389</v>
      </c>
      <c r="BQ96" s="21">
        <f>EXP(-LN(2)/25)*BQ95+(1-EXP(-LN(2)/25))/(LN(2)/25)*Calculateur!BL96*Calculateur!BN96*VLOOKUP('Données projet'!$B$11,Paramètres!$A$1:$I$89,3,0)*0.475*44/12</f>
        <v>20.086986838659019</v>
      </c>
      <c r="BR96" s="21">
        <f>EXP(-LN(2)/2)*BR95+(1-EXP(-LN(2)/2))/(LN(2)/2)*BL96*BO96*VLOOKUP('Données projet'!$B$11,Paramètres!$A$1:$I$89,3,0)*0.475*44/12</f>
        <v>6.5157516487336108E-5</v>
      </c>
      <c r="BS96" s="22">
        <f t="shared" si="63"/>
        <v>126.87856179625939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-3.1036506698001178E-14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154.35821558431712</v>
      </c>
      <c r="CE96" s="59">
        <f t="shared" si="94"/>
        <v>263.86720460501306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23.608622123943128</v>
      </c>
      <c r="CL96" s="21">
        <f>EXP(-LN(2)/25)*CL95+(1-EXP(-LN(2)/25))/(LN(2)/25)*Calculateur!CG96*Calculateur!CI96*VLOOKUP('Données projet'!$B$12,Paramètres!$A$1:$I$89,3,0)*0.475*44/12</f>
        <v>34.489575825980062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58.09819794992319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213</v>
      </c>
      <c r="CU96" s="17">
        <f>CT96*VLOOKUP('Données projet'!$B$13,Paramètres!$A$1:$I$89,3,0)*VLOOKUP('Données projet'!$B$13,Paramètres!$A$1:$I$89,5,0)</f>
        <v>169.46279999999999</v>
      </c>
      <c r="CV96" s="13">
        <f t="shared" si="95"/>
        <v>42.969686502194378</v>
      </c>
      <c r="CW96" s="20">
        <f t="shared" si="67"/>
        <v>369.9865806579885</v>
      </c>
      <c r="CX96" s="59">
        <f t="shared" si="68"/>
        <v>663.31991399132176</v>
      </c>
      <c r="CY96" s="59">
        <f ca="1">AVERAGE(OFFSET($CX$3,0,0,'Données projet'!$E$13+1,1))-AVERAGE(OFFSET($H$3,0,0,'Données projet'!$E$13+1,1))</f>
        <v>157.25319335691853</v>
      </c>
      <c r="CZ96" s="59">
        <f t="shared" si="96"/>
        <v>159.50903492442171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8.7195558569695546</v>
      </c>
      <c r="DG96" s="21">
        <f>EXP(-LN(2)/25)*DG95+(1-EXP(-LN(2)/25))/(LN(2)/25)*Calculateur!DB96*Calculateur!DD96*VLOOKUP('Données projet'!$B$13,Paramètres!$A$1:$I$89,3,0)*0.475*44/12</f>
        <v>6.0935150954594475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14.813070952429001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2.8</v>
      </c>
      <c r="DO96" s="12">
        <f>IF('Données projet'!$A$166&gt;35,DO95+DN96-DW95,IF(A96&lt;'Données projet'!$A$166,$DL$205^A96,IF(A96='Données projet'!$A$166,'Données projet'!$B$166,DO95+DN96-DW95)))</f>
        <v>230.39999999999992</v>
      </c>
      <c r="DP96" s="17">
        <f>DO96*VLOOKUP('Données projet'!$B$14,Paramètres!$A$1:$I$89,3,0)*VLOOKUP('Données projet'!$B$14,Paramètres!$A$1:$I$89,5,0)</f>
        <v>201.27743999999996</v>
      </c>
      <c r="DQ96" s="13">
        <f t="shared" si="97"/>
        <v>50.024806258462775</v>
      </c>
      <c r="DR96" s="20">
        <f t="shared" si="70"/>
        <v>437.68474556682258</v>
      </c>
      <c r="DS96" s="59">
        <f t="shared" si="71"/>
        <v>731.01807890015584</v>
      </c>
      <c r="DT96" s="59">
        <f ca="1">AVERAGE(OFFSET($DS$3,0,0,'Données projet'!$E$14+1,1))-AVERAGE(OFFSET($H$3,0,0,'Données projet'!$E$14+1,1))</f>
        <v>229.5312221178919</v>
      </c>
      <c r="DU96" s="59">
        <f t="shared" si="98"/>
        <v>218.1982095871906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15.680144851441616</v>
      </c>
      <c r="EB96" s="21">
        <f>EXP(-LN(2)/25)*EB95+(1-EXP(-LN(2)/25))/(LN(2)/25)*Calculateur!DW96*Calculateur!DY96*VLOOKUP('Données projet'!$B$14,Paramètres!$A$1:$I$89,3,0)*0.475*44/12</f>
        <v>14.407599044119223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30.087743895560841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>
        <f>VLOOKUP(A96,'Données projet'!$A$191:$I$211,2,0)</f>
        <v>212.26923076923075</v>
      </c>
      <c r="EH96" s="12">
        <f>VLOOKUP(A96,'Données projet'!$A$191:$I$211,9,0)</f>
        <v>5.2606837606837598</v>
      </c>
      <c r="EI96" s="12">
        <f t="array" ref="EI96">INDEX(EH:EH,MIN(IF(ISNUMBER(EH96:EH292),ROW(EH96:EH292),"")))</f>
        <v>5.2606837606837598</v>
      </c>
      <c r="EJ96" s="12">
        <f>IF('Données projet'!$A$192&gt;35,EJ95+EI96-ER95,IF(A96&lt;'Données projet'!$A$192,$EG$205^A96,IF(A96='Données projet'!$A$192,'Données projet'!$B$192,EJ95+EI96-ER95)))</f>
        <v>212.26923076923055</v>
      </c>
      <c r="EK96" s="17">
        <f>EJ96*VLOOKUP('Données projet'!$B$15,Paramètres!$A$1:$I$89,3,0)*VLOOKUP('Données projet'!$B$15,Paramètres!$A$1:$I$89,5,0)</f>
        <v>192.06119999999979</v>
      </c>
      <c r="EL96" s="13">
        <f t="shared" si="99"/>
        <v>47.995368340490955</v>
      </c>
      <c r="EM96" s="20">
        <f t="shared" si="73"/>
        <v>418.09852319302132</v>
      </c>
      <c r="EN96" s="59">
        <f t="shared" si="74"/>
        <v>711.43185652635464</v>
      </c>
      <c r="EO96" s="59">
        <f ca="1">AVERAGE(OFFSET($EN$3,0,0,'Données projet'!$E$15+1,1))-AVERAGE(OFFSET($H$3,0,0,'Données projet'!$E$15+1,1))</f>
        <v>204.39656982394689</v>
      </c>
      <c r="EP96" s="59">
        <f t="shared" si="100"/>
        <v>134.95704640904546</v>
      </c>
      <c r="EQ96" s="15">
        <f>IF(ISNA(VLOOKUP(A96,'Données projet'!$A$191:$I$211,3,0)),0,VLOOKUP(A96,'Données projet'!$A$191:$I$211,3,0))</f>
        <v>7</v>
      </c>
      <c r="ER96" s="15">
        <f>IF(ISNA(VLOOKUP(A96,'Données projet'!$A$191:$I$211,4,0)),0,VLOOKUP(A96,'Données projet'!$A$191:$I$211,4,0))</f>
        <v>30.083333333333332</v>
      </c>
      <c r="ES96" s="16">
        <f>IF(ISNA(VLOOKUP(A96,'Données projet'!$A$191:$I$211,5,0)),0%,VLOOKUP(A96,'Données projet'!$A$191:$I$211,5,0)*VLOOKUP('Données projet'!$B$15,Paramètres!$A$1:$I$89,7,0))</f>
        <v>0.30099999999999999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24.412206677744578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24.412206677744578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>
        <f>VLOOKUP(A96,'Données projet'!$A$217:$I$237,2,0)</f>
        <v>232.33333333333331</v>
      </c>
      <c r="FC96" s="12">
        <f>VLOOKUP(A96,'Données projet'!$A$217:$I$237,9,0)</f>
        <v>6.9529914529914549</v>
      </c>
      <c r="FD96" s="12">
        <f t="array" ref="FD96">INDEX(FC:FC,MIN(IF(ISNUMBER(FC96:FC292),ROW(FC96:FC292),"")))</f>
        <v>6.9529914529914549</v>
      </c>
      <c r="FE96" s="12">
        <f>IF('Données projet'!$A$218&gt;35,FE95+FD96-FM95,IF(A96&lt;'Données projet'!$A$218,$FB$205^A96,IF(A96='Données projet'!$A$218,'Données projet'!$B$218,FE95+FD96-FM95)))</f>
        <v>232.33333333333383</v>
      </c>
      <c r="FF96" s="17">
        <f>FE96*VLOOKUP('Données projet'!$B$16,Paramètres!$A$1:$I$89,3,0)*VLOOKUP('Données projet'!$B$16,Paramètres!$A$1:$I$89,5,0)</f>
        <v>199.34200000000044</v>
      </c>
      <c r="FG96" s="13">
        <f t="shared" si="101"/>
        <v>49.599531517759132</v>
      </c>
      <c r="FH96" s="20">
        <f t="shared" si="76"/>
        <v>433.57316739343128</v>
      </c>
      <c r="FI96" s="59">
        <f t="shared" si="77"/>
        <v>726.90650072676453</v>
      </c>
      <c r="FJ96" s="59">
        <f ca="1">AVERAGE(OFFSET($FI$3,0,0,'Données projet'!$E$16+1,1))-AVERAGE(OFFSET($H$3,0,0,'Données projet'!$E$16+1,1))</f>
        <v>199.60585215726968</v>
      </c>
      <c r="FK96" s="59">
        <f t="shared" si="102"/>
        <v>137.37366750114404</v>
      </c>
      <c r="FL96" s="15">
        <f>IF(ISNA(VLOOKUP(A96,'Données projet'!$A$217:$I$237,3,0)),0,VLOOKUP(A96,'Données projet'!$A$217:$I$237,3,0))</f>
        <v>5</v>
      </c>
      <c r="FM96" s="15">
        <f>IF(ISNA(VLOOKUP(A96,'Données projet'!$A$217:$I$237,4,0)),0,VLOOKUP(A96,'Données projet'!$A$217:$I$237,4,0))</f>
        <v>48.967948717948715</v>
      </c>
      <c r="FN96" s="16">
        <f>IF(ISNA(VLOOKUP(A96,'Données projet'!$A$217:$I$237,5,0)),0%,VLOOKUP(A96,'Données projet'!$A$217:$I$237,5,0)*VLOOKUP('Données projet'!$B$16,Paramètres!$A$1:$I$89,7,0))</f>
        <v>0.159</v>
      </c>
      <c r="FO96" s="16">
        <f>IF(ISNA(VLOOKUP(A96,'Données projet'!$A$217:$I$237,6,0)),0%,VLOOKUP(A96,'Données projet'!$A$217:$I$237,6,0)*VLOOKUP('Données projet'!$B$16,Paramètres!$A$1:$I$89,7,0))</f>
        <v>0.159</v>
      </c>
      <c r="FP96" s="16">
        <f>IF(ISNA(VLOOKUP(A96,'Données projet'!$A$217:$I$237,7,0)),0%,VLOOKUP(A96,'Données projet'!$A$217:$I$237,7,0))</f>
        <v>0.2</v>
      </c>
      <c r="FQ96" s="21">
        <f>EXP(-LN(2)/35)*FQ95+(1-EXP(-LN(2)/35))/(LN(2)/35)*FM96*FN96*VLOOKUP('Données projet'!$B$16,Paramètres!$A$1:$I$89,3,0)*0.475*44/12</f>
        <v>13.439557358458988</v>
      </c>
      <c r="FR96" s="21">
        <f>EXP(-LN(2)/25)*FR95+(1-EXP(-LN(2)/25))/(LN(2)/25)*Calculateur!FM96*Calculateur!FO96*VLOOKUP('Données projet'!$B$16,Paramètres!$A$1:$I$89,3,0)*0.475*44/12</f>
        <v>19.75523231568755</v>
      </c>
      <c r="FS96" s="21">
        <f>EXP(-LN(2)/2)*FS95+(1-EXP(-LN(2)/2))/(LN(2)/2)*FM96*FP96*VLOOKUP('Données projet'!$B$16,Paramètres!$A$1:$I$89,3,0)*0.475*44/12</f>
        <v>8.3004298783558834</v>
      </c>
      <c r="FT96" s="22">
        <f t="shared" si="78"/>
        <v>41.495219552502419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8.7211538461538485</v>
      </c>
      <c r="N97" s="13">
        <f>IF('Données projet'!$A$36&gt;35,N96+M97-V96,IF(A97&lt;'Données projet'!$A$36,$K$205^A97,IF(A97='Données projet'!$A$36,'Données projet'!$B$36,N96+M97-V96)))</f>
        <v>372.11346153846216</v>
      </c>
      <c r="O97" s="13">
        <f>N97*VLOOKUP('Données projet'!$B$9,Paramètres!$A$1:$I$89,3,0)*VLOOKUP('Données projet'!$B$9,Paramètres!$A$1:$I$89,5,0)</f>
        <v>174.14910000000029</v>
      </c>
      <c r="P97" s="13">
        <f t="shared" si="87"/>
        <v>44.017975824904859</v>
      </c>
      <c r="Q97" s="20">
        <f t="shared" si="54"/>
        <v>379.97432372837642</v>
      </c>
      <c r="R97" s="59">
        <f t="shared" si="55"/>
        <v>673.30765706170973</v>
      </c>
      <c r="S97" s="59">
        <f ca="1">AVERAGE(OFFSET($R$3,0,0,'Données projet'!$E$9+1,1))-AVERAGE(OFFSET($H$3,0,0,'Données projet'!$E$9+1,1))</f>
        <v>164.93438869099657</v>
      </c>
      <c r="T97" s="59">
        <f t="shared" si="88"/>
        <v>112.28641356594233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43.581757925906238</v>
      </c>
      <c r="AA97" s="21">
        <f>EXP(-LN(2)/25)*AA96+(1-EXP(-LN(2)/25))/(LN(2)/25)*Calculateur!V97*Calculateur!X97*VLOOKUP('Données projet'!$B$9,Paramètres!$A$1:$I$89,3,0)*0.475*44/12</f>
        <v>18.78736601086765</v>
      </c>
      <c r="AB97" s="21">
        <f>EXP(-LN(2)/2)*AB96+(1-EXP(-LN(2)/2))/(LN(2)/2)*V97*Y97*VLOOKUP('Données projet'!$B$9,Paramètres!$A$1:$I$89,3,0)*0.475*44/12</f>
        <v>0.26799487511764347</v>
      </c>
      <c r="AC97" s="22">
        <f t="shared" si="57"/>
        <v>62.637118811891533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273.81843612193632</v>
      </c>
      <c r="AO97" s="59">
        <f t="shared" si="90"/>
        <v>241.86405419073208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-6.3550942286383367E-14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271.42245454555501</v>
      </c>
      <c r="BJ97" s="59">
        <f t="shared" si="92"/>
        <v>362.63944425429077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104.69739342929354</v>
      </c>
      <c r="BQ97" s="21">
        <f>EXP(-LN(2)/25)*BQ96+(1-EXP(-LN(2)/25))/(LN(2)/25)*Calculateur!BL97*Calculateur!BN97*VLOOKUP('Données projet'!$B$11,Paramètres!$A$1:$I$89,3,0)*0.475*44/12</f>
        <v>19.537707127227161</v>
      </c>
      <c r="BR97" s="21">
        <f>EXP(-LN(2)/2)*BR96+(1-EXP(-LN(2)/2))/(LN(2)/2)*BL97*BO97*VLOOKUP('Données projet'!$B$11,Paramètres!$A$1:$I$89,3,0)*0.475*44/12</f>
        <v>4.6073321753469636E-5</v>
      </c>
      <c r="BS97" s="22">
        <f t="shared" si="63"/>
        <v>124.23514662984246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-3.1036506698001178E-14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154.35821558431712</v>
      </c>
      <c r="CE97" s="59">
        <f t="shared" si="94"/>
        <v>263.86720460501306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23.145671443930233</v>
      </c>
      <c r="CL97" s="21">
        <f>EXP(-LN(2)/25)*CL96+(1-EXP(-LN(2)/25))/(LN(2)/25)*Calculateur!CG97*Calculateur!CI97*VLOOKUP('Données projet'!$B$12,Paramètres!$A$1:$I$89,3,0)*0.475*44/12</f>
        <v>33.546456561290668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56.692128005220901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213</v>
      </c>
      <c r="CU97" s="17">
        <f>CT97*VLOOKUP('Données projet'!$B$13,Paramètres!$A$1:$I$89,3,0)*VLOOKUP('Données projet'!$B$13,Paramètres!$A$1:$I$89,5,0)</f>
        <v>169.46279999999999</v>
      </c>
      <c r="CV97" s="13">
        <f t="shared" si="95"/>
        <v>42.969686502194378</v>
      </c>
      <c r="CW97" s="20">
        <f t="shared" si="67"/>
        <v>369.9865806579885</v>
      </c>
      <c r="CX97" s="59">
        <f t="shared" si="68"/>
        <v>663.31991399132176</v>
      </c>
      <c r="CY97" s="59">
        <f ca="1">AVERAGE(OFFSET($CX$3,0,0,'Données projet'!$E$13+1,1))-AVERAGE(OFFSET($H$3,0,0,'Données projet'!$E$13+1,1))</f>
        <v>157.25319335691853</v>
      </c>
      <c r="CZ97" s="59">
        <f t="shared" si="96"/>
        <v>159.50903492442171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8.548570685018305</v>
      </c>
      <c r="DG97" s="21">
        <f>EXP(-LN(2)/25)*DG96+(1-EXP(-LN(2)/25))/(LN(2)/25)*Calculateur!DB97*Calculateur!DD97*VLOOKUP('Données projet'!$B$13,Paramètres!$A$1:$I$89,3,0)*0.475*44/12</f>
        <v>5.9268876047300774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14.475458289748381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2.8</v>
      </c>
      <c r="DO97" s="12">
        <f>IF('Données projet'!$A$166&gt;35,DO96+DN97-DW96,IF(A97&lt;'Données projet'!$A$166,$DL$205^A97,IF(A97='Données projet'!$A$166,'Données projet'!$B$166,DO96+DN97-DW96)))</f>
        <v>233.19999999999993</v>
      </c>
      <c r="DP97" s="17">
        <f>DO97*VLOOKUP('Données projet'!$B$14,Paramètres!$A$1:$I$89,3,0)*VLOOKUP('Données projet'!$B$14,Paramètres!$A$1:$I$89,5,0)</f>
        <v>203.72351999999998</v>
      </c>
      <c r="DQ97" s="13">
        <f t="shared" si="97"/>
        <v>50.561604122231515</v>
      </c>
      <c r="DR97" s="20">
        <f t="shared" si="70"/>
        <v>442.87992451288648</v>
      </c>
      <c r="DS97" s="59">
        <f t="shared" si="71"/>
        <v>736.21325784621979</v>
      </c>
      <c r="DT97" s="59">
        <f ca="1">AVERAGE(OFFSET($DS$3,0,0,'Données projet'!$E$14+1,1))-AVERAGE(OFFSET($H$3,0,0,'Données projet'!$E$14+1,1))</f>
        <v>229.5312221178919</v>
      </c>
      <c r="DU97" s="59">
        <f t="shared" si="98"/>
        <v>218.1982095871906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15.372666774848845</v>
      </c>
      <c r="EB97" s="21">
        <f>EXP(-LN(2)/25)*EB96+(1-EXP(-LN(2)/25))/(LN(2)/25)*Calculateur!DW97*Calculateur!DY97*VLOOKUP('Données projet'!$B$14,Paramètres!$A$1:$I$89,3,0)*0.475*44/12</f>
        <v>14.013622490595079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29.386289265443924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5.2583333333333373</v>
      </c>
      <c r="EJ97" s="12">
        <f>IF('Données projet'!$A$192&gt;35,EJ96+EI97-ER96,IF(A97&lt;'Données projet'!$A$192,$EG$205^A97,IF(A97='Données projet'!$A$192,'Données projet'!$B$192,EJ96+EI97-ER96)))</f>
        <v>187.44423076923053</v>
      </c>
      <c r="EK97" s="17">
        <f>EJ97*VLOOKUP('Données projet'!$B$15,Paramètres!$A$1:$I$89,3,0)*VLOOKUP('Données projet'!$B$15,Paramètres!$A$1:$I$89,5,0)</f>
        <v>169.59953999999976</v>
      </c>
      <c r="EL97" s="13">
        <f t="shared" si="99"/>
        <v>43.000321559740421</v>
      </c>
      <c r="EM97" s="20">
        <f t="shared" si="73"/>
        <v>370.27809221654746</v>
      </c>
      <c r="EN97" s="59">
        <f t="shared" si="74"/>
        <v>663.61142554988078</v>
      </c>
      <c r="EO97" s="59">
        <f ca="1">AVERAGE(OFFSET($EN$3,0,0,'Données projet'!$E$15+1,1))-AVERAGE(OFFSET($H$3,0,0,'Données projet'!$E$15+1,1))</f>
        <v>204.39656982394689</v>
      </c>
      <c r="EP97" s="59">
        <f t="shared" si="100"/>
        <v>134.95704640904546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23.933498194769818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23.933498194769818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6.4556623931623944</v>
      </c>
      <c r="FE97" s="12">
        <f>IF('Données projet'!$A$218&gt;35,FE96+FD97-FM96,IF(A97&lt;'Données projet'!$A$218,$FB$205^A97,IF(A97='Données projet'!$A$218,'Données projet'!$B$218,FE96+FD97-FM96)))</f>
        <v>189.82104700854751</v>
      </c>
      <c r="FF97" s="17">
        <f>FE97*VLOOKUP('Données projet'!$B$16,Paramètres!$A$1:$I$89,3,0)*VLOOKUP('Données projet'!$B$16,Paramètres!$A$1:$I$89,5,0)</f>
        <v>162.86645833333378</v>
      </c>
      <c r="FG97" s="13">
        <f t="shared" si="101"/>
        <v>41.488383409067659</v>
      </c>
      <c r="FH97" s="20">
        <f t="shared" si="76"/>
        <v>355.91801603468252</v>
      </c>
      <c r="FI97" s="59">
        <f t="shared" si="77"/>
        <v>649.25134936801578</v>
      </c>
      <c r="FJ97" s="59">
        <f ca="1">AVERAGE(OFFSET($FI$3,0,0,'Données projet'!$E$16+1,1))-AVERAGE(OFFSET($H$3,0,0,'Données projet'!$E$16+1,1))</f>
        <v>199.60585215726968</v>
      </c>
      <c r="FK97" s="59">
        <f t="shared" si="102"/>
        <v>137.37366750114404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13.176015835980177</v>
      </c>
      <c r="FR97" s="21">
        <f>EXP(-LN(2)/25)*FR96+(1-EXP(-LN(2)/25))/(LN(2)/25)*Calculateur!FM97*Calculateur!FO97*VLOOKUP('Données projet'!$B$16,Paramètres!$A$1:$I$89,3,0)*0.475*44/12</f>
        <v>19.215024449132557</v>
      </c>
      <c r="FS97" s="21">
        <f>EXP(-LN(2)/2)*FS96+(1-EXP(-LN(2)/2))/(LN(2)/2)*FM97*FP97*VLOOKUP('Données projet'!$B$16,Paramètres!$A$1:$I$89,3,0)*0.475*44/12</f>
        <v>5.8692902537488756</v>
      </c>
      <c r="FT97" s="22">
        <f t="shared" si="78"/>
        <v>38.260330538861609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8.7211538461538485</v>
      </c>
      <c r="N98" s="13">
        <f>IF('Données projet'!$A$36&gt;35,N97+M98-V97,IF(A98&lt;'Données projet'!$A$36,$K$205^A98,IF(A98='Données projet'!$A$36,'Données projet'!$B$36,N97+M98-V97)))</f>
        <v>380.83461538461603</v>
      </c>
      <c r="O98" s="13">
        <f>N98*VLOOKUP('Données projet'!$B$9,Paramètres!$A$1:$I$89,3,0)*VLOOKUP('Données projet'!$B$9,Paramètres!$A$1:$I$89,5,0)</f>
        <v>178.23060000000029</v>
      </c>
      <c r="P98" s="13">
        <f t="shared" si="87"/>
        <v>44.928301223043398</v>
      </c>
      <c r="Q98" s="20">
        <f t="shared" si="54"/>
        <v>388.66841963013439</v>
      </c>
      <c r="R98" s="59">
        <f t="shared" si="55"/>
        <v>682.00175296346765</v>
      </c>
      <c r="S98" s="59">
        <f ca="1">AVERAGE(OFFSET($R$3,0,0,'Données projet'!$E$9+1,1))-AVERAGE(OFFSET($H$3,0,0,'Données projet'!$E$9+1,1))</f>
        <v>164.93438869099657</v>
      </c>
      <c r="T98" s="59">
        <f t="shared" si="88"/>
        <v>112.28641356594233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42.727146235226776</v>
      </c>
      <c r="AA98" s="21">
        <f>EXP(-LN(2)/25)*AA97+(1-EXP(-LN(2)/25))/(LN(2)/25)*Calculateur!V98*Calculateur!X98*VLOOKUP('Données projet'!$B$9,Paramètres!$A$1:$I$89,3,0)*0.475*44/12</f>
        <v>18.273624499315837</v>
      </c>
      <c r="AB98" s="21">
        <f>EXP(-LN(2)/2)*AB97+(1-EXP(-LN(2)/2))/(LN(2)/2)*V98*Y98*VLOOKUP('Données projet'!$B$9,Paramètres!$A$1:$I$89,3,0)*0.475*44/12</f>
        <v>0.18950099351892766</v>
      </c>
      <c r="AC98" s="22">
        <f t="shared" si="57"/>
        <v>61.190271728061539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273.81843612193632</v>
      </c>
      <c r="AO98" s="59">
        <f t="shared" si="90"/>
        <v>241.86405419073208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-6.3550942286383367E-14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271.42245454555501</v>
      </c>
      <c r="BJ98" s="59">
        <f t="shared" si="92"/>
        <v>362.63944425429077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102.64434140324953</v>
      </c>
      <c r="BQ98" s="21">
        <f>EXP(-LN(2)/25)*BQ97+(1-EXP(-LN(2)/25))/(LN(2)/25)*Calculateur!BL98*Calculateur!BN98*VLOOKUP('Données projet'!$B$11,Paramètres!$A$1:$I$89,3,0)*0.475*44/12</f>
        <v>19.003447498389772</v>
      </c>
      <c r="BR98" s="21">
        <f>EXP(-LN(2)/2)*BR97+(1-EXP(-LN(2)/2))/(LN(2)/2)*BL98*BO98*VLOOKUP('Données projet'!$B$11,Paramètres!$A$1:$I$89,3,0)*0.475*44/12</f>
        <v>3.2578758243668054E-5</v>
      </c>
      <c r="BS98" s="22">
        <f t="shared" si="63"/>
        <v>121.64782148039754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-3.1036506698001178E-14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154.35821558431712</v>
      </c>
      <c r="CE98" s="59">
        <f t="shared" si="94"/>
        <v>263.86720460501306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22.691798944380359</v>
      </c>
      <c r="CL98" s="21">
        <f>EXP(-LN(2)/25)*CL97+(1-EXP(-LN(2)/25))/(LN(2)/25)*Calculateur!CG98*Calculateur!CI98*VLOOKUP('Données projet'!$B$12,Paramètres!$A$1:$I$89,3,0)*0.475*44/12</f>
        <v>32.629126942490693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55.320925886871052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213</v>
      </c>
      <c r="CU98" s="17">
        <f>CT98*VLOOKUP('Données projet'!$B$13,Paramètres!$A$1:$I$89,3,0)*VLOOKUP('Données projet'!$B$13,Paramètres!$A$1:$I$89,5,0)</f>
        <v>169.46279999999999</v>
      </c>
      <c r="CV98" s="13">
        <f t="shared" si="95"/>
        <v>42.969686502194378</v>
      </c>
      <c r="CW98" s="20">
        <f t="shared" si="67"/>
        <v>369.9865806579885</v>
      </c>
      <c r="CX98" s="59">
        <f t="shared" si="68"/>
        <v>663.31991399132176</v>
      </c>
      <c r="CY98" s="59">
        <f ca="1">AVERAGE(OFFSET($CX$3,0,0,'Données projet'!$E$13+1,1))-AVERAGE(OFFSET($H$3,0,0,'Données projet'!$E$13+1,1))</f>
        <v>157.25319335691853</v>
      </c>
      <c r="CZ98" s="59">
        <f t="shared" si="96"/>
        <v>159.50903492442171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8.3809384279983625</v>
      </c>
      <c r="DG98" s="21">
        <f>EXP(-LN(2)/25)*DG97+(1-EXP(-LN(2)/25))/(LN(2)/25)*Calculateur!DB98*Calculateur!DD98*VLOOKUP('Données projet'!$B$13,Paramètres!$A$1:$I$89,3,0)*0.475*44/12</f>
        <v>5.76481655149726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14.145754979495623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236</v>
      </c>
      <c r="DM98" s="12">
        <f>VLOOKUP(A98,'Données projet'!$A$165:$I$185,9,0)</f>
        <v>2.8</v>
      </c>
      <c r="DN98" s="12">
        <f t="array" ref="DN98">INDEX(DM:DM,MIN(IF(ISNUMBER(DM98:DM294),ROW(DM98:DM294),"")))</f>
        <v>2.8</v>
      </c>
      <c r="DO98" s="12">
        <f>IF('Données projet'!$A$166&gt;35,DO97+DN98-DW97,IF(A98&lt;'Données projet'!$A$166,$DL$205^A98,IF(A98='Données projet'!$A$166,'Données projet'!$B$166,DO97+DN98-DW97)))</f>
        <v>235.99999999999994</v>
      </c>
      <c r="DP98" s="17">
        <f>DO98*VLOOKUP('Données projet'!$B$14,Paramètres!$A$1:$I$89,3,0)*VLOOKUP('Données projet'!$B$14,Paramètres!$A$1:$I$89,5,0)</f>
        <v>206.16959999999995</v>
      </c>
      <c r="DQ98" s="13">
        <f t="shared" si="97"/>
        <v>51.097652263007333</v>
      </c>
      <c r="DR98" s="20">
        <f t="shared" si="70"/>
        <v>448.07379769140431</v>
      </c>
      <c r="DS98" s="59">
        <f t="shared" si="71"/>
        <v>741.40713102473762</v>
      </c>
      <c r="DT98" s="59">
        <f ca="1">AVERAGE(OFFSET($DS$3,0,0,'Données projet'!$E$14+1,1))-AVERAGE(OFFSET($H$3,0,0,'Données projet'!$E$14+1,1))</f>
        <v>229.5312221178919</v>
      </c>
      <c r="DU98" s="59">
        <f t="shared" si="98"/>
        <v>218.1982095871906</v>
      </c>
      <c r="DV98" s="15">
        <f>IF(ISNA(VLOOKUP(A98,'Données projet'!$A$165:$I$185,3,0)),0,VLOOKUP(A98,'Données projet'!$A$165:$I$185,3,0))</f>
        <v>16</v>
      </c>
      <c r="DW98" s="15" t="str">
        <f>IF(ISNA(VLOOKUP(A98,'Données projet'!$A$165:$I$185,4,0)),0,VLOOKUP(A98,'Données projet'!$A$165:$I$185,4,0))</f>
        <v>11</v>
      </c>
      <c r="DX98" s="16">
        <f>IF(ISNA(VLOOKUP(A98,'Données projet'!$A$165:$I$185,5,0)),0%,VLOOKUP(A98,'Données projet'!$A$165:$I$185,5,0)*VLOOKUP('Données projet'!$B$14,Paramètres!$A$1:$I$89,7,0))</f>
        <v>0.25800000000000001</v>
      </c>
      <c r="DY98" s="16">
        <f>IF(ISNA(VLOOKUP(A98,'Données projet'!$A$165:$I$185,6,0)),0%,VLOOKUP(A98,'Données projet'!$A$165:$I$185,6,0)*VLOOKUP('Données projet'!$B$14,Paramètres!$A$1:$I$89,7,0))</f>
        <v>0.129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17.811985220858187</v>
      </c>
      <c r="EB98" s="21">
        <f>EXP(-LN(2)/25)*EB97+(1-EXP(-LN(2)/25))/(LN(2)/25)*Calculateur!DW98*Calculateur!DY98*VLOOKUP('Données projet'!$B$14,Paramètres!$A$1:$I$89,3,0)*0.475*44/12</f>
        <v>14.995407057052358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32.807392277910544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5.2583333333333373</v>
      </c>
      <c r="EJ98" s="12">
        <f>IF('Données projet'!$A$192&gt;35,EJ97+EI98-ER97,IF(A98&lt;'Données projet'!$A$192,$EG$205^A98,IF(A98='Données projet'!$A$192,'Données projet'!$B$192,EJ97+EI98-ER97)))</f>
        <v>192.70256410256385</v>
      </c>
      <c r="EK98" s="17">
        <f>EJ98*VLOOKUP('Données projet'!$B$15,Paramètres!$A$1:$I$89,3,0)*VLOOKUP('Données projet'!$B$15,Paramètres!$A$1:$I$89,5,0)</f>
        <v>174.35727999999978</v>
      </c>
      <c r="EL98" s="13">
        <f t="shared" si="99"/>
        <v>44.064467301710017</v>
      </c>
      <c r="EM98" s="20">
        <f t="shared" si="73"/>
        <v>380.41787655047784</v>
      </c>
      <c r="EN98" s="59">
        <f t="shared" si="74"/>
        <v>673.75120988381116</v>
      </c>
      <c r="EO98" s="59">
        <f ca="1">AVERAGE(OFFSET($EN$3,0,0,'Données projet'!$E$15+1,1))-AVERAGE(OFFSET($H$3,0,0,'Données projet'!$E$15+1,1))</f>
        <v>204.39656982394689</v>
      </c>
      <c r="EP98" s="59">
        <f t="shared" si="100"/>
        <v>134.95704640904546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23.46417689316285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23.46417689316285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6.4556623931623944</v>
      </c>
      <c r="FE98" s="12">
        <f>IF('Données projet'!$A$218&gt;35,FE97+FD98-FM97,IF(A98&lt;'Données projet'!$A$218,$FB$205^A98,IF(A98='Données projet'!$A$218,'Données projet'!$B$218,FE97+FD98-FM97)))</f>
        <v>196.27670940170989</v>
      </c>
      <c r="FF98" s="17">
        <f>FE98*VLOOKUP('Données projet'!$B$16,Paramètres!$A$1:$I$89,3,0)*VLOOKUP('Données projet'!$B$16,Paramètres!$A$1:$I$89,5,0)</f>
        <v>168.40541666666712</v>
      </c>
      <c r="FG98" s="13">
        <f t="shared" si="101"/>
        <v>42.732694316641748</v>
      </c>
      <c r="FH98" s="20">
        <f t="shared" si="76"/>
        <v>367.73220996259624</v>
      </c>
      <c r="FI98" s="59">
        <f t="shared" si="77"/>
        <v>661.0655432959295</v>
      </c>
      <c r="FJ98" s="59">
        <f ca="1">AVERAGE(OFFSET($FI$3,0,0,'Données projet'!$E$16+1,1))-AVERAGE(OFFSET($H$3,0,0,'Données projet'!$E$16+1,1))</f>
        <v>199.60585215726968</v>
      </c>
      <c r="FK98" s="59">
        <f t="shared" si="102"/>
        <v>137.37366750114404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12.91764220201272</v>
      </c>
      <c r="FR98" s="21">
        <f>EXP(-LN(2)/25)*FR97+(1-EXP(-LN(2)/25))/(LN(2)/25)*Calculateur!FM98*Calculateur!FO98*VLOOKUP('Données projet'!$B$16,Paramètres!$A$1:$I$89,3,0)*0.475*44/12</f>
        <v>18.689588595096808</v>
      </c>
      <c r="FS98" s="21">
        <f>EXP(-LN(2)/2)*FS97+(1-EXP(-LN(2)/2))/(LN(2)/2)*FM98*FP98*VLOOKUP('Données projet'!$B$16,Paramètres!$A$1:$I$89,3,0)*0.475*44/12</f>
        <v>4.1502149391779426</v>
      </c>
      <c r="FT98" s="22">
        <f t="shared" si="78"/>
        <v>35.757445736287472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8.7211538461538485</v>
      </c>
      <c r="N99" s="13">
        <f>IF('Données projet'!$A$36&gt;35,N98+M99-V98,IF(A99&lt;'Données projet'!$A$36,$K$205^A99,IF(A99='Données projet'!$A$36,'Données projet'!$B$36,N98+M99-V98)))</f>
        <v>389.5557692307699</v>
      </c>
      <c r="O99" s="13">
        <f>N99*VLOOKUP('Données projet'!$B$9,Paramètres!$A$1:$I$89,3,0)*VLOOKUP('Données projet'!$B$9,Paramètres!$A$1:$I$89,5,0)</f>
        <v>182.31210000000033</v>
      </c>
      <c r="P99" s="13">
        <f t="shared" si="87"/>
        <v>45.836203090068118</v>
      </c>
      <c r="Q99" s="20">
        <f t="shared" ref="Q99:Q130" si="107">(O99+P99)*0.475*44/12</f>
        <v>397.35829454853587</v>
      </c>
      <c r="R99" s="59">
        <f t="shared" si="55"/>
        <v>690.69162788186918</v>
      </c>
      <c r="S99" s="59">
        <f ca="1">AVERAGE(OFFSET($R$3,0,0,'Données projet'!$E$9+1,1))-AVERAGE(OFFSET($H$3,0,0,'Données projet'!$E$9+1,1))</f>
        <v>164.93438869099657</v>
      </c>
      <c r="T99" s="59">
        <f t="shared" si="88"/>
        <v>112.28641356594233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41.889292958539876</v>
      </c>
      <c r="AA99" s="21">
        <f>EXP(-LN(2)/25)*AA98+(1-EXP(-LN(2)/25))/(LN(2)/25)*Calculateur!V99*Calculateur!X99*VLOOKUP('Données projet'!$B$9,Paramètres!$A$1:$I$89,3,0)*0.475*44/12</f>
        <v>17.773931276413897</v>
      </c>
      <c r="AB99" s="21">
        <f>EXP(-LN(2)/2)*AB98+(1-EXP(-LN(2)/2))/(LN(2)/2)*V99*Y99*VLOOKUP('Données projet'!$B$9,Paramètres!$A$1:$I$89,3,0)*0.475*44/12</f>
        <v>0.13399743755882174</v>
      </c>
      <c r="AC99" s="22">
        <f t="shared" si="57"/>
        <v>59.797221672512592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273.81843612193632</v>
      </c>
      <c r="AO99" s="59">
        <f t="shared" si="90"/>
        <v>241.86405419073208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-6.3550942286383367E-14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271.42245454555501</v>
      </c>
      <c r="BJ99" s="59">
        <f t="shared" si="92"/>
        <v>362.63944425429077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100.63154847519814</v>
      </c>
      <c r="BQ99" s="21">
        <f>EXP(-LN(2)/25)*BQ98+(1-EXP(-LN(2)/25))/(LN(2)/25)*Calculateur!BL99*Calculateur!BN99*VLOOKUP('Données projet'!$B$11,Paramètres!$A$1:$I$89,3,0)*0.475*44/12</f>
        <v>18.483797227198433</v>
      </c>
      <c r="BR99" s="21">
        <f>EXP(-LN(2)/2)*BR98+(1-EXP(-LN(2)/2))/(LN(2)/2)*BL99*BO99*VLOOKUP('Données projet'!$B$11,Paramètres!$A$1:$I$89,3,0)*0.475*44/12</f>
        <v>2.3036660876734818E-5</v>
      </c>
      <c r="BS99" s="22">
        <f t="shared" si="63"/>
        <v>119.11536873905746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-3.1036506698001178E-14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154.35821558431712</v>
      </c>
      <c r="CE99" s="59">
        <f t="shared" si="94"/>
        <v>263.86720460501306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22.246826607711768</v>
      </c>
      <c r="CL99" s="21">
        <f>EXP(-LN(2)/25)*CL98+(1-EXP(-LN(2)/25))/(LN(2)/25)*Calculateur!CG99*Calculateur!CI99*VLOOKUP('Données projet'!$B$12,Paramètres!$A$1:$I$89,3,0)*0.475*44/12</f>
        <v>31.736881750357075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53.983708358068839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213</v>
      </c>
      <c r="CU99" s="17">
        <f>CT99*VLOOKUP('Données projet'!$B$13,Paramètres!$A$1:$I$89,3,0)*VLOOKUP('Données projet'!$B$13,Paramètres!$A$1:$I$89,5,0)</f>
        <v>169.46279999999999</v>
      </c>
      <c r="CV99" s="13">
        <f t="shared" si="95"/>
        <v>42.969686502194378</v>
      </c>
      <c r="CW99" s="20">
        <f t="shared" si="67"/>
        <v>369.9865806579885</v>
      </c>
      <c r="CX99" s="59">
        <f t="shared" si="68"/>
        <v>663.31991399132176</v>
      </c>
      <c r="CY99" s="59">
        <f ca="1">AVERAGE(OFFSET($CX$3,0,0,'Données projet'!$E$13+1,1))-AVERAGE(OFFSET($H$3,0,0,'Données projet'!$E$13+1,1))</f>
        <v>157.25319335691853</v>
      </c>
      <c r="CZ99" s="59">
        <f t="shared" si="96"/>
        <v>159.50903492442171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8.2165933372930002</v>
      </c>
      <c r="DG99" s="21">
        <f>EXP(-LN(2)/25)*DG98+(1-EXP(-LN(2)/25))/(LN(2)/25)*Calculateur!DB99*Calculateur!DD99*VLOOKUP('Données projet'!$B$13,Paramètres!$A$1:$I$89,3,0)*0.475*44/12</f>
        <v>5.6071773397380404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13.823770677031041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3</v>
      </c>
      <c r="DO99" s="12">
        <f>IF('Données projet'!$A$166&gt;35,DO98+DN99-DW98,IF(A99&lt;'Données projet'!$A$166,$DL$205^A99,IF(A99='Données projet'!$A$166,'Données projet'!$B$166,DO98+DN99-DW98)))</f>
        <v>227.99999999999994</v>
      </c>
      <c r="DP99" s="17">
        <f>DO99*VLOOKUP('Données projet'!$B$14,Paramètres!$A$1:$I$89,3,0)*VLOOKUP('Données projet'!$B$14,Paramètres!$A$1:$I$89,5,0)</f>
        <v>199.18079999999998</v>
      </c>
      <c r="DQ99" s="13">
        <f t="shared" si="97"/>
        <v>49.564089376413683</v>
      </c>
      <c r="DR99" s="20">
        <f t="shared" si="70"/>
        <v>433.23068233058711</v>
      </c>
      <c r="DS99" s="59">
        <f t="shared" si="71"/>
        <v>726.56401566392037</v>
      </c>
      <c r="DT99" s="59">
        <f ca="1">AVERAGE(OFFSET($DS$3,0,0,'Données projet'!$E$14+1,1))-AVERAGE(OFFSET($H$3,0,0,'Données projet'!$E$14+1,1))</f>
        <v>229.5312221178919</v>
      </c>
      <c r="DU99" s="59">
        <f t="shared" si="98"/>
        <v>218.1982095871906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17.462703054915387</v>
      </c>
      <c r="EB99" s="21">
        <f>EXP(-LN(2)/25)*EB98+(1-EXP(-LN(2)/25))/(LN(2)/25)*Calculateur!DW99*Calculateur!DY99*VLOOKUP('Données projet'!$B$14,Paramètres!$A$1:$I$89,3,0)*0.475*44/12</f>
        <v>14.585356862503076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32.048059917418463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5.2583333333333373</v>
      </c>
      <c r="EJ99" s="12">
        <f>IF('Données projet'!$A$192&gt;35,EJ98+EI99-ER98,IF(A99&lt;'Données projet'!$A$192,$EG$205^A99,IF(A99='Données projet'!$A$192,'Données projet'!$B$192,EJ98+EI99-ER98)))</f>
        <v>197.96089743589718</v>
      </c>
      <c r="EK99" s="17">
        <f>EJ99*VLOOKUP('Données projet'!$B$15,Paramètres!$A$1:$I$89,3,0)*VLOOKUP('Données projet'!$B$15,Paramètres!$A$1:$I$89,5,0)</f>
        <v>179.11501999999976</v>
      </c>
      <c r="EL99" s="13">
        <f t="shared" si="99"/>
        <v>45.125237978705186</v>
      </c>
      <c r="EM99" s="20">
        <f t="shared" si="73"/>
        <v>390.55178264624448</v>
      </c>
      <c r="EN99" s="59">
        <f t="shared" si="74"/>
        <v>683.88511597957779</v>
      </c>
      <c r="EO99" s="59">
        <f ca="1">AVERAGE(OFFSET($EN$3,0,0,'Données projet'!$E$15+1,1))-AVERAGE(OFFSET($H$3,0,0,'Données projet'!$E$15+1,1))</f>
        <v>204.39656982394689</v>
      </c>
      <c r="EP99" s="59">
        <f t="shared" si="100"/>
        <v>134.95704640904546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23.004058696022664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23.004058696022664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6.4556623931623944</v>
      </c>
      <c r="FE99" s="12">
        <f>IF('Données projet'!$A$218&gt;35,FE98+FD99-FM98,IF(A99&lt;'Données projet'!$A$218,$FB$205^A99,IF(A99='Données projet'!$A$218,'Données projet'!$B$218,FE98+FD99-FM98)))</f>
        <v>202.73237179487228</v>
      </c>
      <c r="FF99" s="17">
        <f>FE99*VLOOKUP('Données projet'!$B$16,Paramètres!$A$1:$I$89,3,0)*VLOOKUP('Données projet'!$B$16,Paramètres!$A$1:$I$89,5,0)</f>
        <v>173.94437500000043</v>
      </c>
      <c r="FG99" s="13">
        <f t="shared" si="101"/>
        <v>43.972249621291425</v>
      </c>
      <c r="FH99" s="20">
        <f t="shared" si="76"/>
        <v>379.53812121541665</v>
      </c>
      <c r="FI99" s="59">
        <f t="shared" si="77"/>
        <v>672.87145454874997</v>
      </c>
      <c r="FJ99" s="59">
        <f ca="1">AVERAGE(OFFSET($FI$3,0,0,'Données projet'!$E$16+1,1))-AVERAGE(OFFSET($H$3,0,0,'Données projet'!$E$16+1,1))</f>
        <v>199.60585215726968</v>
      </c>
      <c r="FK99" s="59">
        <f t="shared" si="102"/>
        <v>137.37366750114404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12.664335117415009</v>
      </c>
      <c r="FR99" s="21">
        <f>EXP(-LN(2)/25)*FR98+(1-EXP(-LN(2)/25))/(LN(2)/25)*Calculateur!FM99*Calculateur!FO99*VLOOKUP('Données projet'!$B$16,Paramètres!$A$1:$I$89,3,0)*0.475*44/12</f>
        <v>18.178520812121135</v>
      </c>
      <c r="FS99" s="21">
        <f>EXP(-LN(2)/2)*FS98+(1-EXP(-LN(2)/2))/(LN(2)/2)*FM99*FP99*VLOOKUP('Données projet'!$B$16,Paramètres!$A$1:$I$89,3,0)*0.475*44/12</f>
        <v>2.9346451268744382</v>
      </c>
      <c r="FT99" s="22">
        <f t="shared" si="78"/>
        <v>33.777501056410578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398.27692307692308</v>
      </c>
      <c r="L100" s="12">
        <f>VLOOKUP(A100,'Données projet'!$A$35:$I$55,9,0)</f>
        <v>8.7211538461538485</v>
      </c>
      <c r="M100" s="12">
        <f t="array" ref="M100">INDEX(L:L,MIN(IF(ISNUMBER(L100:L296),ROW(L100:L296),"")))</f>
        <v>8.7211538461538485</v>
      </c>
      <c r="N100" s="13">
        <f>IF('Données projet'!$A$36&gt;35,N99+M100-V99,IF(A100&lt;'Données projet'!$A$36,$K$205^A100,IF(A100='Données projet'!$A$36,'Données projet'!$B$36,N99+M100-V99)))</f>
        <v>398.27692307692377</v>
      </c>
      <c r="O100" s="13">
        <f>N100*VLOOKUP('Données projet'!$B$9,Paramètres!$A$1:$I$89,3,0)*VLOOKUP('Données projet'!$B$9,Paramètres!$A$1:$I$89,5,0)</f>
        <v>186.39360000000033</v>
      </c>
      <c r="P100" s="13">
        <f t="shared" si="87"/>
        <v>46.741741929451443</v>
      </c>
      <c r="Q100" s="20">
        <f t="shared" si="107"/>
        <v>406.04405386046182</v>
      </c>
      <c r="R100" s="59">
        <f t="shared" si="55"/>
        <v>699.37738719379513</v>
      </c>
      <c r="S100" s="59">
        <f ca="1">AVERAGE(OFFSET($R$3,0,0,'Données projet'!$E$9+1,1))-AVERAGE(OFFSET($H$3,0,0,'Données projet'!$E$9+1,1))</f>
        <v>164.93438869099657</v>
      </c>
      <c r="T100" s="59">
        <f t="shared" si="88"/>
        <v>112.28641356594233</v>
      </c>
      <c r="U100" s="15">
        <f>IF(ISNA(VLOOKUP(A100,'Données projet'!$A$35:$I$55,3,0)),0,VLOOKUP(A100,'Données projet'!$A$35:$I$55,3,0))</f>
        <v>5</v>
      </c>
      <c r="V100" s="15">
        <f>IF(ISNA(VLOOKUP(A100,'Données projet'!$A$35:$I$55,4,0)),0,VLOOKUP(A100,'Données projet'!$A$35:$I$55,4,0))</f>
        <v>79.669230769230765</v>
      </c>
      <c r="W100" s="16">
        <f>IF(ISNA(VLOOKUP(A100,'Données projet'!$A$35:$I$55,5,0)),0%,VLOOKUP(A100,'Données projet'!$A$35:$I$55,5,0)*VLOOKUP('Données projet'!$B$9,Paramètres!$A$1:$I$89,7,0))</f>
        <v>0.38500000000000001</v>
      </c>
      <c r="X100" s="16">
        <f>IF(ISNA(VLOOKUP(A100,'Données projet'!$A$35:$I$55,6,0)),0%,VLOOKUP(A100,'Données projet'!$A$35:$I$55,6,0)*VLOOKUP('Données projet'!$B$9,Paramètres!$A$1:$I$89,7,0))</f>
        <v>9.240000000000001E-2</v>
      </c>
      <c r="Y100" s="16">
        <f>IF(ISNA(VLOOKUP(A100,'Données projet'!$A$35:$I$55,7,0)),0%,VLOOKUP(A100,'Données projet'!$A$35:$I$55,7,0))</f>
        <v>0.13200000000000001</v>
      </c>
      <c r="Z100" s="21">
        <f>EXP(-LN(2)/35)*Z99+(1-EXP(-LN(2)/35))/(LN(2)/35)*V100*W100*VLOOKUP('Données projet'!$B$9,Paramètres!$A$1:$I$89,3,0)*0.475*44/12</f>
        <v>60.110439571641187</v>
      </c>
      <c r="AA100" s="21">
        <f>EXP(-LN(2)/25)*AA99+(1-EXP(-LN(2)/25))/(LN(2)/25)*Calculateur!V100*Calculateur!X100*VLOOKUP('Données projet'!$B$9,Paramètres!$A$1:$I$89,3,0)*0.475*44/12</f>
        <v>21.84012432948392</v>
      </c>
      <c r="AB100" s="21">
        <f>EXP(-LN(2)/2)*AB99+(1-EXP(-LN(2)/2))/(LN(2)/2)*V100*Y100*VLOOKUP('Données projet'!$B$9,Paramètres!$A$1:$I$89,3,0)*0.475*44/12</f>
        <v>5.6671975078443229</v>
      </c>
      <c r="AC100" s="22">
        <f t="shared" si="57"/>
        <v>87.617761408969429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273.81843612193632</v>
      </c>
      <c r="AO100" s="59">
        <f t="shared" si="90"/>
        <v>241.86405419073208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-6.3550942286383367E-14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271.42245454555501</v>
      </c>
      <c r="BJ100" s="59">
        <f t="shared" si="92"/>
        <v>362.63944425429077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98.658225188783391</v>
      </c>
      <c r="BQ100" s="21">
        <f>EXP(-LN(2)/25)*BQ99+(1-EXP(-LN(2)/25))/(LN(2)/25)*Calculateur!BL100*Calculateur!BN100*VLOOKUP('Données projet'!$B$11,Paramètres!$A$1:$I$89,3,0)*0.475*44/12</f>
        <v>17.978356820000041</v>
      </c>
      <c r="BR100" s="21">
        <f>EXP(-LN(2)/2)*BR99+(1-EXP(-LN(2)/2))/(LN(2)/2)*BL100*BO100*VLOOKUP('Données projet'!$B$11,Paramètres!$A$1:$I$89,3,0)*0.475*44/12</f>
        <v>1.6289379121834027E-5</v>
      </c>
      <c r="BS100" s="22">
        <f t="shared" si="63"/>
        <v>116.63659829816255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-3.1036506698001178E-14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154.35821558431712</v>
      </c>
      <c r="CE100" s="59">
        <f t="shared" si="94"/>
        <v>263.86720460501306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21.810579907158921</v>
      </c>
      <c r="CL100" s="21">
        <f>EXP(-LN(2)/25)*CL99+(1-EXP(-LN(2)/25))/(LN(2)/25)*Calculateur!CG100*Calculateur!CI100*VLOOKUP('Données projet'!$B$12,Paramètres!$A$1:$I$89,3,0)*0.475*44/12</f>
        <v>30.869035049923486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52.679614957082407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213</v>
      </c>
      <c r="CU100" s="17">
        <f>CT100*VLOOKUP('Données projet'!$B$13,Paramètres!$A$1:$I$89,3,0)*VLOOKUP('Données projet'!$B$13,Paramètres!$A$1:$I$89,5,0)</f>
        <v>169.46279999999999</v>
      </c>
      <c r="CV100" s="13">
        <f t="shared" si="95"/>
        <v>42.969686502194378</v>
      </c>
      <c r="CW100" s="20">
        <f t="shared" si="67"/>
        <v>369.9865806579885</v>
      </c>
      <c r="CX100" s="59">
        <f t="shared" si="68"/>
        <v>663.31991399132176</v>
      </c>
      <c r="CY100" s="59">
        <f ca="1">AVERAGE(OFFSET($CX$3,0,0,'Données projet'!$E$13+1,1))-AVERAGE(OFFSET($H$3,0,0,'Données projet'!$E$13+1,1))</f>
        <v>157.25319335691853</v>
      </c>
      <c r="CZ100" s="59">
        <f t="shared" si="96"/>
        <v>159.50903492442171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8.0554709535757638</v>
      </c>
      <c r="DG100" s="21">
        <f>EXP(-LN(2)/25)*DG99+(1-EXP(-LN(2)/25))/(LN(2)/25)*Calculateur!DB100*Calculateur!DD100*VLOOKUP('Données projet'!$B$13,Paramètres!$A$1:$I$89,3,0)*0.475*44/12</f>
        <v>5.4538487805142628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13.509319734090028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3</v>
      </c>
      <c r="DO100" s="12">
        <f>IF('Données projet'!$A$166&gt;35,DO99+DN100-DW99,IF(A100&lt;'Données projet'!$A$166,$DL$205^A100,IF(A100='Données projet'!$A$166,'Données projet'!$B$166,DO99+DN100-DW99)))</f>
        <v>230.99999999999994</v>
      </c>
      <c r="DP100" s="17">
        <f>DO100*VLOOKUP('Données projet'!$B$14,Paramètres!$A$1:$I$89,3,0)*VLOOKUP('Données projet'!$B$14,Paramètres!$A$1:$I$89,5,0)</f>
        <v>201.80159999999998</v>
      </c>
      <c r="DQ100" s="13">
        <f t="shared" si="97"/>
        <v>50.139897992681668</v>
      </c>
      <c r="DR100" s="20">
        <f t="shared" si="70"/>
        <v>438.7981090039205</v>
      </c>
      <c r="DS100" s="59">
        <f t="shared" si="71"/>
        <v>732.13144233725382</v>
      </c>
      <c r="DT100" s="59">
        <f ca="1">AVERAGE(OFFSET($DS$3,0,0,'Données projet'!$E$14+1,1))-AVERAGE(OFFSET($H$3,0,0,'Données projet'!$E$14+1,1))</f>
        <v>229.5312221178919</v>
      </c>
      <c r="DU100" s="59">
        <f t="shared" si="98"/>
        <v>218.1982095871906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17.120270099205641</v>
      </c>
      <c r="EB100" s="21">
        <f>EXP(-LN(2)/25)*EB99+(1-EXP(-LN(2)/25))/(LN(2)/25)*Calculateur!DW100*Calculateur!DY100*VLOOKUP('Données projet'!$B$14,Paramètres!$A$1:$I$89,3,0)*0.475*44/12</f>
        <v>14.186519512087347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31.306789611292988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5.2583333333333373</v>
      </c>
      <c r="EJ100" s="12">
        <f>IF('Données projet'!$A$192&gt;35,EJ99+EI100-ER99,IF(A100&lt;'Données projet'!$A$192,$EG$205^A100,IF(A100='Données projet'!$A$192,'Données projet'!$B$192,EJ99+EI100-ER99)))</f>
        <v>203.21923076923051</v>
      </c>
      <c r="EK100" s="17">
        <f>EJ100*VLOOKUP('Données projet'!$B$15,Paramètres!$A$1:$I$89,3,0)*VLOOKUP('Données projet'!$B$15,Paramètres!$A$1:$I$89,5,0)</f>
        <v>183.87275999999974</v>
      </c>
      <c r="EL100" s="13">
        <f t="shared" si="99"/>
        <v>46.182733545341328</v>
      </c>
      <c r="EM100" s="20">
        <f t="shared" si="73"/>
        <v>400.67998459146901</v>
      </c>
      <c r="EN100" s="59">
        <f t="shared" si="74"/>
        <v>694.01331792480232</v>
      </c>
      <c r="EO100" s="59">
        <f ca="1">AVERAGE(OFFSET($EN$3,0,0,'Données projet'!$E$15+1,1))-AVERAGE(OFFSET($H$3,0,0,'Données projet'!$E$15+1,1))</f>
        <v>204.39656982394689</v>
      </c>
      <c r="EP100" s="59">
        <f t="shared" si="100"/>
        <v>134.95704640904546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22.55296313608401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22.55296313608401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6.4556623931623944</v>
      </c>
      <c r="FE100" s="12">
        <f>IF('Données projet'!$A$218&gt;35,FE99+FD100-FM99,IF(A100&lt;'Données projet'!$A$218,$FB$205^A100,IF(A100='Données projet'!$A$218,'Données projet'!$B$218,FE99+FD100-FM99)))</f>
        <v>209.18803418803466</v>
      </c>
      <c r="FF100" s="17">
        <f>FE100*VLOOKUP('Données projet'!$B$16,Paramètres!$A$1:$I$89,3,0)*VLOOKUP('Données projet'!$B$16,Paramètres!$A$1:$I$89,5,0)</f>
        <v>179.48333333333377</v>
      </c>
      <c r="FG100" s="13">
        <f t="shared" si="101"/>
        <v>45.207218128868327</v>
      </c>
      <c r="FH100" s="20">
        <f t="shared" si="76"/>
        <v>391.33604379666866</v>
      </c>
      <c r="FI100" s="59">
        <f t="shared" si="77"/>
        <v>684.66937713000198</v>
      </c>
      <c r="FJ100" s="59">
        <f ca="1">AVERAGE(OFFSET($FI$3,0,0,'Données projet'!$E$16+1,1))-AVERAGE(OFFSET($H$3,0,0,'Données projet'!$E$16+1,1))</f>
        <v>199.60585215726968</v>
      </c>
      <c r="FK100" s="59">
        <f t="shared" si="102"/>
        <v>137.37366750114404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12.415995230244192</v>
      </c>
      <c r="FR100" s="21">
        <f>EXP(-LN(2)/25)*FR99+(1-EXP(-LN(2)/25))/(LN(2)/25)*Calculateur!FM100*Calculateur!FO100*VLOOKUP('Données projet'!$B$16,Paramètres!$A$1:$I$89,3,0)*0.475*44/12</f>
        <v>17.681428204546823</v>
      </c>
      <c r="FS100" s="21">
        <f>EXP(-LN(2)/2)*FS99+(1-EXP(-LN(2)/2))/(LN(2)/2)*FM100*FP100*VLOOKUP('Données projet'!$B$16,Paramètres!$A$1:$I$89,3,0)*0.475*44/12</f>
        <v>2.0751074695889717</v>
      </c>
      <c r="FT100" s="22">
        <f t="shared" si="78"/>
        <v>32.17253090437999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7.882692307692305</v>
      </c>
      <c r="N101" s="13">
        <f>IF('Données projet'!$A$36&gt;35,N100+M101-V100,IF(A101&lt;'Données projet'!$A$36,$K$205^A101,IF(A101='Données projet'!$A$36,'Données projet'!$B$36,N100+M101-V100)))</f>
        <v>326.49038461538532</v>
      </c>
      <c r="O101" s="13">
        <f>N101*VLOOKUP('Données projet'!$B$9,Paramètres!$A$1:$I$89,3,0)*VLOOKUP('Données projet'!$B$9,Paramètres!$A$1:$I$89,5,0)</f>
        <v>152.79750000000033</v>
      </c>
      <c r="P101" s="13">
        <f t="shared" si="87"/>
        <v>39.213642223408968</v>
      </c>
      <c r="Q101" s="20">
        <f t="shared" si="107"/>
        <v>334.41940603910456</v>
      </c>
      <c r="R101" s="59">
        <f t="shared" si="55"/>
        <v>627.75273937243787</v>
      </c>
      <c r="S101" s="59">
        <f ca="1">AVERAGE(OFFSET($R$3,0,0,'Données projet'!$E$9+1,1))-AVERAGE(OFFSET($H$3,0,0,'Données projet'!$E$9+1,1))</f>
        <v>164.93438869099657</v>
      </c>
      <c r="T101" s="59">
        <f t="shared" si="88"/>
        <v>112.28641356594233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58.931710515389199</v>
      </c>
      <c r="AA101" s="21">
        <f>EXP(-LN(2)/25)*AA100+(1-EXP(-LN(2)/25))/(LN(2)/25)*Calculateur!V101*Calculateur!X101*VLOOKUP('Données projet'!$B$9,Paramètres!$A$1:$I$89,3,0)*0.475*44/12</f>
        <v>21.242904981171961</v>
      </c>
      <c r="AB101" s="21">
        <f>EXP(-LN(2)/2)*AB100+(1-EXP(-LN(2)/2))/(LN(2)/2)*V101*Y101*VLOOKUP('Données projet'!$B$9,Paramètres!$A$1:$I$89,3,0)*0.475*44/12</f>
        <v>4.0073137881202232</v>
      </c>
      <c r="AC101" s="22">
        <f t="shared" si="57"/>
        <v>84.181929284681388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273.81843612193632</v>
      </c>
      <c r="AO101" s="59">
        <f t="shared" si="90"/>
        <v>241.86405419073208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-6.3550942286383367E-14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271.42245454555501</v>
      </c>
      <c r="BJ101" s="59">
        <f t="shared" si="92"/>
        <v>362.63944425429077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96.723597568406873</v>
      </c>
      <c r="BQ101" s="21">
        <f>EXP(-LN(2)/25)*BQ100+(1-EXP(-LN(2)/25))/(LN(2)/25)*Calculateur!BL101*Calculateur!BN101*VLOOKUP('Données projet'!$B$11,Paramètres!$A$1:$I$89,3,0)*0.475*44/12</f>
        <v>17.486737707316443</v>
      </c>
      <c r="BR101" s="21">
        <f>EXP(-LN(2)/2)*BR100+(1-EXP(-LN(2)/2))/(LN(2)/2)*BL101*BO101*VLOOKUP('Données projet'!$B$11,Paramètres!$A$1:$I$89,3,0)*0.475*44/12</f>
        <v>1.1518330438367409E-5</v>
      </c>
      <c r="BS101" s="22">
        <f t="shared" si="63"/>
        <v>114.21034679405375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-3.1036506698001178E-14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154.35821558431712</v>
      </c>
      <c r="CE101" s="59">
        <f t="shared" si="94"/>
        <v>263.86720460501306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21.382887738319702</v>
      </c>
      <c r="CL101" s="21">
        <f>EXP(-LN(2)/25)*CL100+(1-EXP(-LN(2)/25))/(LN(2)/25)*Calculateur!CG101*Calculateur!CI101*VLOOKUP('Données projet'!$B$12,Paramètres!$A$1:$I$89,3,0)*0.475*44/12</f>
        <v>30.024919663151326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51.407807401471032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213</v>
      </c>
      <c r="CU101" s="17">
        <f>CT101*VLOOKUP('Données projet'!$B$13,Paramètres!$A$1:$I$89,3,0)*VLOOKUP('Données projet'!$B$13,Paramètres!$A$1:$I$89,5,0)</f>
        <v>169.46279999999999</v>
      </c>
      <c r="CV101" s="13">
        <f t="shared" si="95"/>
        <v>42.969686502194378</v>
      </c>
      <c r="CW101" s="20">
        <f t="shared" si="67"/>
        <v>369.9865806579885</v>
      </c>
      <c r="CX101" s="59">
        <f t="shared" si="68"/>
        <v>663.31991399132176</v>
      </c>
      <c r="CY101" s="59">
        <f ca="1">AVERAGE(OFFSET($CX$3,0,0,'Données projet'!$E$13+1,1))-AVERAGE(OFFSET($H$3,0,0,'Données projet'!$E$13+1,1))</f>
        <v>157.25319335691853</v>
      </c>
      <c r="CZ101" s="59">
        <f t="shared" si="96"/>
        <v>159.50903492442171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7.8975080815282714</v>
      </c>
      <c r="DG101" s="21">
        <f>EXP(-LN(2)/25)*DG100+(1-EXP(-LN(2)/25))/(LN(2)/25)*Calculateur!DB101*Calculateur!DD101*VLOOKUP('Données projet'!$B$13,Paramètres!$A$1:$I$89,3,0)*0.475*44/12</f>
        <v>5.3047129988056581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13.202221080333929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3</v>
      </c>
      <c r="DO101" s="12">
        <f>IF('Données projet'!$A$166&gt;35,DO100+DN101-DW100,IF(A101&lt;'Données projet'!$A$166,$DL$205^A101,IF(A101='Données projet'!$A$166,'Données projet'!$B$166,DO100+DN101-DW100)))</f>
        <v>233.99999999999994</v>
      </c>
      <c r="DP101" s="17">
        <f>DO101*VLOOKUP('Données projet'!$B$14,Paramètres!$A$1:$I$89,3,0)*VLOOKUP('Données projet'!$B$14,Paramètres!$A$1:$I$89,5,0)</f>
        <v>204.42239999999998</v>
      </c>
      <c r="DQ101" s="13">
        <f t="shared" si="97"/>
        <v>50.714836797527262</v>
      </c>
      <c r="DR101" s="20">
        <f t="shared" si="70"/>
        <v>444.36402075569328</v>
      </c>
      <c r="DS101" s="59">
        <f t="shared" si="71"/>
        <v>737.69735408902659</v>
      </c>
      <c r="DT101" s="59">
        <f ca="1">AVERAGE(OFFSET($DS$3,0,0,'Données projet'!$E$14+1,1))-AVERAGE(OFFSET($H$3,0,0,'Données projet'!$E$14+1,1))</f>
        <v>229.5312221178919</v>
      </c>
      <c r="DU101" s="59">
        <f t="shared" si="98"/>
        <v>218.1982095871906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16.784552044893882</v>
      </c>
      <c r="EB101" s="21">
        <f>EXP(-LN(2)/25)*EB100+(1-EXP(-LN(2)/25))/(LN(2)/25)*Calculateur!DW101*Calculateur!DY101*VLOOKUP('Données projet'!$B$14,Paramètres!$A$1:$I$89,3,0)*0.475*44/12</f>
        <v>13.798588389992682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30.583140434886566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5.2583333333333373</v>
      </c>
      <c r="EJ101" s="12">
        <f>IF('Données projet'!$A$192&gt;35,EJ100+EI101-ER100,IF(A101&lt;'Données projet'!$A$192,$EG$205^A101,IF(A101='Données projet'!$A$192,'Données projet'!$B$192,EJ100+EI101-ER100)))</f>
        <v>208.47756410256383</v>
      </c>
      <c r="EK101" s="17">
        <f>EJ101*VLOOKUP('Données projet'!$B$15,Paramètres!$A$1:$I$89,3,0)*VLOOKUP('Données projet'!$B$15,Paramètres!$A$1:$I$89,5,0)</f>
        <v>188.63049999999973</v>
      </c>
      <c r="EL101" s="13">
        <f t="shared" si="99"/>
        <v>47.237048488890842</v>
      </c>
      <c r="EM101" s="20">
        <f t="shared" si="73"/>
        <v>410.80264695148441</v>
      </c>
      <c r="EN101" s="59">
        <f t="shared" si="74"/>
        <v>704.13598028481772</v>
      </c>
      <c r="EO101" s="59">
        <f ca="1">AVERAGE(OFFSET($EN$3,0,0,'Données projet'!$E$15+1,1))-AVERAGE(OFFSET($H$3,0,0,'Données projet'!$E$15+1,1))</f>
        <v>204.39656982394689</v>
      </c>
      <c r="EP101" s="59">
        <f t="shared" si="100"/>
        <v>134.95704640904546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22.110713284934629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22.110713284934629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6.4556623931623944</v>
      </c>
      <c r="FE101" s="12">
        <f>IF('Données projet'!$A$218&gt;35,FE100+FD101-FM100,IF(A101&lt;'Données projet'!$A$218,$FB$205^A101,IF(A101='Données projet'!$A$218,'Données projet'!$B$218,FE100+FD101-FM100)))</f>
        <v>215.64369658119705</v>
      </c>
      <c r="FF101" s="17">
        <f>FE101*VLOOKUP('Données projet'!$B$16,Paramètres!$A$1:$I$89,3,0)*VLOOKUP('Données projet'!$B$16,Paramètres!$A$1:$I$89,5,0)</f>
        <v>185.02229166666709</v>
      </c>
      <c r="FG101" s="13">
        <f t="shared" si="101"/>
        <v>46.437757634432245</v>
      </c>
      <c r="FH101" s="20">
        <f t="shared" si="76"/>
        <v>403.12625253274797</v>
      </c>
      <c r="FI101" s="59">
        <f t="shared" si="77"/>
        <v>696.45958586608128</v>
      </c>
      <c r="FJ101" s="59">
        <f ca="1">AVERAGE(OFFSET($FI$3,0,0,'Données projet'!$E$16+1,1))-AVERAGE(OFFSET($H$3,0,0,'Données projet'!$E$16+1,1))</f>
        <v>199.60585215726968</v>
      </c>
      <c r="FK101" s="59">
        <f t="shared" si="102"/>
        <v>137.37366750114404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12.172525136788421</v>
      </c>
      <c r="FR101" s="21">
        <f>EXP(-LN(2)/25)*FR100+(1-EXP(-LN(2)/25))/(LN(2)/25)*Calculateur!FM101*Calculateur!FO101*VLOOKUP('Données projet'!$B$16,Paramètres!$A$1:$I$89,3,0)*0.475*44/12</f>
        <v>17.197928620467593</v>
      </c>
      <c r="FS101" s="21">
        <f>EXP(-LN(2)/2)*FS100+(1-EXP(-LN(2)/2))/(LN(2)/2)*FM101*FP101*VLOOKUP('Données projet'!$B$16,Paramètres!$A$1:$I$89,3,0)*0.475*44/12</f>
        <v>1.4673225634372196</v>
      </c>
      <c r="FT101" s="22">
        <f t="shared" si="78"/>
        <v>30.837776320693234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7.882692307692305</v>
      </c>
      <c r="N102" s="13">
        <f>IF('Données projet'!$A$36&gt;35,N101+M102-V101,IF(A102&lt;'Données projet'!$A$36,$K$205^A102,IF(A102='Données projet'!$A$36,'Données projet'!$B$36,N101+M102-V101)))</f>
        <v>334.37307692307763</v>
      </c>
      <c r="O102" s="13">
        <f>N102*VLOOKUP('Données projet'!$B$9,Paramètres!$A$1:$I$89,3,0)*VLOOKUP('Données projet'!$B$9,Paramètres!$A$1:$I$89,5,0)</f>
        <v>156.48660000000032</v>
      </c>
      <c r="P102" s="13">
        <f t="shared" si="87"/>
        <v>40.049037096609261</v>
      </c>
      <c r="Q102" s="20">
        <f t="shared" si="107"/>
        <v>342.29956794326159</v>
      </c>
      <c r="R102" s="59">
        <f t="shared" si="55"/>
        <v>635.63290127659491</v>
      </c>
      <c r="S102" s="59">
        <f ca="1">AVERAGE(OFFSET($R$3,0,0,'Données projet'!$E$9+1,1))-AVERAGE(OFFSET($H$3,0,0,'Données projet'!$E$9+1,1))</f>
        <v>164.93438869099657</v>
      </c>
      <c r="T102" s="59">
        <f t="shared" si="88"/>
        <v>112.28641356594233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57.776095616976576</v>
      </c>
      <c r="AA102" s="21">
        <f>EXP(-LN(2)/25)*AA101+(1-EXP(-LN(2)/25))/(LN(2)/25)*Calculateur!V102*Calculateur!X102*VLOOKUP('Données projet'!$B$9,Paramètres!$A$1:$I$89,3,0)*0.475*44/12</f>
        <v>20.662016627345992</v>
      </c>
      <c r="AB102" s="21">
        <f>EXP(-LN(2)/2)*AB101+(1-EXP(-LN(2)/2))/(LN(2)/2)*V102*Y102*VLOOKUP('Données projet'!$B$9,Paramètres!$A$1:$I$89,3,0)*0.475*44/12</f>
        <v>2.8335987539221619</v>
      </c>
      <c r="AC102" s="22">
        <f t="shared" si="57"/>
        <v>81.271710998244728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273.81843612193632</v>
      </c>
      <c r="AO102" s="59">
        <f t="shared" si="90"/>
        <v>241.86405419073208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-6.3550942286383367E-14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271.42245454555501</v>
      </c>
      <c r="BJ102" s="59">
        <f t="shared" si="92"/>
        <v>362.63944425429077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94.826906815659598</v>
      </c>
      <c r="BQ102" s="21">
        <f>EXP(-LN(2)/25)*BQ101+(1-EXP(-LN(2)/25))/(LN(2)/25)*Calculateur!BL102*Calculateur!BN102*VLOOKUP('Données projet'!$B$11,Paramètres!$A$1:$I$89,3,0)*0.475*44/12</f>
        <v>17.008561945122306</v>
      </c>
      <c r="BR102" s="21">
        <f>EXP(-LN(2)/2)*BR101+(1-EXP(-LN(2)/2))/(LN(2)/2)*BL102*BO102*VLOOKUP('Données projet'!$B$11,Paramètres!$A$1:$I$89,3,0)*0.475*44/12</f>
        <v>8.1446895609170135E-6</v>
      </c>
      <c r="BS102" s="22">
        <f t="shared" si="63"/>
        <v>111.83547690547147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-3.1036506698001178E-14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154.35821558431712</v>
      </c>
      <c r="CE102" s="59">
        <f t="shared" si="94"/>
        <v>263.86720460501306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20.963582352044956</v>
      </c>
      <c r="CL102" s="21">
        <f>EXP(-LN(2)/25)*CL101+(1-EXP(-LN(2)/25))/(LN(2)/25)*Calculateur!CG102*Calculateur!CI102*VLOOKUP('Données projet'!$B$12,Paramètres!$A$1:$I$89,3,0)*0.475*44/12</f>
        <v>29.203886656020551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50.16746900806551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213</v>
      </c>
      <c r="CU102" s="17">
        <f>CT102*VLOOKUP('Données projet'!$B$13,Paramètres!$A$1:$I$89,3,0)*VLOOKUP('Données projet'!$B$13,Paramètres!$A$1:$I$89,5,0)</f>
        <v>169.46279999999999</v>
      </c>
      <c r="CV102" s="13">
        <f t="shared" si="95"/>
        <v>42.969686502194378</v>
      </c>
      <c r="CW102" s="20">
        <f t="shared" si="67"/>
        <v>369.9865806579885</v>
      </c>
      <c r="CX102" s="59">
        <f t="shared" si="68"/>
        <v>663.31991399132176</v>
      </c>
      <c r="CY102" s="59">
        <f ca="1">AVERAGE(OFFSET($CX$3,0,0,'Données projet'!$E$13+1,1))-AVERAGE(OFFSET($H$3,0,0,'Données projet'!$E$13+1,1))</f>
        <v>157.25319335691853</v>
      </c>
      <c r="CZ102" s="59">
        <f t="shared" si="96"/>
        <v>159.50903492442171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7.7426427650537919</v>
      </c>
      <c r="DG102" s="21">
        <f>EXP(-LN(2)/25)*DG101+(1-EXP(-LN(2)/25))/(LN(2)/25)*Calculateur!DB102*Calculateur!DD102*VLOOKUP('Données projet'!$B$13,Paramètres!$A$1:$I$89,3,0)*0.475*44/12</f>
        <v>5.1596553428905851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12.902298107944377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3</v>
      </c>
      <c r="DO102" s="12">
        <f>IF('Données projet'!$A$166&gt;35,DO101+DN102-DW101,IF(A102&lt;'Données projet'!$A$166,$DL$205^A102,IF(A102='Données projet'!$A$166,'Données projet'!$B$166,DO101+DN102-DW101)))</f>
        <v>236.99999999999994</v>
      </c>
      <c r="DP102" s="17">
        <f>DO102*VLOOKUP('Données projet'!$B$14,Paramètres!$A$1:$I$89,3,0)*VLOOKUP('Données projet'!$B$14,Paramètres!$A$1:$I$89,5,0)</f>
        <v>207.04319999999996</v>
      </c>
      <c r="DQ102" s="13">
        <f t="shared" si="97"/>
        <v>51.288918231806321</v>
      </c>
      <c r="DR102" s="20">
        <f t="shared" si="70"/>
        <v>449.92843925372921</v>
      </c>
      <c r="DS102" s="59">
        <f t="shared" si="71"/>
        <v>743.26177258706252</v>
      </c>
      <c r="DT102" s="59">
        <f ca="1">AVERAGE(OFFSET($DS$3,0,0,'Données projet'!$E$14+1,1))-AVERAGE(OFFSET($H$3,0,0,'Données projet'!$E$14+1,1))</f>
        <v>229.5312221178919</v>
      </c>
      <c r="DU102" s="59">
        <f t="shared" si="98"/>
        <v>218.1982095871906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16.455417216859384</v>
      </c>
      <c r="EB102" s="21">
        <f>EXP(-LN(2)/25)*EB101+(1-EXP(-LN(2)/25))/(LN(2)/25)*Calculateur!DW102*Calculateur!DY102*VLOOKUP('Données projet'!$B$14,Paramètres!$A$1:$I$89,3,0)*0.475*44/12</f>
        <v>13.421265264832106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29.876682481691489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5.2583333333333373</v>
      </c>
      <c r="EJ102" s="12">
        <f>IF('Données projet'!$A$192&gt;35,EJ101+EI102-ER101,IF(A102&lt;'Données projet'!$A$192,$EG$205^A102,IF(A102='Données projet'!$A$192,'Données projet'!$B$192,EJ101+EI102-ER101)))</f>
        <v>213.73589743589716</v>
      </c>
      <c r="EK102" s="17">
        <f>EJ102*VLOOKUP('Données projet'!$B$15,Paramètres!$A$1:$I$89,3,0)*VLOOKUP('Données projet'!$B$15,Paramètres!$A$1:$I$89,5,0)</f>
        <v>193.38823999999974</v>
      </c>
      <c r="EL102" s="13">
        <f t="shared" si="99"/>
        <v>48.288272258589146</v>
      </c>
      <c r="EM102" s="20">
        <f t="shared" si="73"/>
        <v>420.91992551704237</v>
      </c>
      <c r="EN102" s="59">
        <f t="shared" si="74"/>
        <v>714.25325885037569</v>
      </c>
      <c r="EO102" s="59">
        <f ca="1">AVERAGE(OFFSET($EN$3,0,0,'Données projet'!$E$15+1,1))-AVERAGE(OFFSET($H$3,0,0,'Données projet'!$E$15+1,1))</f>
        <v>204.39656982394689</v>
      </c>
      <c r="EP102" s="59">
        <f t="shared" si="100"/>
        <v>134.95704640904546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21.677135683620513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21.677135683620513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6.4556623931623944</v>
      </c>
      <c r="FE102" s="12">
        <f>IF('Données projet'!$A$218&gt;35,FE101+FD102-FM101,IF(A102&lt;'Données projet'!$A$218,$FB$205^A102,IF(A102='Données projet'!$A$218,'Données projet'!$B$218,FE101+FD102-FM101)))</f>
        <v>222.09935897435943</v>
      </c>
      <c r="FF102" s="17">
        <f>FE102*VLOOKUP('Données projet'!$B$16,Paramètres!$A$1:$I$89,3,0)*VLOOKUP('Données projet'!$B$16,Paramètres!$A$1:$I$89,5,0)</f>
        <v>190.56125000000043</v>
      </c>
      <c r="FG102" s="13">
        <f t="shared" si="101"/>
        <v>47.66401594833556</v>
      </c>
      <c r="FH102" s="20">
        <f t="shared" si="76"/>
        <v>414.90900486001851</v>
      </c>
      <c r="FI102" s="59">
        <f t="shared" si="77"/>
        <v>708.24233819335177</v>
      </c>
      <c r="FJ102" s="59">
        <f ca="1">AVERAGE(OFFSET($FI$3,0,0,'Données projet'!$E$16+1,1))-AVERAGE(OFFSET($H$3,0,0,'Données projet'!$E$16+1,1))</f>
        <v>199.60585215726968</v>
      </c>
      <c r="FK102" s="59">
        <f t="shared" si="102"/>
        <v>137.37366750114404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11.933829343363223</v>
      </c>
      <c r="FR102" s="21">
        <f>EXP(-LN(2)/25)*FR101+(1-EXP(-LN(2)/25))/(LN(2)/25)*Calculateur!FM102*Calculateur!FO102*VLOOKUP('Données projet'!$B$16,Paramètres!$A$1:$I$89,3,0)*0.475*44/12</f>
        <v>16.727650357941148</v>
      </c>
      <c r="FS102" s="21">
        <f>EXP(-LN(2)/2)*FS101+(1-EXP(-LN(2)/2))/(LN(2)/2)*FM102*FP102*VLOOKUP('Données projet'!$B$16,Paramètres!$A$1:$I$89,3,0)*0.475*44/12</f>
        <v>1.0375537347944861</v>
      </c>
      <c r="FT102" s="22">
        <f t="shared" si="78"/>
        <v>29.699033436098858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7.882692307692305</v>
      </c>
      <c r="N103" s="13">
        <f>IF('Données projet'!$A$36&gt;35,N102+M103-V102,IF(A103&lt;'Données projet'!$A$36,$K$205^A103,IF(A103='Données projet'!$A$36,'Données projet'!$B$36,N102+M103-V102)))</f>
        <v>342.25576923076994</v>
      </c>
      <c r="O103" s="13">
        <f>N103*VLOOKUP('Données projet'!$B$9,Paramètres!$A$1:$I$89,3,0)*VLOOKUP('Données projet'!$B$9,Paramètres!$A$1:$I$89,5,0)</f>
        <v>160.17570000000035</v>
      </c>
      <c r="P103" s="13">
        <f t="shared" si="87"/>
        <v>40.882142500403575</v>
      </c>
      <c r="Q103" s="20">
        <f t="shared" si="107"/>
        <v>350.17574235487018</v>
      </c>
      <c r="R103" s="59">
        <f t="shared" si="55"/>
        <v>643.50907568820344</v>
      </c>
      <c r="S103" s="59">
        <f ca="1">AVERAGE(OFFSET($R$3,0,0,'Données projet'!$E$9+1,1))-AVERAGE(OFFSET($H$3,0,0,'Données projet'!$E$9+1,1))</f>
        <v>164.93438869099657</v>
      </c>
      <c r="T103" s="59">
        <f t="shared" si="88"/>
        <v>112.28641356594233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56.643141621866334</v>
      </c>
      <c r="AA103" s="21">
        <f>EXP(-LN(2)/25)*AA102+(1-EXP(-LN(2)/25))/(LN(2)/25)*Calculateur!V103*Calculateur!X103*VLOOKUP('Données projet'!$B$9,Paramètres!$A$1:$I$89,3,0)*0.475*44/12</f>
        <v>20.097012696102986</v>
      </c>
      <c r="AB103" s="21">
        <f>EXP(-LN(2)/2)*AB102+(1-EXP(-LN(2)/2))/(LN(2)/2)*V103*Y103*VLOOKUP('Données projet'!$B$9,Paramètres!$A$1:$I$89,3,0)*0.475*44/12</f>
        <v>2.003656894060112</v>
      </c>
      <c r="AC103" s="22">
        <f t="shared" si="57"/>
        <v>78.743811212029428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273.81843612193632</v>
      </c>
      <c r="AO103" s="59">
        <f t="shared" si="90"/>
        <v>241.86405419073208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-6.3550942286383367E-14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271.42245454555501</v>
      </c>
      <c r="BJ103" s="59">
        <f t="shared" si="92"/>
        <v>362.63944425429077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92.967409011706579</v>
      </c>
      <c r="BQ103" s="21">
        <f>EXP(-LN(2)/25)*BQ102+(1-EXP(-LN(2)/25))/(LN(2)/25)*Calculateur!BL103*Calculateur!BN103*VLOOKUP('Données projet'!$B$11,Paramètres!$A$1:$I$89,3,0)*0.475*44/12</f>
        <v>16.543461924291538</v>
      </c>
      <c r="BR103" s="21">
        <f>EXP(-LN(2)/2)*BR102+(1-EXP(-LN(2)/2))/(LN(2)/2)*BL103*BO103*VLOOKUP('Données projet'!$B$11,Paramètres!$A$1:$I$89,3,0)*0.475*44/12</f>
        <v>5.7591652191837045E-6</v>
      </c>
      <c r="BS103" s="22">
        <f t="shared" si="63"/>
        <v>109.51087669516333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-3.1036506698001178E-14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154.35821558431712</v>
      </c>
      <c r="CE103" s="59">
        <f t="shared" si="94"/>
        <v>263.86720460501306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20.552499288644025</v>
      </c>
      <c r="CL103" s="21">
        <f>EXP(-LN(2)/25)*CL102+(1-EXP(-LN(2)/25))/(LN(2)/25)*Calculateur!CG103*Calculateur!CI103*VLOOKUP('Données projet'!$B$12,Paramètres!$A$1:$I$89,3,0)*0.475*44/12</f>
        <v>28.405304839646014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48.957804128290036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213</v>
      </c>
      <c r="CU103" s="17">
        <f>CT103*VLOOKUP('Données projet'!$B$13,Paramètres!$A$1:$I$89,3,0)*VLOOKUP('Données projet'!$B$13,Paramètres!$A$1:$I$89,5,0)</f>
        <v>169.46279999999999</v>
      </c>
      <c r="CV103" s="13">
        <f t="shared" si="95"/>
        <v>42.969686502194378</v>
      </c>
      <c r="CW103" s="20">
        <f t="shared" si="67"/>
        <v>369.9865806579885</v>
      </c>
      <c r="CX103" s="59">
        <f t="shared" si="68"/>
        <v>663.31991399132176</v>
      </c>
      <c r="CY103" s="59">
        <f ca="1">AVERAGE(OFFSET($CX$3,0,0,'Données projet'!$E$13+1,1))-AVERAGE(OFFSET($H$3,0,0,'Données projet'!$E$13+1,1))</f>
        <v>157.25319335691853</v>
      </c>
      <c r="CZ103" s="59">
        <f t="shared" si="96"/>
        <v>159.50903492442171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7.5908142629768607</v>
      </c>
      <c r="DG103" s="21">
        <f>EXP(-LN(2)/25)*DG102+(1-EXP(-LN(2)/25))/(LN(2)/25)*Calculateur!DB103*Calculateur!DD103*VLOOKUP('Données projet'!$B$13,Paramètres!$A$1:$I$89,3,0)*0.475*44/12</f>
        <v>5.0185642962047599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12.609378559181621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240</v>
      </c>
      <c r="DM103" s="12">
        <f>VLOOKUP(A103,'Données projet'!$A$165:$I$185,9,0)</f>
        <v>3</v>
      </c>
      <c r="DN103" s="12">
        <f t="array" ref="DN103">INDEX(DM:DM,MIN(IF(ISNUMBER(DM103:DM299),ROW(DM103:DM299),"")))</f>
        <v>3</v>
      </c>
      <c r="DO103" s="12">
        <f>IF('Données projet'!$A$166&gt;35,DO102+DN103-DW102,IF(A103&lt;'Données projet'!$A$166,$DL$205^A103,IF(A103='Données projet'!$A$166,'Données projet'!$B$166,DO102+DN103-DW102)))</f>
        <v>239.99999999999994</v>
      </c>
      <c r="DP103" s="17">
        <f>DO103*VLOOKUP('Données projet'!$B$14,Paramètres!$A$1:$I$89,3,0)*VLOOKUP('Données projet'!$B$14,Paramètres!$A$1:$I$89,5,0)</f>
        <v>209.66399999999996</v>
      </c>
      <c r="DQ103" s="13">
        <f t="shared" si="97"/>
        <v>51.862154403304487</v>
      </c>
      <c r="DR103" s="20">
        <f t="shared" si="70"/>
        <v>455.49138558575515</v>
      </c>
      <c r="DS103" s="59">
        <f t="shared" si="71"/>
        <v>748.82471891908847</v>
      </c>
      <c r="DT103" s="59">
        <f ca="1">AVERAGE(OFFSET($DS$3,0,0,'Données projet'!$E$14+1,1))-AVERAGE(OFFSET($H$3,0,0,'Données projet'!$E$14+1,1))</f>
        <v>229.5312221178919</v>
      </c>
      <c r="DU103" s="59">
        <f t="shared" si="98"/>
        <v>218.1982095871906</v>
      </c>
      <c r="DV103" s="15">
        <f>IF(ISNA(VLOOKUP(A103,'Données projet'!$A$165:$I$185,3,0)),0,VLOOKUP(A103,'Données projet'!$A$165:$I$185,3,0))</f>
        <v>17</v>
      </c>
      <c r="DW103" s="15" t="str">
        <f>IF(ISNA(VLOOKUP(A103,'Données projet'!$A$165:$I$185,4,0)),0,VLOOKUP(A103,'Données projet'!$A$165:$I$185,4,0))</f>
        <v>12</v>
      </c>
      <c r="DX103" s="16">
        <f>IF(ISNA(VLOOKUP(A103,'Données projet'!$A$165:$I$185,5,0)),0%,VLOOKUP(A103,'Données projet'!$A$165:$I$185,5,0)*VLOOKUP('Données projet'!$B$14,Paramètres!$A$1:$I$89,7,0))</f>
        <v>0.25800000000000001</v>
      </c>
      <c r="DY103" s="16">
        <f>IF(ISNA(VLOOKUP(A103,'Données projet'!$A$165:$I$185,6,0)),0%,VLOOKUP(A103,'Données projet'!$A$165:$I$185,6,0)*VLOOKUP('Données projet'!$B$14,Paramètres!$A$1:$I$89,7,0))</f>
        <v>0.129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19.122664229391933</v>
      </c>
      <c r="EB103" s="21">
        <f>EXP(-LN(2)/25)*EB102+(1-EXP(-LN(2)/25))/(LN(2)/25)*Calculateur!DW103*Calculateur!DY103*VLOOKUP('Données projet'!$B$14,Paramètres!$A$1:$I$89,3,0)*0.475*44/12</f>
        <v>14.543337671724677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33.666001901116609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5.2583333333333373</v>
      </c>
      <c r="EJ103" s="12">
        <f>IF('Données projet'!$A$192&gt;35,EJ102+EI103-ER102,IF(A103&lt;'Données projet'!$A$192,$EG$205^A103,IF(A103='Données projet'!$A$192,'Données projet'!$B$192,EJ102+EI103-ER102)))</f>
        <v>218.99423076923048</v>
      </c>
      <c r="EK103" s="17">
        <f>EJ103*VLOOKUP('Données projet'!$B$15,Paramètres!$A$1:$I$89,3,0)*VLOOKUP('Données projet'!$B$15,Paramètres!$A$1:$I$89,5,0)</f>
        <v>198.14597999999972</v>
      </c>
      <c r="EL103" s="13">
        <f t="shared" si="99"/>
        <v>49.336489651503598</v>
      </c>
      <c r="EM103" s="20">
        <f t="shared" si="73"/>
        <v>431.03196797636821</v>
      </c>
      <c r="EN103" s="59">
        <f t="shared" si="74"/>
        <v>724.36530130970152</v>
      </c>
      <c r="EO103" s="59">
        <f ca="1">AVERAGE(OFFSET($EN$3,0,0,'Données projet'!$E$15+1,1))-AVERAGE(OFFSET($H$3,0,0,'Données projet'!$E$15+1,1))</f>
        <v>204.39656982394689</v>
      </c>
      <c r="EP103" s="59">
        <f t="shared" si="100"/>
        <v>134.95704640904546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21.252060274611942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21.252060274611942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6.4556623931623944</v>
      </c>
      <c r="FE103" s="12">
        <f>IF('Données projet'!$A$218&gt;35,FE102+FD103-FM102,IF(A103&lt;'Données projet'!$A$218,$FB$205^A103,IF(A103='Données projet'!$A$218,'Données projet'!$B$218,FE102+FD103-FM102)))</f>
        <v>228.55502136752182</v>
      </c>
      <c r="FF103" s="17">
        <f>FE103*VLOOKUP('Données projet'!$B$16,Paramètres!$A$1:$I$89,3,0)*VLOOKUP('Données projet'!$B$16,Paramètres!$A$1:$I$89,5,0)</f>
        <v>196.10020833333374</v>
      </c>
      <c r="FG103" s="13">
        <f t="shared" si="101"/>
        <v>48.886131799656177</v>
      </c>
      <c r="FH103" s="20">
        <f t="shared" si="76"/>
        <v>426.68454239829072</v>
      </c>
      <c r="FI103" s="59">
        <f t="shared" si="77"/>
        <v>720.01787573162403</v>
      </c>
      <c r="FJ103" s="59">
        <f ca="1">AVERAGE(OFFSET($FI$3,0,0,'Données projet'!$E$16+1,1))-AVERAGE(OFFSET($H$3,0,0,'Données projet'!$E$16+1,1))</f>
        <v>199.60585215726968</v>
      </c>
      <c r="FK103" s="59">
        <f t="shared" si="102"/>
        <v>137.37366750114404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11.699814228857036</v>
      </c>
      <c r="FR103" s="21">
        <f>EXP(-LN(2)/25)*FR102+(1-EXP(-LN(2)/25))/(LN(2)/25)*Calculateur!FM103*Calculateur!FO103*VLOOKUP('Données projet'!$B$16,Paramètres!$A$1:$I$89,3,0)*0.475*44/12</f>
        <v>16.270231879234345</v>
      </c>
      <c r="FS103" s="21">
        <f>EXP(-LN(2)/2)*FS102+(1-EXP(-LN(2)/2))/(LN(2)/2)*FM103*FP103*VLOOKUP('Données projet'!$B$16,Paramètres!$A$1:$I$89,3,0)*0.475*44/12</f>
        <v>0.73366128171860989</v>
      </c>
      <c r="FT103" s="22">
        <f t="shared" si="78"/>
        <v>28.703707389809992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7.882692307692305</v>
      </c>
      <c r="N104" s="13">
        <f>IF('Données projet'!$A$36&gt;35,N103+M104-V103,IF(A104&lt;'Données projet'!$A$36,$K$205^A104,IF(A104='Données projet'!$A$36,'Données projet'!$B$36,N103+M104-V103)))</f>
        <v>350.13846153846225</v>
      </c>
      <c r="O104" s="13">
        <f>N104*VLOOKUP('Données projet'!$B$9,Paramètres!$A$1:$I$89,3,0)*VLOOKUP('Données projet'!$B$9,Paramètres!$A$1:$I$89,5,0)</f>
        <v>163.86480000000032</v>
      </c>
      <c r="P104" s="13">
        <f t="shared" si="87"/>
        <v>41.713017234350204</v>
      </c>
      <c r="Q104" s="20">
        <f t="shared" si="107"/>
        <v>358.04803168316045</v>
      </c>
      <c r="R104" s="59">
        <f t="shared" si="55"/>
        <v>651.38136501649376</v>
      </c>
      <c r="S104" s="59">
        <f ca="1">AVERAGE(OFFSET($R$3,0,0,'Données projet'!$E$9+1,1))-AVERAGE(OFFSET($H$3,0,0,'Données projet'!$E$9+1,1))</f>
        <v>164.93438869099657</v>
      </c>
      <c r="T104" s="59">
        <f t="shared" si="88"/>
        <v>112.28641356594233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55.532404163566504</v>
      </c>
      <c r="AA104" s="21">
        <f>EXP(-LN(2)/25)*AA103+(1-EXP(-LN(2)/25))/(LN(2)/25)*Calculateur!V104*Calculateur!X104*VLOOKUP('Données projet'!$B$9,Paramètres!$A$1:$I$89,3,0)*0.475*44/12</f>
        <v>19.547458827072084</v>
      </c>
      <c r="AB104" s="21">
        <f>EXP(-LN(2)/2)*AB103+(1-EXP(-LN(2)/2))/(LN(2)/2)*V104*Y104*VLOOKUP('Données projet'!$B$9,Paramètres!$A$1:$I$89,3,0)*0.475*44/12</f>
        <v>1.4167993769610812</v>
      </c>
      <c r="AC104" s="22">
        <f t="shared" si="57"/>
        <v>76.496662367599669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273.81843612193632</v>
      </c>
      <c r="AO104" s="59">
        <f t="shared" si="90"/>
        <v>241.86405419073208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-6.3550942286383367E-14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271.42245454555501</v>
      </c>
      <c r="BJ104" s="59">
        <f t="shared" si="92"/>
        <v>362.63944425429077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91.144374825507398</v>
      </c>
      <c r="BQ104" s="21">
        <f>EXP(-LN(2)/25)*BQ103+(1-EXP(-LN(2)/25))/(LN(2)/25)*Calculateur!BL104*Calculateur!BN104*VLOOKUP('Données projet'!$B$11,Paramètres!$A$1:$I$89,3,0)*0.475*44/12</f>
        <v>16.091080087988935</v>
      </c>
      <c r="BR104" s="21">
        <f>EXP(-LN(2)/2)*BR103+(1-EXP(-LN(2)/2))/(LN(2)/2)*BL104*BO104*VLOOKUP('Données projet'!$B$11,Paramètres!$A$1:$I$89,3,0)*0.475*44/12</f>
        <v>4.0723447804585067E-6</v>
      </c>
      <c r="BS104" s="22">
        <f t="shared" si="63"/>
        <v>107.23545898584112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-3.1036506698001178E-14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154.35821558431712</v>
      </c>
      <c r="CE104" s="59">
        <f t="shared" si="94"/>
        <v>263.86720460501306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20.149477313380476</v>
      </c>
      <c r="CL104" s="21">
        <f>EXP(-LN(2)/25)*CL103+(1-EXP(-LN(2)/25))/(LN(2)/25)*Calculateur!CG104*Calculateur!CI104*VLOOKUP('Données projet'!$B$12,Paramètres!$A$1:$I$89,3,0)*0.475*44/12</f>
        <v>27.628560285035835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47.778037598416311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213</v>
      </c>
      <c r="CU104" s="17">
        <f>CT104*VLOOKUP('Données projet'!$B$13,Paramètres!$A$1:$I$89,3,0)*VLOOKUP('Données projet'!$B$13,Paramètres!$A$1:$I$89,5,0)</f>
        <v>169.46279999999999</v>
      </c>
      <c r="CV104" s="13">
        <f t="shared" si="95"/>
        <v>42.969686502194378</v>
      </c>
      <c r="CW104" s="20">
        <f t="shared" si="67"/>
        <v>369.9865806579885</v>
      </c>
      <c r="CX104" s="59">
        <f t="shared" si="68"/>
        <v>663.31991399132176</v>
      </c>
      <c r="CY104" s="59">
        <f ca="1">AVERAGE(OFFSET($CX$3,0,0,'Données projet'!$E$13+1,1))-AVERAGE(OFFSET($H$3,0,0,'Données projet'!$E$13+1,1))</f>
        <v>157.25319335691853</v>
      </c>
      <c r="CZ104" s="59">
        <f t="shared" si="96"/>
        <v>159.50903492442171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7.4419630252194162</v>
      </c>
      <c r="DG104" s="21">
        <f>EXP(-LN(2)/25)*DG103+(1-EXP(-LN(2)/25))/(LN(2)/25)*Calculateur!DB104*Calculateur!DD104*VLOOKUP('Données projet'!$B$13,Paramètres!$A$1:$I$89,3,0)*0.475*44/12</f>
        <v>4.8813313916102148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12.323294416829631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227.99999999999994</v>
      </c>
      <c r="DP104" s="17">
        <f>DO104*VLOOKUP('Données projet'!$B$14,Paramètres!$A$1:$I$89,3,0)*VLOOKUP('Données projet'!$B$14,Paramètres!$A$1:$I$89,5,0)</f>
        <v>199.18079999999998</v>
      </c>
      <c r="DQ104" s="13">
        <f t="shared" si="97"/>
        <v>49.564089376413683</v>
      </c>
      <c r="DR104" s="20">
        <f t="shared" si="70"/>
        <v>433.23068233058711</v>
      </c>
      <c r="DS104" s="59">
        <f t="shared" si="71"/>
        <v>726.56401566392037</v>
      </c>
      <c r="DT104" s="59">
        <f ca="1">AVERAGE(OFFSET($DS$3,0,0,'Données projet'!$E$14+1,1))-AVERAGE(OFFSET($H$3,0,0,'Données projet'!$E$14+1,1))</f>
        <v>229.5312221178919</v>
      </c>
      <c r="DU104" s="59">
        <f t="shared" si="98"/>
        <v>218.1982095871906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18.747680447527046</v>
      </c>
      <c r="EB104" s="21">
        <f>EXP(-LN(2)/25)*EB103+(1-EXP(-LN(2)/25))/(LN(2)/25)*Calculateur!DW104*Calculateur!DY104*VLOOKUP('Données projet'!$B$14,Paramètres!$A$1:$I$89,3,0)*0.475*44/12</f>
        <v>14.145649338290477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32.893329785817521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5.2583333333333373</v>
      </c>
      <c r="EJ104" s="12">
        <f>IF('Données projet'!$A$192&gt;35,EJ103+EI104-ER103,IF(A104&lt;'Données projet'!$A$192,$EG$205^A104,IF(A104='Données projet'!$A$192,'Données projet'!$B$192,EJ103+EI104-ER103)))</f>
        <v>224.25256410256381</v>
      </c>
      <c r="EK104" s="17">
        <f>EJ104*VLOOKUP('Données projet'!$B$15,Paramètres!$A$1:$I$89,3,0)*VLOOKUP('Données projet'!$B$15,Paramètres!$A$1:$I$89,5,0)</f>
        <v>202.90371999999974</v>
      </c>
      <c r="EL104" s="13">
        <f t="shared" si="99"/>
        <v>50.381781160298395</v>
      </c>
      <c r="EM104" s="20">
        <f t="shared" si="73"/>
        <v>441.13891452085255</v>
      </c>
      <c r="EN104" s="59">
        <f t="shared" si="74"/>
        <v>734.47224785418587</v>
      </c>
      <c r="EO104" s="59">
        <f ca="1">AVERAGE(OFFSET($EN$3,0,0,'Données projet'!$E$15+1,1))-AVERAGE(OFFSET($H$3,0,0,'Données projet'!$E$15+1,1))</f>
        <v>204.39656982394689</v>
      </c>
      <c r="EP104" s="59">
        <f t="shared" si="100"/>
        <v>134.95704640904546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20.835320335103631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20.835320335103631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6.4556623931623944</v>
      </c>
      <c r="FE104" s="12">
        <f>IF('Données projet'!$A$218&gt;35,FE103+FD104-FM103,IF(A104&lt;'Données projet'!$A$218,$FB$205^A104,IF(A104='Données projet'!$A$218,'Données projet'!$B$218,FE103+FD104-FM103)))</f>
        <v>235.0106837606842</v>
      </c>
      <c r="FF104" s="17">
        <f>FE104*VLOOKUP('Données projet'!$B$16,Paramètres!$A$1:$I$89,3,0)*VLOOKUP('Données projet'!$B$16,Paramètres!$A$1:$I$89,5,0)</f>
        <v>201.63916666666708</v>
      </c>
      <c r="FG104" s="13">
        <f t="shared" si="101"/>
        <v>50.104235634689402</v>
      </c>
      <c r="FH104" s="20">
        <f t="shared" si="76"/>
        <v>438.45309234152916</v>
      </c>
      <c r="FI104" s="59">
        <f t="shared" si="77"/>
        <v>731.78642567486247</v>
      </c>
      <c r="FJ104" s="59">
        <f ca="1">AVERAGE(OFFSET($FI$3,0,0,'Données projet'!$E$16+1,1))-AVERAGE(OFFSET($H$3,0,0,'Données projet'!$E$16+1,1))</f>
        <v>199.60585215726968</v>
      </c>
      <c r="FK104" s="59">
        <f t="shared" si="102"/>
        <v>137.37366750114404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11.47038800801119</v>
      </c>
      <c r="FR104" s="21">
        <f>EXP(-LN(2)/25)*FR103+(1-EXP(-LN(2)/25))/(LN(2)/25)*Calculateur!FM104*Calculateur!FO104*VLOOKUP('Données projet'!$B$16,Paramètres!$A$1:$I$89,3,0)*0.475*44/12</f>
        <v>15.825321532882374</v>
      </c>
      <c r="FS104" s="21">
        <f>EXP(-LN(2)/2)*FS103+(1-EXP(-LN(2)/2))/(LN(2)/2)*FM104*FP104*VLOOKUP('Données projet'!$B$16,Paramètres!$A$1:$I$89,3,0)*0.475*44/12</f>
        <v>0.51877686739724316</v>
      </c>
      <c r="FT104" s="22">
        <f t="shared" si="78"/>
        <v>27.814486408290804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7.882692307692305</v>
      </c>
      <c r="N105" s="13">
        <f>IF('Données projet'!$A$36&gt;35,N104+M105-V104,IF(A105&lt;'Données projet'!$A$36,$K$205^A105,IF(A105='Données projet'!$A$36,'Données projet'!$B$36,N104+M105-V104)))</f>
        <v>358.02115384615456</v>
      </c>
      <c r="O105" s="13">
        <f>N105*VLOOKUP('Données projet'!$B$9,Paramètres!$A$1:$I$89,3,0)*VLOOKUP('Données projet'!$B$9,Paramètres!$A$1:$I$89,5,0)</f>
        <v>167.55390000000031</v>
      </c>
      <c r="P105" s="13">
        <f t="shared" si="87"/>
        <v>42.541717299361345</v>
      </c>
      <c r="Q105" s="20">
        <f t="shared" si="107"/>
        <v>365.91653346305492</v>
      </c>
      <c r="R105" s="59">
        <f t="shared" si="55"/>
        <v>659.24986679638823</v>
      </c>
      <c r="S105" s="59">
        <f ca="1">AVERAGE(OFFSET($R$3,0,0,'Données projet'!$E$9+1,1))-AVERAGE(OFFSET($H$3,0,0,'Données projet'!$E$9+1,1))</f>
        <v>164.93438869099657</v>
      </c>
      <c r="T105" s="59">
        <f t="shared" si="88"/>
        <v>112.28641356594233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54.443447589340977</v>
      </c>
      <c r="AA105" s="21">
        <f>EXP(-LN(2)/25)*AA104+(1-EXP(-LN(2)/25))/(LN(2)/25)*Calculateur!V105*Calculateur!X105*VLOOKUP('Données projet'!$B$9,Paramètres!$A$1:$I$89,3,0)*0.475*44/12</f>
        <v>19.012932537489615</v>
      </c>
      <c r="AB105" s="21">
        <f>EXP(-LN(2)/2)*AB104+(1-EXP(-LN(2)/2))/(LN(2)/2)*V105*Y105*VLOOKUP('Données projet'!$B$9,Paramètres!$A$1:$I$89,3,0)*0.475*44/12</f>
        <v>1.0018284470300562</v>
      </c>
      <c r="AC105" s="22">
        <f t="shared" si="57"/>
        <v>74.458208573860645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273.81843612193632</v>
      </c>
      <c r="AO105" s="59">
        <f t="shared" si="90"/>
        <v>241.86405419073208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-6.3550942286383367E-14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271.42245454555501</v>
      </c>
      <c r="BJ105" s="59">
        <f t="shared" si="92"/>
        <v>362.63944425429077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89.357089227758536</v>
      </c>
      <c r="BQ105" s="21">
        <f>EXP(-LN(2)/25)*BQ104+(1-EXP(-LN(2)/25))/(LN(2)/25)*Calculateur!BL105*Calculateur!BN105*VLOOKUP('Données projet'!$B$11,Paramètres!$A$1:$I$89,3,0)*0.475*44/12</f>
        <v>15.651068656789752</v>
      </c>
      <c r="BR105" s="21">
        <f>EXP(-LN(2)/2)*BR104+(1-EXP(-LN(2)/2))/(LN(2)/2)*BL105*BO105*VLOOKUP('Données projet'!$B$11,Paramètres!$A$1:$I$89,3,0)*0.475*44/12</f>
        <v>2.8795826095918523E-6</v>
      </c>
      <c r="BS105" s="22">
        <f t="shared" si="63"/>
        <v>105.00816076413089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-3.1036506698001178E-14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154.35821558431712</v>
      </c>
      <c r="CE105" s="59">
        <f t="shared" si="94"/>
        <v>263.86720460501306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19.754358353232714</v>
      </c>
      <c r="CL105" s="21">
        <f>EXP(-LN(2)/25)*CL104+(1-EXP(-LN(2)/25))/(LN(2)/25)*Calculateur!CG105*Calculateur!CI105*VLOOKUP('Données projet'!$B$12,Paramètres!$A$1:$I$89,3,0)*0.475*44/12</f>
        <v>26.873055851118689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46.627414204351403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213</v>
      </c>
      <c r="CU105" s="17">
        <f>CT105*VLOOKUP('Données projet'!$B$13,Paramètres!$A$1:$I$89,3,0)*VLOOKUP('Données projet'!$B$13,Paramètres!$A$1:$I$89,5,0)</f>
        <v>169.46279999999999</v>
      </c>
      <c r="CV105" s="13">
        <f t="shared" si="95"/>
        <v>42.969686502194378</v>
      </c>
      <c r="CW105" s="20">
        <f t="shared" si="67"/>
        <v>369.9865806579885</v>
      </c>
      <c r="CX105" s="59">
        <f t="shared" si="68"/>
        <v>663.31991399132176</v>
      </c>
      <c r="CY105" s="59">
        <f ca="1">AVERAGE(OFFSET($CX$3,0,0,'Données projet'!$E$13+1,1))-AVERAGE(OFFSET($H$3,0,0,'Données projet'!$E$13+1,1))</f>
        <v>157.25319335691853</v>
      </c>
      <c r="CZ105" s="59">
        <f t="shared" si="96"/>
        <v>159.50903492442171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7.2960306694441055</v>
      </c>
      <c r="DG105" s="21">
        <f>EXP(-LN(2)/25)*DG104+(1-EXP(-LN(2)/25))/(LN(2)/25)*Calculateur!DB105*Calculateur!DD105*VLOOKUP('Données projet'!$B$13,Paramètres!$A$1:$I$89,3,0)*0.475*44/12</f>
        <v>4.7478511280085725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12.043881797452677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227.99999999999994</v>
      </c>
      <c r="DP105" s="17">
        <f>DO105*VLOOKUP('Données projet'!$B$14,Paramètres!$A$1:$I$89,3,0)*VLOOKUP('Données projet'!$B$14,Paramètres!$A$1:$I$89,5,0)</f>
        <v>199.18079999999998</v>
      </c>
      <c r="DQ105" s="13">
        <f t="shared" si="97"/>
        <v>49.564089376413683</v>
      </c>
      <c r="DR105" s="20">
        <f t="shared" si="70"/>
        <v>433.23068233058711</v>
      </c>
      <c r="DS105" s="59">
        <f t="shared" si="71"/>
        <v>726.56401566392037</v>
      </c>
      <c r="DT105" s="59">
        <f ca="1">AVERAGE(OFFSET($DS$3,0,0,'Données projet'!$E$14+1,1))-AVERAGE(OFFSET($H$3,0,0,'Données projet'!$E$14+1,1))</f>
        <v>229.5312221178919</v>
      </c>
      <c r="DU105" s="59">
        <f t="shared" si="98"/>
        <v>218.1982095871906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18.380049868907005</v>
      </c>
      <c r="EB105" s="21">
        <f>EXP(-LN(2)/25)*EB104+(1-EXP(-LN(2)/25))/(LN(2)/25)*Calculateur!DW105*Calculateur!DY105*VLOOKUP('Données projet'!$B$14,Paramètres!$A$1:$I$89,3,0)*0.475*44/12</f>
        <v>13.758835813247556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32.138885682154559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5.2583333333333373</v>
      </c>
      <c r="EJ105" s="12">
        <f>IF('Données projet'!$A$192&gt;35,EJ104+EI105-ER104,IF(A105&lt;'Données projet'!$A$192,$EG$205^A105,IF(A105='Données projet'!$A$192,'Données projet'!$B$192,EJ104+EI105-ER104)))</f>
        <v>229.51089743589714</v>
      </c>
      <c r="EK105" s="17">
        <f>EJ105*VLOOKUP('Données projet'!$B$15,Paramètres!$A$1:$I$89,3,0)*VLOOKUP('Données projet'!$B$15,Paramètres!$A$1:$I$89,5,0)</f>
        <v>207.66145999999972</v>
      </c>
      <c r="EL105" s="13">
        <f t="shared" si="99"/>
        <v>51.424223287461992</v>
      </c>
      <c r="EM105" s="20">
        <f t="shared" si="73"/>
        <v>451.2408983923292</v>
      </c>
      <c r="EN105" s="59">
        <f t="shared" si="74"/>
        <v>744.57423172566246</v>
      </c>
      <c r="EO105" s="59">
        <f ca="1">AVERAGE(OFFSET($EN$3,0,0,'Données projet'!$E$15+1,1))-AVERAGE(OFFSET($H$3,0,0,'Données projet'!$E$15+1,1))</f>
        <v>204.39656982394689</v>
      </c>
      <c r="EP105" s="59">
        <f t="shared" si="100"/>
        <v>134.95704640904546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20.426752411622815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20.426752411622815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6.4556623931623944</v>
      </c>
      <c r="FE105" s="12">
        <f>IF('Données projet'!$A$218&gt;35,FE104+FD105-FM104,IF(A105&lt;'Données projet'!$A$218,$FB$205^A105,IF(A105='Données projet'!$A$218,'Données projet'!$B$218,FE104+FD105-FM104)))</f>
        <v>241.46634615384659</v>
      </c>
      <c r="FF105" s="17">
        <f>FE105*VLOOKUP('Données projet'!$B$16,Paramètres!$A$1:$I$89,3,0)*VLOOKUP('Données projet'!$B$16,Paramètres!$A$1:$I$89,5,0)</f>
        <v>207.17812500000042</v>
      </c>
      <c r="FG105" s="13">
        <f t="shared" si="101"/>
        <v>51.318450325235588</v>
      </c>
      <c r="FH105" s="20">
        <f t="shared" si="76"/>
        <v>450.21486869145269</v>
      </c>
      <c r="FI105" s="59">
        <f t="shared" si="77"/>
        <v>743.54820202478595</v>
      </c>
      <c r="FJ105" s="59">
        <f ca="1">AVERAGE(OFFSET($FI$3,0,0,'Données projet'!$E$16+1,1))-AVERAGE(OFFSET($H$3,0,0,'Données projet'!$E$16+1,1))</f>
        <v>199.60585215726968</v>
      </c>
      <c r="FK105" s="59">
        <f t="shared" si="102"/>
        <v>137.37366750114404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11.245460695419954</v>
      </c>
      <c r="FR105" s="21">
        <f>EXP(-LN(2)/25)*FR104+(1-EXP(-LN(2)/25))/(LN(2)/25)*Calculateur!FM105*Calculateur!FO105*VLOOKUP('Données projet'!$B$16,Paramètres!$A$1:$I$89,3,0)*0.475*44/12</f>
        <v>15.392577283348215</v>
      </c>
      <c r="FS105" s="21">
        <f>EXP(-LN(2)/2)*FS104+(1-EXP(-LN(2)/2))/(LN(2)/2)*FM105*FP105*VLOOKUP('Données projet'!$B$16,Paramètres!$A$1:$I$89,3,0)*0.475*44/12</f>
        <v>0.366830640859305</v>
      </c>
      <c r="FT105" s="22">
        <f t="shared" si="78"/>
        <v>27.004868619627473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7.882692307692305</v>
      </c>
      <c r="N106" s="13">
        <f>IF('Données projet'!$A$36&gt;35,N105+M106-V105,IF(A106&lt;'Données projet'!$A$36,$K$205^A106,IF(A106='Données projet'!$A$36,'Données projet'!$B$36,N105+M106-V105)))</f>
        <v>365.90384615384687</v>
      </c>
      <c r="O106" s="13">
        <f>N106*VLOOKUP('Données projet'!$B$9,Paramètres!$A$1:$I$89,3,0)*VLOOKUP('Données projet'!$B$9,Paramètres!$A$1:$I$89,5,0)</f>
        <v>171.24300000000036</v>
      </c>
      <c r="P106" s="13">
        <f t="shared" si="87"/>
        <v>43.368296089548551</v>
      </c>
      <c r="Q106" s="20">
        <f t="shared" si="107"/>
        <v>373.78134068929762</v>
      </c>
      <c r="R106" s="59">
        <f t="shared" si="55"/>
        <v>667.11467402263088</v>
      </c>
      <c r="S106" s="59">
        <f ca="1">AVERAGE(OFFSET($R$3,0,0,'Données projet'!$E$9+1,1))-AVERAGE(OFFSET($H$3,0,0,'Données projet'!$E$9+1,1))</f>
        <v>164.93438869099657</v>
      </c>
      <c r="T106" s="59">
        <f t="shared" si="88"/>
        <v>112.28641356594233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53.375844789338089</v>
      </c>
      <c r="AA106" s="21">
        <f>EXP(-LN(2)/25)*AA105+(1-EXP(-LN(2)/25))/(LN(2)/25)*Calculateur!V106*Calculateur!X106*VLOOKUP('Données projet'!$B$9,Paramètres!$A$1:$I$89,3,0)*0.475*44/12</f>
        <v>18.493022897405293</v>
      </c>
      <c r="AB106" s="21">
        <f>EXP(-LN(2)/2)*AB105+(1-EXP(-LN(2)/2))/(LN(2)/2)*V106*Y106*VLOOKUP('Données projet'!$B$9,Paramètres!$A$1:$I$89,3,0)*0.475*44/12</f>
        <v>0.7083996884805408</v>
      </c>
      <c r="AC106" s="22">
        <f t="shared" si="57"/>
        <v>72.577267375223926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273.81843612193632</v>
      </c>
      <c r="AO106" s="59">
        <f t="shared" si="90"/>
        <v>241.86405419073208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-6.3550942286383367E-14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271.42245454555501</v>
      </c>
      <c r="BJ106" s="59">
        <f t="shared" si="92"/>
        <v>362.63944425429077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87.604851210444949</v>
      </c>
      <c r="BQ106" s="21">
        <f>EXP(-LN(2)/25)*BQ105+(1-EXP(-LN(2)/25))/(LN(2)/25)*Calculateur!BL106*Calculateur!BN106*VLOOKUP('Données projet'!$B$11,Paramètres!$A$1:$I$89,3,0)*0.475*44/12</f>
        <v>15.223089361315907</v>
      </c>
      <c r="BR106" s="21">
        <f>EXP(-LN(2)/2)*BR105+(1-EXP(-LN(2)/2))/(LN(2)/2)*BL106*BO106*VLOOKUP('Données projet'!$B$11,Paramètres!$A$1:$I$89,3,0)*0.475*44/12</f>
        <v>2.0361723902292534E-6</v>
      </c>
      <c r="BS106" s="22">
        <f t="shared" si="63"/>
        <v>102.82794260793324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-3.1036506698001178E-14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154.35821558431712</v>
      </c>
      <c r="CE106" s="59">
        <f t="shared" si="94"/>
        <v>263.86720460501306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19.366987434894678</v>
      </c>
      <c r="CL106" s="21">
        <f>EXP(-LN(2)/25)*CL105+(1-EXP(-LN(2)/25))/(LN(2)/25)*Calculateur!CG106*Calculateur!CI106*VLOOKUP('Données projet'!$B$12,Paramètres!$A$1:$I$89,3,0)*0.475*44/12</f>
        <v>26.138210725677261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45.505198160571936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213</v>
      </c>
      <c r="CU106" s="17">
        <f>CT106*VLOOKUP('Données projet'!$B$13,Paramètres!$A$1:$I$89,3,0)*VLOOKUP('Données projet'!$B$13,Paramètres!$A$1:$I$89,5,0)</f>
        <v>169.46279999999999</v>
      </c>
      <c r="CV106" s="13">
        <f t="shared" si="95"/>
        <v>42.969686502194378</v>
      </c>
      <c r="CW106" s="20">
        <f t="shared" si="67"/>
        <v>369.9865806579885</v>
      </c>
      <c r="CX106" s="59">
        <f t="shared" si="68"/>
        <v>663.31991399132176</v>
      </c>
      <c r="CY106" s="59">
        <f ca="1">AVERAGE(OFFSET($CX$3,0,0,'Données projet'!$E$13+1,1))-AVERAGE(OFFSET($H$3,0,0,'Données projet'!$E$13+1,1))</f>
        <v>157.25319335691853</v>
      </c>
      <c r="CZ106" s="59">
        <f t="shared" si="96"/>
        <v>159.50903492442171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7.1529599581556003</v>
      </c>
      <c r="DG106" s="21">
        <f>EXP(-LN(2)/25)*DG105+(1-EXP(-LN(2)/25))/(LN(2)/25)*Calculateur!DB106*Calculateur!DD106*VLOOKUP('Données projet'!$B$13,Paramètres!$A$1:$I$89,3,0)*0.475*44/12</f>
        <v>4.6180208892345389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11.770980847390138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227.99999999999994</v>
      </c>
      <c r="DP106" s="17">
        <f>DO106*VLOOKUP('Données projet'!$B$14,Paramètres!$A$1:$I$89,3,0)*VLOOKUP('Données projet'!$B$14,Paramètres!$A$1:$I$89,5,0)</f>
        <v>199.18079999999998</v>
      </c>
      <c r="DQ106" s="13">
        <f t="shared" si="97"/>
        <v>49.564089376413683</v>
      </c>
      <c r="DR106" s="20">
        <f t="shared" si="70"/>
        <v>433.23068233058711</v>
      </c>
      <c r="DS106" s="59">
        <f t="shared" si="71"/>
        <v>726.56401566392037</v>
      </c>
      <c r="DT106" s="59">
        <f ca="1">AVERAGE(OFFSET($DS$3,0,0,'Données projet'!$E$14+1,1))-AVERAGE(OFFSET($H$3,0,0,'Données projet'!$E$14+1,1))</f>
        <v>229.5312221178919</v>
      </c>
      <c r="DU106" s="59">
        <f t="shared" si="98"/>
        <v>218.1982095871906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18.019628301701193</v>
      </c>
      <c r="EB106" s="21">
        <f>EXP(-LN(2)/25)*EB105+(1-EXP(-LN(2)/25))/(LN(2)/25)*Calculateur!DW106*Calculateur!DY106*VLOOKUP('Données projet'!$B$14,Paramètres!$A$1:$I$89,3,0)*0.475*44/12</f>
        <v>13.382599724388573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31.402228026089766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>
        <f>VLOOKUP(A106,'Données projet'!$A$191:$I$211,2,0)</f>
        <v>234.76923076923077</v>
      </c>
      <c r="EH106" s="12">
        <f>VLOOKUP(A106,'Données projet'!$A$191:$I$211,9,0)</f>
        <v>5.2583333333333373</v>
      </c>
      <c r="EI106" s="12">
        <f t="array" ref="EI106">INDEX(EH:EH,MIN(IF(ISNUMBER(EH106:EH302),ROW(EH106:EH302),"")))</f>
        <v>5.2583333333333373</v>
      </c>
      <c r="EJ106" s="12">
        <f>IF('Données projet'!$A$192&gt;35,EJ105+EI106-ER105,IF(A106&lt;'Données projet'!$A$192,$EG$205^A106,IF(A106='Données projet'!$A$192,'Données projet'!$B$192,EJ105+EI106-ER105)))</f>
        <v>234.76923076923046</v>
      </c>
      <c r="EK106" s="17">
        <f>EJ106*VLOOKUP('Données projet'!$B$15,Paramètres!$A$1:$I$89,3,0)*VLOOKUP('Données projet'!$B$15,Paramètres!$A$1:$I$89,5,0)</f>
        <v>212.41919999999973</v>
      </c>
      <c r="EL106" s="13">
        <f t="shared" si="99"/>
        <v>52.463888829926184</v>
      </c>
      <c r="EM106" s="20">
        <f t="shared" si="73"/>
        <v>461.33804637878757</v>
      </c>
      <c r="EN106" s="59">
        <f t="shared" si="74"/>
        <v>754.67137971212082</v>
      </c>
      <c r="EO106" s="59">
        <f ca="1">AVERAGE(OFFSET($EN$3,0,0,'Données projet'!$E$15+1,1))-AVERAGE(OFFSET($H$3,0,0,'Données projet'!$E$15+1,1))</f>
        <v>204.39656982394689</v>
      </c>
      <c r="EP106" s="59">
        <f t="shared" si="100"/>
        <v>134.95704640904546</v>
      </c>
      <c r="EQ106" s="15">
        <f>IF(ISNA(VLOOKUP(A106,'Données projet'!$A$191:$I$211,3,0)),0,VLOOKUP(A106,'Données projet'!$A$191:$I$211,3,0))</f>
        <v>8</v>
      </c>
      <c r="ER106" s="15">
        <f>IF(ISNA(VLOOKUP(A106,'Données projet'!$A$191:$I$211,4,0)),0,VLOOKUP(A106,'Données projet'!$A$191:$I$211,4,0))</f>
        <v>39.512820512820511</v>
      </c>
      <c r="ES106" s="16">
        <f>IF(ISNA(VLOOKUP(A106,'Données projet'!$A$191:$I$211,5,0)),0%,VLOOKUP(A106,'Données projet'!$A$191:$I$211,5,0)*VLOOKUP('Données projet'!$B$15,Paramètres!$A$1:$I$89,7,0))</f>
        <v>0.30099999999999999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31.922285938379908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31.922285938379908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6.4556623931623944</v>
      </c>
      <c r="FE106" s="12">
        <f>IF('Données projet'!$A$218&gt;35,FE105+FD106-FM105,IF(A106&lt;'Données projet'!$A$218,$FB$205^A106,IF(A106='Données projet'!$A$218,'Données projet'!$B$218,FE105+FD106-FM105)))</f>
        <v>247.92200854700897</v>
      </c>
      <c r="FF106" s="17">
        <f>FE106*VLOOKUP('Données projet'!$B$16,Paramètres!$A$1:$I$89,3,0)*VLOOKUP('Données projet'!$B$16,Paramètres!$A$1:$I$89,5,0)</f>
        <v>212.7170833333337</v>
      </c>
      <c r="FG106" s="13">
        <f t="shared" si="101"/>
        <v>52.528891799012641</v>
      </c>
      <c r="FH106" s="20">
        <f t="shared" si="76"/>
        <v>461.97007335550325</v>
      </c>
      <c r="FI106" s="59">
        <f t="shared" si="77"/>
        <v>755.3034066888365</v>
      </c>
      <c r="FJ106" s="59">
        <f ca="1">AVERAGE(OFFSET($FI$3,0,0,'Données projet'!$E$16+1,1))-AVERAGE(OFFSET($H$3,0,0,'Données projet'!$E$16+1,1))</f>
        <v>199.60585215726968</v>
      </c>
      <c r="FK106" s="59">
        <f t="shared" si="102"/>
        <v>137.37366750114404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11.024944070236518</v>
      </c>
      <c r="FR106" s="21">
        <f>EXP(-LN(2)/25)*FR105+(1-EXP(-LN(2)/25))/(LN(2)/25)*Calculateur!FM106*Calculateur!FO106*VLOOKUP('Données projet'!$B$16,Paramètres!$A$1:$I$89,3,0)*0.475*44/12</f>
        <v>14.971666448074599</v>
      </c>
      <c r="FS106" s="21">
        <f>EXP(-LN(2)/2)*FS105+(1-EXP(-LN(2)/2))/(LN(2)/2)*FM106*FP106*VLOOKUP('Données projet'!$B$16,Paramètres!$A$1:$I$89,3,0)*0.475*44/12</f>
        <v>0.25938843369862158</v>
      </c>
      <c r="FT106" s="22">
        <f t="shared" si="78"/>
        <v>26.255998952009737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7.882692307692305</v>
      </c>
      <c r="N107" s="13">
        <f>IF('Données projet'!$A$36&gt;35,N106+M107-V106,IF(A107&lt;'Données projet'!$A$36,$K$205^A107,IF(A107='Données projet'!$A$36,'Données projet'!$B$36,N106+M107-V106)))</f>
        <v>373.78653846153918</v>
      </c>
      <c r="O107" s="13">
        <f>N107*VLOOKUP('Données projet'!$B$9,Paramètres!$A$1:$I$89,3,0)*VLOOKUP('Données projet'!$B$9,Paramètres!$A$1:$I$89,5,0)</f>
        <v>174.93210000000036</v>
      </c>
      <c r="P107" s="13">
        <f t="shared" si="87"/>
        <v>44.192804567069899</v>
      </c>
      <c r="Q107" s="20">
        <f t="shared" si="107"/>
        <v>381.64254212098064</v>
      </c>
      <c r="R107" s="59">
        <f t="shared" si="55"/>
        <v>674.97587545431395</v>
      </c>
      <c r="S107" s="59">
        <f ca="1">AVERAGE(OFFSET($R$3,0,0,'Données projet'!$E$9+1,1))-AVERAGE(OFFSET($H$3,0,0,'Données projet'!$E$9+1,1))</f>
        <v>164.93438869099657</v>
      </c>
      <c r="T107" s="59">
        <f t="shared" si="88"/>
        <v>112.28641356594233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52.329177029069847</v>
      </c>
      <c r="AA107" s="21">
        <f>EXP(-LN(2)/25)*AA106+(1-EXP(-LN(2)/25))/(LN(2)/25)*Calculateur!V107*Calculateur!X107*VLOOKUP('Données projet'!$B$9,Paramètres!$A$1:$I$89,3,0)*0.475*44/12</f>
        <v>17.987330213769937</v>
      </c>
      <c r="AB107" s="21">
        <f>EXP(-LN(2)/2)*AB106+(1-EXP(-LN(2)/2))/(LN(2)/2)*V107*Y107*VLOOKUP('Données projet'!$B$9,Paramètres!$A$1:$I$89,3,0)*0.475*44/12</f>
        <v>0.50091422351502823</v>
      </c>
      <c r="AC107" s="22">
        <f t="shared" si="57"/>
        <v>70.817421466354801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273.81843612193632</v>
      </c>
      <c r="AO107" s="59">
        <f t="shared" si="90"/>
        <v>241.86405419073208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-6.3550942286383367E-14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271.42245454555501</v>
      </c>
      <c r="BJ107" s="59">
        <f t="shared" si="92"/>
        <v>362.63944425429077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85.886973511891227</v>
      </c>
      <c r="BQ107" s="21">
        <f>EXP(-LN(2)/25)*BQ106+(1-EXP(-LN(2)/25))/(LN(2)/25)*Calculateur!BL107*Calculateur!BN107*VLOOKUP('Données projet'!$B$11,Paramètres!$A$1:$I$89,3,0)*0.475*44/12</f>
        <v>14.806813182183246</v>
      </c>
      <c r="BR107" s="21">
        <f>EXP(-LN(2)/2)*BR106+(1-EXP(-LN(2)/2))/(LN(2)/2)*BL107*BO107*VLOOKUP('Données projet'!$B$11,Paramètres!$A$1:$I$89,3,0)*0.475*44/12</f>
        <v>1.4397913047959261E-6</v>
      </c>
      <c r="BS107" s="22">
        <f t="shared" si="63"/>
        <v>100.69378813386578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-3.1036506698001178E-14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154.35821558431712</v>
      </c>
      <c r="CE107" s="59">
        <f t="shared" si="94"/>
        <v>263.86720460501306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18.987212623992324</v>
      </c>
      <c r="CL107" s="21">
        <f>EXP(-LN(2)/25)*CL106+(1-EXP(-LN(2)/25))/(LN(2)/25)*Calculateur!CG107*Calculateur!CI107*VLOOKUP('Données projet'!$B$12,Paramètres!$A$1:$I$89,3,0)*0.475*44/12</f>
        <v>25.423459978834853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44.410672602827177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213</v>
      </c>
      <c r="CU107" s="17">
        <f>CT107*VLOOKUP('Données projet'!$B$13,Paramètres!$A$1:$I$89,3,0)*VLOOKUP('Données projet'!$B$13,Paramètres!$A$1:$I$89,5,0)</f>
        <v>169.46279999999999</v>
      </c>
      <c r="CV107" s="13">
        <f t="shared" si="95"/>
        <v>42.969686502194378</v>
      </c>
      <c r="CW107" s="20">
        <f t="shared" si="67"/>
        <v>369.9865806579885</v>
      </c>
      <c r="CX107" s="59">
        <f t="shared" si="68"/>
        <v>663.31991399132176</v>
      </c>
      <c r="CY107" s="59">
        <f ca="1">AVERAGE(OFFSET($CX$3,0,0,'Données projet'!$E$13+1,1))-AVERAGE(OFFSET($H$3,0,0,'Données projet'!$E$13+1,1))</f>
        <v>157.25319335691853</v>
      </c>
      <c r="CZ107" s="59">
        <f t="shared" si="96"/>
        <v>159.50903492442171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7.0126947762509451</v>
      </c>
      <c r="DG107" s="21">
        <f>EXP(-LN(2)/25)*DG106+(1-EXP(-LN(2)/25))/(LN(2)/25)*Calculateur!DB107*Calculateur!DD107*VLOOKUP('Données projet'!$B$13,Paramètres!$A$1:$I$89,3,0)*0.475*44/12</f>
        <v>4.4917408651672561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11.504435641418201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227.99999999999994</v>
      </c>
      <c r="DP107" s="17">
        <f>DO107*VLOOKUP('Données projet'!$B$14,Paramètres!$A$1:$I$89,3,0)*VLOOKUP('Données projet'!$B$14,Paramètres!$A$1:$I$89,5,0)</f>
        <v>199.18079999999998</v>
      </c>
      <c r="DQ107" s="13">
        <f t="shared" si="97"/>
        <v>49.564089376413683</v>
      </c>
      <c r="DR107" s="20">
        <f t="shared" si="70"/>
        <v>433.23068233058711</v>
      </c>
      <c r="DS107" s="59">
        <f t="shared" si="71"/>
        <v>726.56401566392037</v>
      </c>
      <c r="DT107" s="59">
        <f ca="1">AVERAGE(OFFSET($DS$3,0,0,'Données projet'!$E$14+1,1))-AVERAGE(OFFSET($H$3,0,0,'Données projet'!$E$14+1,1))</f>
        <v>229.5312221178919</v>
      </c>
      <c r="DU107" s="59">
        <f t="shared" si="98"/>
        <v>218.1982095871906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17.666274381592835</v>
      </c>
      <c r="EB107" s="21">
        <f>EXP(-LN(2)/25)*EB106+(1-EXP(-LN(2)/25))/(LN(2)/25)*Calculateur!DW107*Calculateur!DY107*VLOOKUP('Données projet'!$B$14,Paramètres!$A$1:$I$89,3,0)*0.475*44/12</f>
        <v>13.016651831164834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30.682926212757671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5.0961538461538449</v>
      </c>
      <c r="EJ107" s="12">
        <f>IF('Données projet'!$A$192&gt;35,EJ106+EI107-ER106,IF(A107&lt;'Données projet'!$A$192,$EG$205^A107,IF(A107='Données projet'!$A$192,'Données projet'!$B$192,EJ106+EI107-ER106)))</f>
        <v>200.3525641025638</v>
      </c>
      <c r="EK107" s="17">
        <f>EJ107*VLOOKUP('Données projet'!$B$15,Paramètres!$A$1:$I$89,3,0)*VLOOKUP('Données projet'!$B$15,Paramètres!$A$1:$I$89,5,0)</f>
        <v>181.27899999999974</v>
      </c>
      <c r="EL107" s="13">
        <f t="shared" si="99"/>
        <v>45.606622736998297</v>
      </c>
      <c r="EM107" s="20">
        <f t="shared" si="73"/>
        <v>395.15912626693824</v>
      </c>
      <c r="EN107" s="59">
        <f t="shared" si="74"/>
        <v>688.49245960027156</v>
      </c>
      <c r="EO107" s="59">
        <f ca="1">AVERAGE(OFFSET($EN$3,0,0,'Données projet'!$E$15+1,1))-AVERAGE(OFFSET($H$3,0,0,'Données projet'!$E$15+1,1))</f>
        <v>204.39656982394689</v>
      </c>
      <c r="EP107" s="59">
        <f t="shared" si="100"/>
        <v>134.95704640904546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31.296309381800132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31.296309381800132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6.4556623931623944</v>
      </c>
      <c r="FE107" s="12">
        <f>IF('Données projet'!$A$218&gt;35,FE106+FD107-FM106,IF(A107&lt;'Données projet'!$A$218,$FB$205^A107,IF(A107='Données projet'!$A$218,'Données projet'!$B$218,FE106+FD107-FM106)))</f>
        <v>254.37767094017136</v>
      </c>
      <c r="FF107" s="17">
        <f>FE107*VLOOKUP('Données projet'!$B$16,Paramètres!$A$1:$I$89,3,0)*VLOOKUP('Données projet'!$B$16,Paramètres!$A$1:$I$89,5,0)</f>
        <v>218.25604166666704</v>
      </c>
      <c r="FG107" s="13">
        <f t="shared" si="101"/>
        <v>53.735669602559803</v>
      </c>
      <c r="FH107" s="20">
        <f t="shared" si="76"/>
        <v>473.71889712723674</v>
      </c>
      <c r="FI107" s="59">
        <f t="shared" si="77"/>
        <v>767.05223046057006</v>
      </c>
      <c r="FJ107" s="59">
        <f ca="1">AVERAGE(OFFSET($FI$3,0,0,'Données projet'!$E$16+1,1))-AVERAGE(OFFSET($H$3,0,0,'Données projet'!$E$16+1,1))</f>
        <v>199.60585215726968</v>
      </c>
      <c r="FK107" s="59">
        <f t="shared" si="102"/>
        <v>137.37366750114404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10.808751641571069</v>
      </c>
      <c r="FR107" s="21">
        <f>EXP(-LN(2)/25)*FR106+(1-EXP(-LN(2)/25))/(LN(2)/25)*Calculateur!FM107*Calculateur!FO107*VLOOKUP('Données projet'!$B$16,Paramètres!$A$1:$I$89,3,0)*0.475*44/12</f>
        <v>14.562265441726279</v>
      </c>
      <c r="FS107" s="21">
        <f>EXP(-LN(2)/2)*FS106+(1-EXP(-LN(2)/2))/(LN(2)/2)*FM107*FP107*VLOOKUP('Données projet'!$B$16,Paramètres!$A$1:$I$89,3,0)*0.475*44/12</f>
        <v>0.1834153204296525</v>
      </c>
      <c r="FT107" s="22">
        <f t="shared" si="78"/>
        <v>25.554432403726999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7.882692307692305</v>
      </c>
      <c r="N108" s="13">
        <f>IF('Données projet'!$A$36&gt;35,N107+M108-V107,IF(A108&lt;'Données projet'!$A$36,$K$205^A108,IF(A108='Données projet'!$A$36,'Données projet'!$B$36,N107+M108-V107)))</f>
        <v>381.66923076923149</v>
      </c>
      <c r="O108" s="13">
        <f>N108*VLOOKUP('Données projet'!$B$9,Paramètres!$A$1:$I$89,3,0)*VLOOKUP('Données projet'!$B$9,Paramètres!$A$1:$I$89,5,0)</f>
        <v>178.62120000000033</v>
      </c>
      <c r="P108" s="13">
        <f t="shared" si="87"/>
        <v>45.01529142181213</v>
      </c>
      <c r="Q108" s="20">
        <f t="shared" si="107"/>
        <v>389.50022255965672</v>
      </c>
      <c r="R108" s="59">
        <f t="shared" si="55"/>
        <v>682.83355589299003</v>
      </c>
      <c r="S108" s="59">
        <f ca="1">AVERAGE(OFFSET($R$3,0,0,'Données projet'!$E$9+1,1))-AVERAGE(OFFSET($H$3,0,0,'Données projet'!$E$9+1,1))</f>
        <v>164.93438869099657</v>
      </c>
      <c r="T108" s="59">
        <f t="shared" si="88"/>
        <v>112.28641356594233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51.303033785176169</v>
      </c>
      <c r="AA108" s="21">
        <f>EXP(-LN(2)/25)*AA107+(1-EXP(-LN(2)/25))/(LN(2)/25)*Calculateur!V108*Calculateur!X108*VLOOKUP('Données projet'!$B$9,Paramètres!$A$1:$I$89,3,0)*0.475*44/12</f>
        <v>17.495465723161814</v>
      </c>
      <c r="AB108" s="21">
        <f>EXP(-LN(2)/2)*AB107+(1-EXP(-LN(2)/2))/(LN(2)/2)*V108*Y108*VLOOKUP('Données projet'!$B$9,Paramètres!$A$1:$I$89,3,0)*0.475*44/12</f>
        <v>0.35419984424027046</v>
      </c>
      <c r="AC108" s="22">
        <f t="shared" si="57"/>
        <v>69.152699352578253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273.81843612193632</v>
      </c>
      <c r="AO108" s="59">
        <f t="shared" si="90"/>
        <v>241.86405419073208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-6.3550942286383367E-14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271.42245454555501</v>
      </c>
      <c r="BJ108" s="59">
        <f t="shared" si="92"/>
        <v>362.63944425429077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84.202782347204206</v>
      </c>
      <c r="BQ108" s="21">
        <f>EXP(-LN(2)/25)*BQ107+(1-EXP(-LN(2)/25))/(LN(2)/25)*Calculateur!BL108*Calculateur!BN108*VLOOKUP('Données projet'!$B$11,Paramètres!$A$1:$I$89,3,0)*0.475*44/12</f>
        <v>14.401920097059982</v>
      </c>
      <c r="BR108" s="21">
        <f>EXP(-LN(2)/2)*BR107+(1-EXP(-LN(2)/2))/(LN(2)/2)*BL108*BO108*VLOOKUP('Données projet'!$B$11,Paramètres!$A$1:$I$89,3,0)*0.475*44/12</f>
        <v>1.0180861951146267E-6</v>
      </c>
      <c r="BS108" s="22">
        <f t="shared" si="63"/>
        <v>98.604703462350386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-3.1036506698001178E-14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154.35821558431712</v>
      </c>
      <c r="CE108" s="59">
        <f t="shared" si="94"/>
        <v>263.86720460501306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18.614884965491999</v>
      </c>
      <c r="CL108" s="21">
        <f>EXP(-LN(2)/25)*CL107+(1-EXP(-LN(2)/25))/(LN(2)/25)*Calculateur!CG108*Calculateur!CI108*VLOOKUP('Données projet'!$B$12,Paramètres!$A$1:$I$89,3,0)*0.475*44/12</f>
        <v>24.72825412875196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43.343139094243959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213</v>
      </c>
      <c r="CU108" s="17">
        <f>CT108*VLOOKUP('Données projet'!$B$13,Paramètres!$A$1:$I$89,3,0)*VLOOKUP('Données projet'!$B$13,Paramètres!$A$1:$I$89,5,0)</f>
        <v>169.46279999999999</v>
      </c>
      <c r="CV108" s="13">
        <f t="shared" si="95"/>
        <v>42.969686502194378</v>
      </c>
      <c r="CW108" s="20">
        <f t="shared" si="67"/>
        <v>369.9865806579885</v>
      </c>
      <c r="CX108" s="59">
        <f t="shared" si="68"/>
        <v>663.31991399132176</v>
      </c>
      <c r="CY108" s="59">
        <f ca="1">AVERAGE(OFFSET($CX$3,0,0,'Données projet'!$E$13+1,1))-AVERAGE(OFFSET($H$3,0,0,'Données projet'!$E$13+1,1))</f>
        <v>157.25319335691853</v>
      </c>
      <c r="CZ108" s="59">
        <f t="shared" si="96"/>
        <v>159.50903492442171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6.8751801090101274</v>
      </c>
      <c r="DG108" s="21">
        <f>EXP(-LN(2)/25)*DG107+(1-EXP(-LN(2)/25))/(LN(2)/25)*Calculateur!DB108*Calculateur!DD108*VLOOKUP('Données projet'!$B$13,Paramètres!$A$1:$I$89,3,0)*0.475*44/12</f>
        <v>4.368913974998871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11.244094084008999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227.99999999999994</v>
      </c>
      <c r="DP108" s="17">
        <f>DO108*VLOOKUP('Données projet'!$B$14,Paramètres!$A$1:$I$89,3,0)*VLOOKUP('Données projet'!$B$14,Paramètres!$A$1:$I$89,5,0)</f>
        <v>199.18079999999998</v>
      </c>
      <c r="DQ108" s="13">
        <f t="shared" si="97"/>
        <v>49.564089376413683</v>
      </c>
      <c r="DR108" s="20">
        <f t="shared" si="70"/>
        <v>433.23068233058711</v>
      </c>
      <c r="DS108" s="59">
        <f t="shared" si="71"/>
        <v>726.56401566392037</v>
      </c>
      <c r="DT108" s="59">
        <f ca="1">AVERAGE(OFFSET($DS$3,0,0,'Données projet'!$E$14+1,1))-AVERAGE(OFFSET($H$3,0,0,'Données projet'!$E$14+1,1))</f>
        <v>229.5312221178919</v>
      </c>
      <c r="DU108" s="59">
        <f t="shared" si="98"/>
        <v>218.1982095871906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17.319849516333193</v>
      </c>
      <c r="EB108" s="21">
        <f>EXP(-LN(2)/25)*EB107+(1-EXP(-LN(2)/25))/(LN(2)/25)*Calculateur!DW108*Calculateur!DY108*VLOOKUP('Données projet'!$B$14,Paramètres!$A$1:$I$89,3,0)*0.475*44/12</f>
        <v>12.660710802325662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29.980560318658853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5.0961538461538449</v>
      </c>
      <c r="EJ108" s="12">
        <f>IF('Données projet'!$A$192&gt;35,EJ107+EI108-ER107,IF(A108&lt;'Données projet'!$A$192,$EG$205^A108,IF(A108='Données projet'!$A$192,'Données projet'!$B$192,EJ107+EI108-ER107)))</f>
        <v>205.44871794871764</v>
      </c>
      <c r="EK108" s="17">
        <f>EJ108*VLOOKUP('Données projet'!$B$15,Paramètres!$A$1:$I$89,3,0)*VLOOKUP('Données projet'!$B$15,Paramètres!$A$1:$I$89,5,0)</f>
        <v>185.8899999999997</v>
      </c>
      <c r="EL108" s="13">
        <f t="shared" si="99"/>
        <v>46.630136922287527</v>
      </c>
      <c r="EM108" s="20">
        <f t="shared" si="73"/>
        <v>404.97257180631692</v>
      </c>
      <c r="EN108" s="59">
        <f t="shared" si="74"/>
        <v>698.30590513965024</v>
      </c>
      <c r="EO108" s="59">
        <f ca="1">AVERAGE(OFFSET($EN$3,0,0,'Données projet'!$E$15+1,1))-AVERAGE(OFFSET($H$3,0,0,'Données projet'!$E$15+1,1))</f>
        <v>204.39656982394689</v>
      </c>
      <c r="EP108" s="59">
        <f t="shared" si="100"/>
        <v>134.95704640904546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30.682607843686885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30.682607843686885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>
        <f>VLOOKUP(A108,'Données projet'!$A$217:$I$237,2,0)</f>
        <v>260.83333333333331</v>
      </c>
      <c r="FC108" s="12">
        <f>VLOOKUP(A108,'Données projet'!$A$217:$I$237,9,0)</f>
        <v>6.4556623931623944</v>
      </c>
      <c r="FD108" s="12">
        <f t="array" ref="FD108">INDEX(FC:FC,MIN(IF(ISNUMBER(FC108:FC304),ROW(FC108:FC304),"")))</f>
        <v>6.4556623931623944</v>
      </c>
      <c r="FE108" s="12">
        <f>IF('Données projet'!$A$218&gt;35,FE107+FD108-FM107,IF(A108&lt;'Données projet'!$A$218,$FB$205^A108,IF(A108='Données projet'!$A$218,'Données projet'!$B$218,FE107+FD108-FM107)))</f>
        <v>260.83333333333377</v>
      </c>
      <c r="FF108" s="17">
        <f>FE108*VLOOKUP('Données projet'!$B$16,Paramètres!$A$1:$I$89,3,0)*VLOOKUP('Données projet'!$B$16,Paramètres!$A$1:$I$89,5,0)</f>
        <v>223.79500000000041</v>
      </c>
      <c r="FG108" s="13">
        <f t="shared" si="101"/>
        <v>54.938887405391071</v>
      </c>
      <c r="FH108" s="20">
        <f t="shared" si="76"/>
        <v>485.46152056439013</v>
      </c>
      <c r="FI108" s="59">
        <f t="shared" si="77"/>
        <v>778.79485389772344</v>
      </c>
      <c r="FJ108" s="59">
        <f ca="1">AVERAGE(OFFSET($FI$3,0,0,'Données projet'!$E$16+1,1))-AVERAGE(OFFSET($H$3,0,0,'Données projet'!$E$16+1,1))</f>
        <v>199.60585215726968</v>
      </c>
      <c r="FK108" s="59">
        <f t="shared" si="102"/>
        <v>137.37366750114404</v>
      </c>
      <c r="FL108" s="15">
        <f>IF(ISNA(VLOOKUP(A108,'Données projet'!$A$217:$I$237,3,0)),0,VLOOKUP(A108,'Données projet'!$A$217:$I$237,3,0))</f>
        <v>6</v>
      </c>
      <c r="FM108" s="15">
        <f>IF(ISNA(VLOOKUP(A108,'Données projet'!$A$217:$I$237,4,0)),0,VLOOKUP(A108,'Données projet'!$A$217:$I$237,4,0))</f>
        <v>60.153846153846153</v>
      </c>
      <c r="FN108" s="16">
        <f>IF(ISNA(VLOOKUP(A108,'Données projet'!$A$217:$I$237,5,0)),0%,VLOOKUP(A108,'Données projet'!$A$217:$I$237,5,0)*VLOOKUP('Données projet'!$B$16,Paramètres!$A$1:$I$89,7,0))</f>
        <v>0.1855</v>
      </c>
      <c r="FO108" s="16">
        <f>IF(ISNA(VLOOKUP(A108,'Données projet'!$A$217:$I$237,6,0)),0%,VLOOKUP(A108,'Données projet'!$A$217:$I$237,6,0)*VLOOKUP('Données projet'!$B$16,Paramètres!$A$1:$I$89,7,0))</f>
        <v>0.1855</v>
      </c>
      <c r="FP108" s="16">
        <f>IF(ISNA(VLOOKUP(A108,'Données projet'!$A$217:$I$237,7,0)),0%,VLOOKUP(A108,'Données projet'!$A$217:$I$237,7,0))</f>
        <v>0.2</v>
      </c>
      <c r="FQ108" s="21">
        <f>EXP(-LN(2)/35)*FQ107+(1-EXP(-LN(2)/35))/(LN(2)/35)*FM108*FN108*VLOOKUP('Données projet'!$B$16,Paramètres!$A$1:$I$89,3,0)*0.475*44/12</f>
        <v>21.180600770445722</v>
      </c>
      <c r="FR108" s="21">
        <f>EXP(-LN(2)/25)*FR107+(1-EXP(-LN(2)/25))/(LN(2)/25)*Calculateur!FM108*Calculateur!FO108*VLOOKUP('Données projet'!$B$16,Paramètres!$A$1:$I$89,3,0)*0.475*44/12</f>
        <v>24.706189221471874</v>
      </c>
      <c r="FS108" s="21">
        <f>EXP(-LN(2)/2)*FS107+(1-EXP(-LN(2)/2))/(LN(2)/2)*FM108*FP108*VLOOKUP('Données projet'!$B$16,Paramètres!$A$1:$I$89,3,0)*0.475*44/12</f>
        <v>9.869156440171972</v>
      </c>
      <c r="FT108" s="22">
        <f t="shared" si="78"/>
        <v>55.755946432089566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7.882692307692305</v>
      </c>
      <c r="N109" s="13">
        <f>IF('Données projet'!$A$36&gt;35,N108+M109-V108,IF(A109&lt;'Données projet'!$A$36,$K$205^A109,IF(A109='Données projet'!$A$36,'Données projet'!$B$36,N108+M109-V108)))</f>
        <v>389.5519230769238</v>
      </c>
      <c r="O109" s="13">
        <f>N109*VLOOKUP('Données projet'!$B$9,Paramètres!$A$1:$I$89,3,0)*VLOOKUP('Données projet'!$B$9,Paramètres!$A$1:$I$89,5,0)</f>
        <v>182.31030000000032</v>
      </c>
      <c r="P109" s="13">
        <f t="shared" si="87"/>
        <v>45.835803217507902</v>
      </c>
      <c r="Q109" s="20">
        <f t="shared" si="107"/>
        <v>397.35446310382684</v>
      </c>
      <c r="R109" s="59">
        <f t="shared" si="55"/>
        <v>690.68779643716016</v>
      </c>
      <c r="S109" s="59">
        <f ca="1">AVERAGE(OFFSET($R$3,0,0,'Données projet'!$E$9+1,1))-AVERAGE(OFFSET($H$3,0,0,'Données projet'!$E$9+1,1))</f>
        <v>164.93438869099657</v>
      </c>
      <c r="T109" s="59">
        <f t="shared" si="88"/>
        <v>112.28641356594233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50.297012584409671</v>
      </c>
      <c r="AA109" s="21">
        <f>EXP(-LN(2)/25)*AA108+(1-EXP(-LN(2)/25))/(LN(2)/25)*Calculateur!V109*Calculateur!X109*VLOOKUP('Données projet'!$B$9,Paramètres!$A$1:$I$89,3,0)*0.475*44/12</f>
        <v>17.017051292915397</v>
      </c>
      <c r="AB109" s="21">
        <f>EXP(-LN(2)/2)*AB108+(1-EXP(-LN(2)/2))/(LN(2)/2)*V109*Y109*VLOOKUP('Données projet'!$B$9,Paramètres!$A$1:$I$89,3,0)*0.475*44/12</f>
        <v>0.25045711175751417</v>
      </c>
      <c r="AC109" s="22">
        <f t="shared" si="57"/>
        <v>67.564520989082581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273.81843612193632</v>
      </c>
      <c r="AO109" s="59">
        <f t="shared" si="90"/>
        <v>241.86405419073208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-6.3550942286383367E-14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271.42245454555501</v>
      </c>
      <c r="BJ109" s="59">
        <f t="shared" si="92"/>
        <v>362.63944425429077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82.551617144001526</v>
      </c>
      <c r="BQ109" s="21">
        <f>EXP(-LN(2)/25)*BQ108+(1-EXP(-LN(2)/25))/(LN(2)/25)*Calculateur!BL109*Calculateur!BN109*VLOOKUP('Données projet'!$B$11,Paramètres!$A$1:$I$89,3,0)*0.475*44/12</f>
        <v>14.008098834641816</v>
      </c>
      <c r="BR109" s="21">
        <f>EXP(-LN(2)/2)*BR108+(1-EXP(-LN(2)/2))/(LN(2)/2)*BL109*BO109*VLOOKUP('Données projet'!$B$11,Paramètres!$A$1:$I$89,3,0)*0.475*44/12</f>
        <v>7.1989565239796306E-7</v>
      </c>
      <c r="BS109" s="22">
        <f t="shared" si="63"/>
        <v>96.559716698538992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-3.1036506698001178E-14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154.35821558431712</v>
      </c>
      <c r="CE109" s="59">
        <f t="shared" si="94"/>
        <v>263.86720460501306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18.24985842527742</v>
      </c>
      <c r="CL109" s="21">
        <f>EXP(-LN(2)/25)*CL108+(1-EXP(-LN(2)/25))/(LN(2)/25)*Calculateur!CG109*Calculateur!CI109*VLOOKUP('Données projet'!$B$12,Paramètres!$A$1:$I$89,3,0)*0.475*44/12</f>
        <v>24.052058719198872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42.301917144476292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213</v>
      </c>
      <c r="CU109" s="17">
        <f>CT109*VLOOKUP('Données projet'!$B$13,Paramètres!$A$1:$I$89,3,0)*VLOOKUP('Données projet'!$B$13,Paramètres!$A$1:$I$89,5,0)</f>
        <v>169.46279999999999</v>
      </c>
      <c r="CV109" s="13">
        <f t="shared" si="95"/>
        <v>42.969686502194378</v>
      </c>
      <c r="CW109" s="20">
        <f t="shared" si="67"/>
        <v>369.9865806579885</v>
      </c>
      <c r="CX109" s="59">
        <f t="shared" si="68"/>
        <v>663.31991399132176</v>
      </c>
      <c r="CY109" s="59">
        <f ca="1">AVERAGE(OFFSET($CX$3,0,0,'Données projet'!$E$13+1,1))-AVERAGE(OFFSET($H$3,0,0,'Données projet'!$E$13+1,1))</f>
        <v>157.25319335691853</v>
      </c>
      <c r="CZ109" s="59">
        <f t="shared" si="96"/>
        <v>159.50903492442171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6.7403620205182371</v>
      </c>
      <c r="DG109" s="21">
        <f>EXP(-LN(2)/25)*DG108+(1-EXP(-LN(2)/25))/(LN(2)/25)*Calculateur!DB109*Calculateur!DD109*VLOOKUP('Données projet'!$B$13,Paramètres!$A$1:$I$89,3,0)*0.475*44/12</f>
        <v>4.2494457926013265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10.989807813119564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227.99999999999994</v>
      </c>
      <c r="DP109" s="17">
        <f>DO109*VLOOKUP('Données projet'!$B$14,Paramètres!$A$1:$I$89,3,0)*VLOOKUP('Données projet'!$B$14,Paramètres!$A$1:$I$89,5,0)</f>
        <v>199.18079999999998</v>
      </c>
      <c r="DQ109" s="13">
        <f t="shared" si="97"/>
        <v>49.564089376413683</v>
      </c>
      <c r="DR109" s="20">
        <f t="shared" si="70"/>
        <v>433.23068233058711</v>
      </c>
      <c r="DS109" s="59">
        <f t="shared" si="71"/>
        <v>726.56401566392037</v>
      </c>
      <c r="DT109" s="59">
        <f ca="1">AVERAGE(OFFSET($DS$3,0,0,'Données projet'!$E$14+1,1))-AVERAGE(OFFSET($H$3,0,0,'Données projet'!$E$14+1,1))</f>
        <v>229.5312221178919</v>
      </c>
      <c r="DU109" s="59">
        <f t="shared" si="98"/>
        <v>218.1982095871906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16.980217831382991</v>
      </c>
      <c r="EB109" s="21">
        <f>EXP(-LN(2)/25)*EB108+(1-EXP(-LN(2)/25))/(LN(2)/25)*Calculateur!DW109*Calculateur!DY109*VLOOKUP('Données projet'!$B$14,Paramètres!$A$1:$I$89,3,0)*0.475*44/12</f>
        <v>12.314502999638222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29.294720831021213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5.0961538461538449</v>
      </c>
      <c r="EJ109" s="12">
        <f>IF('Données projet'!$A$192&gt;35,EJ108+EI109-ER108,IF(A109&lt;'Données projet'!$A$192,$EG$205^A109,IF(A109='Données projet'!$A$192,'Données projet'!$B$192,EJ108+EI109-ER108)))</f>
        <v>210.54487179487148</v>
      </c>
      <c r="EK109" s="17">
        <f>EJ109*VLOOKUP('Données projet'!$B$15,Paramètres!$A$1:$I$89,3,0)*VLOOKUP('Données projet'!$B$15,Paramètres!$A$1:$I$89,5,0)</f>
        <v>190.50099999999969</v>
      </c>
      <c r="EL109" s="13">
        <f t="shared" si="99"/>
        <v>47.65069985627148</v>
      </c>
      <c r="EM109" s="20">
        <f t="shared" si="73"/>
        <v>414.78087724967219</v>
      </c>
      <c r="EN109" s="59">
        <f t="shared" si="74"/>
        <v>708.1142105830055</v>
      </c>
      <c r="EO109" s="59">
        <f ca="1">AVERAGE(OFFSET($EN$3,0,0,'Données projet'!$E$15+1,1))-AVERAGE(OFFSET($H$3,0,0,'Données projet'!$E$15+1,1))</f>
        <v>204.39656982394689</v>
      </c>
      <c r="EP109" s="59">
        <f t="shared" si="100"/>
        <v>134.95704640904546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30.080940618415063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30.080940618415063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5.8637820512820555</v>
      </c>
      <c r="FE109" s="12">
        <f>IF('Données projet'!$A$218&gt;35,FE108+FD109-FM108,IF(A109&lt;'Données projet'!$A$218,$FB$205^A109,IF(A109='Données projet'!$A$218,'Données projet'!$B$218,FE108+FD109-FM108)))</f>
        <v>206.54326923076965</v>
      </c>
      <c r="FF109" s="17">
        <f>FE109*VLOOKUP('Données projet'!$B$16,Paramètres!$A$1:$I$89,3,0)*VLOOKUP('Données projet'!$B$16,Paramètres!$A$1:$I$89,5,0)</f>
        <v>177.21412500000037</v>
      </c>
      <c r="FG109" s="13">
        <f t="shared" si="101"/>
        <v>44.701818763424292</v>
      </c>
      <c r="FH109" s="20">
        <f t="shared" si="76"/>
        <v>386.50360205463124</v>
      </c>
      <c r="FI109" s="59">
        <f t="shared" si="77"/>
        <v>679.83693538796456</v>
      </c>
      <c r="FJ109" s="59">
        <f ca="1">AVERAGE(OFFSET($FI$3,0,0,'Données projet'!$E$16+1,1))-AVERAGE(OFFSET($H$3,0,0,'Données projet'!$E$16+1,1))</f>
        <v>199.60585215726968</v>
      </c>
      <c r="FK109" s="59">
        <f t="shared" si="102"/>
        <v>137.37366750114404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20.765262108228118</v>
      </c>
      <c r="FR109" s="21">
        <f>EXP(-LN(2)/25)*FR108+(1-EXP(-LN(2)/25))/(LN(2)/25)*Calculateur!FM109*Calculateur!FO109*VLOOKUP('Données projet'!$B$16,Paramètres!$A$1:$I$89,3,0)*0.475*44/12</f>
        <v>24.030597177968701</v>
      </c>
      <c r="FS109" s="21">
        <f>EXP(-LN(2)/2)*FS108+(1-EXP(-LN(2)/2))/(LN(2)/2)*FM109*FP109*VLOOKUP('Données projet'!$B$16,Paramètres!$A$1:$I$89,3,0)*0.475*44/12</f>
        <v>6.9785474434364891</v>
      </c>
      <c r="FT109" s="22">
        <f t="shared" si="78"/>
        <v>51.774406729633306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7.882692307692305</v>
      </c>
      <c r="N110" s="13">
        <f>IF('Données projet'!$A$36&gt;35,N109+M110-V109,IF(A110&lt;'Données projet'!$A$36,$K$205^A110,IF(A110='Données projet'!$A$36,'Données projet'!$B$36,N109+M110-V109)))</f>
        <v>397.43461538461611</v>
      </c>
      <c r="O110" s="13">
        <f>N110*VLOOKUP('Données projet'!$B$9,Paramètres!$A$1:$I$89,3,0)*VLOOKUP('Données projet'!$B$9,Paramètres!$A$1:$I$89,5,0)</f>
        <v>185.99940000000032</v>
      </c>
      <c r="P110" s="13">
        <f t="shared" si="87"/>
        <v>46.654384525692834</v>
      </c>
      <c r="Q110" s="20">
        <f t="shared" si="107"/>
        <v>405.20534138224889</v>
      </c>
      <c r="R110" s="59">
        <f t="shared" si="55"/>
        <v>698.53867471558215</v>
      </c>
      <c r="S110" s="59">
        <f ca="1">AVERAGE(OFFSET($R$3,0,0,'Données projet'!$E$9+1,1))-AVERAGE(OFFSET($H$3,0,0,'Données projet'!$E$9+1,1))</f>
        <v>164.93438869099657</v>
      </c>
      <c r="T110" s="59">
        <f t="shared" si="88"/>
        <v>112.28641356594233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49.310718845777856</v>
      </c>
      <c r="AA110" s="21">
        <f>EXP(-LN(2)/25)*AA109+(1-EXP(-LN(2)/25))/(LN(2)/25)*Calculateur!V110*Calculateur!X110*VLOOKUP('Données projet'!$B$9,Paramètres!$A$1:$I$89,3,0)*0.475*44/12</f>
        <v>16.551719130422793</v>
      </c>
      <c r="AB110" s="21">
        <f>EXP(-LN(2)/2)*AB109+(1-EXP(-LN(2)/2))/(LN(2)/2)*V110*Y110*VLOOKUP('Données projet'!$B$9,Paramètres!$A$1:$I$89,3,0)*0.475*44/12</f>
        <v>0.17709992212013526</v>
      </c>
      <c r="AC110" s="22">
        <f t="shared" si="57"/>
        <v>66.039537898320788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273.81843612193632</v>
      </c>
      <c r="AO110" s="59">
        <f t="shared" si="90"/>
        <v>241.86405419073208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-6.3550942286383367E-14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271.42245454555501</v>
      </c>
      <c r="BJ110" s="59">
        <f t="shared" si="92"/>
        <v>362.63944425429077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80.932830283322318</v>
      </c>
      <c r="BQ110" s="21">
        <f>EXP(-LN(2)/25)*BQ109+(1-EXP(-LN(2)/25))/(LN(2)/25)*Calculateur!BL110*Calculateur!BN110*VLOOKUP('Données projet'!$B$11,Paramètres!$A$1:$I$89,3,0)*0.475*44/12</f>
        <v>13.625046635354634</v>
      </c>
      <c r="BR110" s="21">
        <f>EXP(-LN(2)/2)*BR109+(1-EXP(-LN(2)/2))/(LN(2)/2)*BL110*BO110*VLOOKUP('Données projet'!$B$11,Paramètres!$A$1:$I$89,3,0)*0.475*44/12</f>
        <v>5.0904309755731334E-7</v>
      </c>
      <c r="BS110" s="22">
        <f t="shared" si="63"/>
        <v>94.557877427720058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-3.1036506698001178E-14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154.35821558431712</v>
      </c>
      <c r="CE110" s="59">
        <f t="shared" si="94"/>
        <v>263.86720460501306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17.891989832872245</v>
      </c>
      <c r="CL110" s="21">
        <f>EXP(-LN(2)/25)*CL109+(1-EXP(-LN(2)/25))/(LN(2)/25)*Calculateur!CG110*Calculateur!CI110*VLOOKUP('Données projet'!$B$12,Paramètres!$A$1:$I$89,3,0)*0.475*44/12</f>
        <v>23.394353908679584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41.286343741551832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213</v>
      </c>
      <c r="CU110" s="17">
        <f>CT110*VLOOKUP('Données projet'!$B$13,Paramètres!$A$1:$I$89,3,0)*VLOOKUP('Données projet'!$B$13,Paramètres!$A$1:$I$89,5,0)</f>
        <v>169.46279999999999</v>
      </c>
      <c r="CV110" s="13">
        <f t="shared" si="95"/>
        <v>42.969686502194378</v>
      </c>
      <c r="CW110" s="20">
        <f t="shared" si="67"/>
        <v>369.9865806579885</v>
      </c>
      <c r="CX110" s="59">
        <f t="shared" si="68"/>
        <v>663.31991399132176</v>
      </c>
      <c r="CY110" s="59">
        <f ca="1">AVERAGE(OFFSET($CX$3,0,0,'Données projet'!$E$13+1,1))-AVERAGE(OFFSET($H$3,0,0,'Données projet'!$E$13+1,1))</f>
        <v>157.25319335691853</v>
      </c>
      <c r="CZ110" s="59">
        <f t="shared" si="96"/>
        <v>159.50903492442171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6.6081876325107585</v>
      </c>
      <c r="DG110" s="21">
        <f>EXP(-LN(2)/25)*DG109+(1-EXP(-LN(2)/25))/(LN(2)/25)*Calculateur!DB110*Calculateur!DD110*VLOOKUP('Données projet'!$B$13,Paramètres!$A$1:$I$89,3,0)*0.475*44/12</f>
        <v>4.1332444739340009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10.741432106444758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227.99999999999994</v>
      </c>
      <c r="DP110" s="17">
        <f>DO110*VLOOKUP('Données projet'!$B$14,Paramètres!$A$1:$I$89,3,0)*VLOOKUP('Données projet'!$B$14,Paramètres!$A$1:$I$89,5,0)</f>
        <v>199.18079999999998</v>
      </c>
      <c r="DQ110" s="13">
        <f t="shared" si="97"/>
        <v>49.564089376413683</v>
      </c>
      <c r="DR110" s="20">
        <f t="shared" si="70"/>
        <v>433.23068233058711</v>
      </c>
      <c r="DS110" s="59">
        <f t="shared" si="71"/>
        <v>726.56401566392037</v>
      </c>
      <c r="DT110" s="59">
        <f ca="1">AVERAGE(OFFSET($DS$3,0,0,'Données projet'!$E$14+1,1))-AVERAGE(OFFSET($H$3,0,0,'Données projet'!$E$14+1,1))</f>
        <v>229.5312221178919</v>
      </c>
      <c r="DU110" s="59">
        <f t="shared" si="98"/>
        <v>218.1982095871906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16.647246116619787</v>
      </c>
      <c r="EB110" s="21">
        <f>EXP(-LN(2)/25)*EB109+(1-EXP(-LN(2)/25))/(LN(2)/25)*Calculateur!DW110*Calculateur!DY110*VLOOKUP('Données projet'!$B$14,Paramètres!$A$1:$I$89,3,0)*0.475*44/12</f>
        <v>11.977762267521546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28.625008384141331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5.0961538461538449</v>
      </c>
      <c r="EJ110" s="12">
        <f>IF('Données projet'!$A$192&gt;35,EJ109+EI110-ER109,IF(A110&lt;'Données projet'!$A$192,$EG$205^A110,IF(A110='Données projet'!$A$192,'Données projet'!$B$192,EJ109+EI110-ER109)))</f>
        <v>215.64102564102532</v>
      </c>
      <c r="EK110" s="17">
        <f>EJ110*VLOOKUP('Données projet'!$B$15,Paramètres!$A$1:$I$89,3,0)*VLOOKUP('Données projet'!$B$15,Paramètres!$A$1:$I$89,5,0)</f>
        <v>195.11199999999971</v>
      </c>
      <c r="EL110" s="13">
        <f t="shared" si="99"/>
        <v>48.668391191190658</v>
      </c>
      <c r="EM110" s="20">
        <f t="shared" si="73"/>
        <v>424.58418132465653</v>
      </c>
      <c r="EN110" s="59">
        <f t="shared" si="74"/>
        <v>717.91751465798984</v>
      </c>
      <c r="EO110" s="59">
        <f ca="1">AVERAGE(OFFSET($EN$3,0,0,'Données projet'!$E$15+1,1))-AVERAGE(OFFSET($H$3,0,0,'Données projet'!$E$15+1,1))</f>
        <v>204.39656982394689</v>
      </c>
      <c r="EP110" s="59">
        <f t="shared" si="100"/>
        <v>134.95704640904546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29.491071720450051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29.491071720450051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5.8637820512820555</v>
      </c>
      <c r="FE110" s="12">
        <f>IF('Données projet'!$A$218&gt;35,FE109+FD110-FM109,IF(A110&lt;'Données projet'!$A$218,$FB$205^A110,IF(A110='Données projet'!$A$218,'Données projet'!$B$218,FE109+FD110-FM109)))</f>
        <v>212.4070512820517</v>
      </c>
      <c r="FF110" s="17">
        <f>FE110*VLOOKUP('Données projet'!$B$16,Paramètres!$A$1:$I$89,3,0)*VLOOKUP('Données projet'!$B$16,Paramètres!$A$1:$I$89,5,0)</f>
        <v>182.24525000000037</v>
      </c>
      <c r="FG110" s="13">
        <f t="shared" si="101"/>
        <v>45.821351959048762</v>
      </c>
      <c r="FH110" s="20">
        <f t="shared" si="76"/>
        <v>397.21599841201055</v>
      </c>
      <c r="FI110" s="59">
        <f t="shared" si="77"/>
        <v>690.54933174534381</v>
      </c>
      <c r="FJ110" s="59">
        <f ca="1">AVERAGE(OFFSET($FI$3,0,0,'Données projet'!$E$16+1,1))-AVERAGE(OFFSET($H$3,0,0,'Données projet'!$E$16+1,1))</f>
        <v>199.60585215726968</v>
      </c>
      <c r="FK110" s="59">
        <f t="shared" si="102"/>
        <v>137.37366750114404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20.358067983845029</v>
      </c>
      <c r="FR110" s="21">
        <f>EXP(-LN(2)/25)*FR109+(1-EXP(-LN(2)/25))/(LN(2)/25)*Calculateur!FM110*Calculateur!FO110*VLOOKUP('Données projet'!$B$16,Paramètres!$A$1:$I$89,3,0)*0.475*44/12</f>
        <v>23.373479234422962</v>
      </c>
      <c r="FS110" s="21">
        <f>EXP(-LN(2)/2)*FS109+(1-EXP(-LN(2)/2))/(LN(2)/2)*FM110*FP110*VLOOKUP('Données projet'!$B$16,Paramètres!$A$1:$I$89,3,0)*0.475*44/12</f>
        <v>4.9345782200859869</v>
      </c>
      <c r="FT110" s="22">
        <f t="shared" si="78"/>
        <v>48.66612543835398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7.882692307692305</v>
      </c>
      <c r="N111" s="13">
        <f>IF('Données projet'!$A$36&gt;35,N110+M111-V110,IF(A111&lt;'Données projet'!$A$36,$K$205^A111,IF(A111='Données projet'!$A$36,'Données projet'!$B$36,N110+M111-V110)))</f>
        <v>405.31730769230842</v>
      </c>
      <c r="O111" s="13">
        <f>N111*VLOOKUP('Données projet'!$B$9,Paramètres!$A$1:$I$89,3,0)*VLOOKUP('Données projet'!$B$9,Paramètres!$A$1:$I$89,5,0)</f>
        <v>189.68850000000032</v>
      </c>
      <c r="P111" s="13">
        <f t="shared" si="87"/>
        <v>47.471078048734149</v>
      </c>
      <c r="Q111" s="20">
        <f t="shared" si="107"/>
        <v>413.05293176821243</v>
      </c>
      <c r="R111" s="59">
        <f t="shared" si="55"/>
        <v>706.38626510154575</v>
      </c>
      <c r="S111" s="59">
        <f ca="1">AVERAGE(OFFSET($R$3,0,0,'Données projet'!$E$9+1,1))-AVERAGE(OFFSET($H$3,0,0,'Données projet'!$E$9+1,1))</f>
        <v>164.93438869099657</v>
      </c>
      <c r="T111" s="59">
        <f t="shared" si="88"/>
        <v>112.28641356594233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48.343765725780834</v>
      </c>
      <c r="AA111" s="21">
        <f>EXP(-LN(2)/25)*AA110+(1-EXP(-LN(2)/25))/(LN(2)/25)*Calculateur!V111*Calculateur!X111*VLOOKUP('Données projet'!$B$9,Paramètres!$A$1:$I$89,3,0)*0.475*44/12</f>
        <v>16.099111500384303</v>
      </c>
      <c r="AB111" s="21">
        <f>EXP(-LN(2)/2)*AB110+(1-EXP(-LN(2)/2))/(LN(2)/2)*V111*Y111*VLOOKUP('Données projet'!$B$9,Paramètres!$A$1:$I$89,3,0)*0.475*44/12</f>
        <v>0.12522855587875709</v>
      </c>
      <c r="AC111" s="22">
        <f t="shared" si="57"/>
        <v>64.568105782043901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273.81843612193632</v>
      </c>
      <c r="AO111" s="59">
        <f t="shared" si="90"/>
        <v>241.86405419073208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-6.3550942286383367E-14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271.42245454555501</v>
      </c>
      <c r="BJ111" s="59">
        <f t="shared" si="92"/>
        <v>362.63944425429077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79.345786845618534</v>
      </c>
      <c r="BQ111" s="21">
        <f>EXP(-LN(2)/25)*BQ110+(1-EXP(-LN(2)/25))/(LN(2)/25)*Calculateur!BL111*Calculateur!BN111*VLOOKUP('Données projet'!$B$11,Paramètres!$A$1:$I$89,3,0)*0.475*44/12</f>
        <v>13.252469018600799</v>
      </c>
      <c r="BR111" s="21">
        <f>EXP(-LN(2)/2)*BR110+(1-EXP(-LN(2)/2))/(LN(2)/2)*BL111*BO111*VLOOKUP('Données projet'!$B$11,Paramètres!$A$1:$I$89,3,0)*0.475*44/12</f>
        <v>3.5994782619898153E-7</v>
      </c>
      <c r="BS111" s="22">
        <f t="shared" si="63"/>
        <v>92.598256224167159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-3.1036506698001178E-14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154.35821558431712</v>
      </c>
      <c r="CE111" s="59">
        <f t="shared" si="94"/>
        <v>263.86720460501306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17.541138825285845</v>
      </c>
      <c r="CL111" s="21">
        <f>EXP(-LN(2)/25)*CL110+(1-EXP(-LN(2)/25))/(LN(2)/25)*Calculateur!CG111*Calculateur!CI111*VLOOKUP('Données projet'!$B$12,Paramètres!$A$1:$I$89,3,0)*0.475*44/12</f>
        <v>22.754634070791138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40.295772896076983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213</v>
      </c>
      <c r="CU111" s="17">
        <f>CT111*VLOOKUP('Données projet'!$B$13,Paramètres!$A$1:$I$89,3,0)*VLOOKUP('Données projet'!$B$13,Paramètres!$A$1:$I$89,5,0)</f>
        <v>169.46279999999999</v>
      </c>
      <c r="CV111" s="13">
        <f t="shared" si="95"/>
        <v>42.969686502194378</v>
      </c>
      <c r="CW111" s="20">
        <f t="shared" si="67"/>
        <v>369.9865806579885</v>
      </c>
      <c r="CX111" s="59">
        <f t="shared" si="68"/>
        <v>663.31991399132176</v>
      </c>
      <c r="CY111" s="59">
        <f ca="1">AVERAGE(OFFSET($CX$3,0,0,'Données projet'!$E$13+1,1))-AVERAGE(OFFSET($H$3,0,0,'Données projet'!$E$13+1,1))</f>
        <v>157.25319335691853</v>
      </c>
      <c r="CZ111" s="59">
        <f t="shared" si="96"/>
        <v>159.50903492442171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6.47860510363369</v>
      </c>
      <c r="DG111" s="21">
        <f>EXP(-LN(2)/25)*DG110+(1-EXP(-LN(2)/25))/(LN(2)/25)*Calculateur!DB111*Calculateur!DD111*VLOOKUP('Données projet'!$B$13,Paramètres!$A$1:$I$89,3,0)*0.475*44/12</f>
        <v>4.020220686436395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10.498825790070086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227.99999999999994</v>
      </c>
      <c r="DP111" s="17">
        <f>DO111*VLOOKUP('Données projet'!$B$14,Paramètres!$A$1:$I$89,3,0)*VLOOKUP('Données projet'!$B$14,Paramètres!$A$1:$I$89,5,0)</f>
        <v>199.18079999999998</v>
      </c>
      <c r="DQ111" s="13">
        <f t="shared" si="97"/>
        <v>49.564089376413683</v>
      </c>
      <c r="DR111" s="20">
        <f t="shared" si="70"/>
        <v>433.23068233058711</v>
      </c>
      <c r="DS111" s="59">
        <f t="shared" si="71"/>
        <v>726.56401566392037</v>
      </c>
      <c r="DT111" s="59">
        <f ca="1">AVERAGE(OFFSET($DS$3,0,0,'Données projet'!$E$14+1,1))-AVERAGE(OFFSET($H$3,0,0,'Données projet'!$E$14+1,1))</f>
        <v>229.5312221178919</v>
      </c>
      <c r="DU111" s="59">
        <f t="shared" si="98"/>
        <v>218.1982095871906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16.320803774090397</v>
      </c>
      <c r="EB111" s="21">
        <f>EXP(-LN(2)/25)*EB110+(1-EXP(-LN(2)/25))/(LN(2)/25)*Calculateur!DW111*Calculateur!DY111*VLOOKUP('Données projet'!$B$14,Paramètres!$A$1:$I$89,3,0)*0.475*44/12</f>
        <v>11.650229728433027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27.971033502523426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5.0961538461538449</v>
      </c>
      <c r="EJ111" s="12">
        <f>IF('Données projet'!$A$192&gt;35,EJ110+EI111-ER110,IF(A111&lt;'Données projet'!$A$192,$EG$205^A111,IF(A111='Données projet'!$A$192,'Données projet'!$B$192,EJ110+EI111-ER110)))</f>
        <v>220.73717948717916</v>
      </c>
      <c r="EK111" s="17">
        <f>EJ111*VLOOKUP('Données projet'!$B$15,Paramètres!$A$1:$I$89,3,0)*VLOOKUP('Données projet'!$B$15,Paramètres!$A$1:$I$89,5,0)</f>
        <v>199.7229999999997</v>
      </c>
      <c r="EL111" s="13">
        <f t="shared" si="99"/>
        <v>49.683286599758986</v>
      </c>
      <c r="EM111" s="20">
        <f t="shared" si="73"/>
        <v>434.38261582791301</v>
      </c>
      <c r="EN111" s="59">
        <f t="shared" si="74"/>
        <v>727.71594916124627</v>
      </c>
      <c r="EO111" s="59">
        <f ca="1">AVERAGE(OFFSET($EN$3,0,0,'Données projet'!$E$15+1,1))-AVERAGE(OFFSET($H$3,0,0,'Données projet'!$E$15+1,1))</f>
        <v>204.39656982394689</v>
      </c>
      <c r="EP111" s="59">
        <f t="shared" si="100"/>
        <v>134.95704640904546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28.912769791789628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28.912769791789628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5.8637820512820555</v>
      </c>
      <c r="FE111" s="12">
        <f>IF('Données projet'!$A$218&gt;35,FE110+FD111-FM110,IF(A111&lt;'Données projet'!$A$218,$FB$205^A111,IF(A111='Données projet'!$A$218,'Données projet'!$B$218,FE110+FD111-FM110)))</f>
        <v>218.27083333333374</v>
      </c>
      <c r="FF111" s="17">
        <f>FE111*VLOOKUP('Données projet'!$B$16,Paramètres!$A$1:$I$89,3,0)*VLOOKUP('Données projet'!$B$16,Paramètres!$A$1:$I$89,5,0)</f>
        <v>187.27637500000037</v>
      </c>
      <c r="FG111" s="13">
        <f t="shared" si="101"/>
        <v>46.937292962592295</v>
      </c>
      <c r="FH111" s="20">
        <f t="shared" si="76"/>
        <v>407.92213836818223</v>
      </c>
      <c r="FI111" s="59">
        <f t="shared" si="77"/>
        <v>701.25547170151549</v>
      </c>
      <c r="FJ111" s="59">
        <f ca="1">AVERAGE(OFFSET($FI$3,0,0,'Données projet'!$E$16+1,1))-AVERAGE(OFFSET($H$3,0,0,'Données projet'!$E$16+1,1))</f>
        <v>199.60585215726968</v>
      </c>
      <c r="FK111" s="59">
        <f t="shared" si="102"/>
        <v>137.37366750114404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19.9588586878772</v>
      </c>
      <c r="FR111" s="21">
        <f>EXP(-LN(2)/25)*FR110+(1-EXP(-LN(2)/25))/(LN(2)/25)*Calculateur!FM111*Calculateur!FO111*VLOOKUP('Données projet'!$B$16,Paramètres!$A$1:$I$89,3,0)*0.475*44/12</f>
        <v>22.734330215599815</v>
      </c>
      <c r="FS111" s="21">
        <f>EXP(-LN(2)/2)*FS110+(1-EXP(-LN(2)/2))/(LN(2)/2)*FM111*FP111*VLOOKUP('Données projet'!$B$16,Paramètres!$A$1:$I$89,3,0)*0.475*44/12</f>
        <v>3.4892737217182455</v>
      </c>
      <c r="FT111" s="22">
        <f t="shared" si="78"/>
        <v>46.182462625195264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413.2</v>
      </c>
      <c r="L112" s="12">
        <f>VLOOKUP(A112,'Données projet'!$A$35:$I$55,9,0)</f>
        <v>7.882692307692305</v>
      </c>
      <c r="M112" s="12">
        <f t="array" ref="M112">INDEX(L:L,MIN(IF(ISNUMBER(L112:L308),ROW(L112:L308),"")))</f>
        <v>7.882692307692305</v>
      </c>
      <c r="N112" s="13">
        <f>IF('Données projet'!$A$36&gt;35,N111+M112-V111,IF(A112&lt;'Données projet'!$A$36,$K$205^A112,IF(A112='Données projet'!$A$36,'Données projet'!$B$36,N111+M112-V111)))</f>
        <v>413.20000000000073</v>
      </c>
      <c r="O112" s="13">
        <f>N112*VLOOKUP('Données projet'!$B$9,Paramètres!$A$1:$I$89,3,0)*VLOOKUP('Données projet'!$B$9,Paramètres!$A$1:$I$89,5,0)</f>
        <v>193.37760000000034</v>
      </c>
      <c r="P112" s="13">
        <f t="shared" si="87"/>
        <v>48.285924733018319</v>
      </c>
      <c r="Q112" s="20">
        <f t="shared" si="107"/>
        <v>420.89730557667417</v>
      </c>
      <c r="R112" s="59">
        <f t="shared" si="55"/>
        <v>714.23063891000743</v>
      </c>
      <c r="S112" s="59">
        <f ca="1">AVERAGE(OFFSET($R$3,0,0,'Données projet'!$E$9+1,1))-AVERAGE(OFFSET($H$3,0,0,'Données projet'!$E$9+1,1))</f>
        <v>164.93438869099657</v>
      </c>
      <c r="T112" s="59">
        <f t="shared" si="88"/>
        <v>112.28641356594233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80.653846153846146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9.240000000000001E-2</v>
      </c>
      <c r="Y112" s="16">
        <f>IF(ISNA(VLOOKUP(A112,'Données projet'!$A$35:$I$55,7,0)),0%,VLOOKUP(A112,'Données projet'!$A$35:$I$55,7,0))</f>
        <v>0.13200000000000001</v>
      </c>
      <c r="Z112" s="21">
        <f>EXP(-LN(2)/35)*Z111+(1-EXP(-LN(2)/35))/(LN(2)/35)*V112*W112*VLOOKUP('Données projet'!$B$9,Paramètres!$A$1:$I$89,3,0)*0.475*44/12</f>
        <v>66.673687211666817</v>
      </c>
      <c r="AA112" s="21">
        <f>EXP(-LN(2)/25)*AA111+(1-EXP(-LN(2)/25))/(LN(2)/25)*Calculateur!V112*Calculateur!X112*VLOOKUP('Données projet'!$B$9,Paramètres!$A$1:$I$89,3,0)*0.475*44/12</f>
        <v>20.267362551009228</v>
      </c>
      <c r="AB112" s="21">
        <f>EXP(-LN(2)/2)*AB111+(1-EXP(-LN(2)/2))/(LN(2)/2)*V112*Y112*VLOOKUP('Données projet'!$B$9,Paramètres!$A$1:$I$89,3,0)*0.475*44/12</f>
        <v>5.7298656809813524</v>
      </c>
      <c r="AC112" s="22">
        <f t="shared" si="57"/>
        <v>92.670915443657393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273.81843612193632</v>
      </c>
      <c r="AO112" s="59">
        <f t="shared" si="90"/>
        <v>241.86405419073208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-6.3550942286383367E-14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271.42245454555501</v>
      </c>
      <c r="BJ112" s="59">
        <f t="shared" si="92"/>
        <v>362.63944425429077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77.789864361727211</v>
      </c>
      <c r="BQ112" s="21">
        <f>EXP(-LN(2)/25)*BQ111+(1-EXP(-LN(2)/25))/(LN(2)/25)*Calculateur!BL112*Calculateur!BN112*VLOOKUP('Données projet'!$B$11,Paramètres!$A$1:$I$89,3,0)*0.475*44/12</f>
        <v>12.890079556370104</v>
      </c>
      <c r="BR112" s="21">
        <f>EXP(-LN(2)/2)*BR111+(1-EXP(-LN(2)/2))/(LN(2)/2)*BL112*BO112*VLOOKUP('Données projet'!$B$11,Paramètres!$A$1:$I$89,3,0)*0.475*44/12</f>
        <v>2.5452154877865667E-7</v>
      </c>
      <c r="BS112" s="22">
        <f t="shared" si="63"/>
        <v>90.67994417261886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-3.1036506698001178E-14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154.35821558431712</v>
      </c>
      <c r="CE112" s="59">
        <f t="shared" si="94"/>
        <v>263.86720460501306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17.197167791960229</v>
      </c>
      <c r="CL112" s="21">
        <f>EXP(-LN(2)/25)*CL111+(1-EXP(-LN(2)/25))/(LN(2)/25)*Calculateur!CG112*Calculateur!CI112*VLOOKUP('Données projet'!$B$12,Paramètres!$A$1:$I$89,3,0)*0.475*44/12</f>
        <v>22.132407405511156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39.329575197471385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213</v>
      </c>
      <c r="CU112" s="17">
        <f>CT112*VLOOKUP('Données projet'!$B$13,Paramètres!$A$1:$I$89,3,0)*VLOOKUP('Données projet'!$B$13,Paramètres!$A$1:$I$89,5,0)</f>
        <v>169.46279999999999</v>
      </c>
      <c r="CV112" s="13">
        <f t="shared" si="95"/>
        <v>42.969686502194378</v>
      </c>
      <c r="CW112" s="20">
        <f t="shared" si="67"/>
        <v>369.9865806579885</v>
      </c>
      <c r="CX112" s="59">
        <f t="shared" si="68"/>
        <v>663.31991399132176</v>
      </c>
      <c r="CY112" s="59">
        <f ca="1">AVERAGE(OFFSET($CX$3,0,0,'Données projet'!$E$13+1,1))-AVERAGE(OFFSET($H$3,0,0,'Données projet'!$E$13+1,1))</f>
        <v>157.25319335691853</v>
      </c>
      <c r="CZ112" s="59">
        <f t="shared" si="96"/>
        <v>159.50903492442171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6.3515636091103627</v>
      </c>
      <c r="DG112" s="21">
        <f>EXP(-LN(2)/25)*DG111+(1-EXP(-LN(2)/25))/(LN(2)/25)*Calculateur!DB112*Calculateur!DD112*VLOOKUP('Données projet'!$B$13,Paramètres!$A$1:$I$89,3,0)*0.475*44/12</f>
        <v>3.910287540351574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10.261851149461936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227.99999999999994</v>
      </c>
      <c r="DP112" s="17">
        <f>DO112*VLOOKUP('Données projet'!$B$14,Paramètres!$A$1:$I$89,3,0)*VLOOKUP('Données projet'!$B$14,Paramètres!$A$1:$I$89,5,0)</f>
        <v>199.18079999999998</v>
      </c>
      <c r="DQ112" s="13">
        <f t="shared" si="97"/>
        <v>49.564089376413683</v>
      </c>
      <c r="DR112" s="20">
        <f t="shared" si="70"/>
        <v>433.23068233058711</v>
      </c>
      <c r="DS112" s="59">
        <f t="shared" si="71"/>
        <v>726.56401566392037</v>
      </c>
      <c r="DT112" s="59">
        <f ca="1">AVERAGE(OFFSET($DS$3,0,0,'Données projet'!$E$14+1,1))-AVERAGE(OFFSET($H$3,0,0,'Données projet'!$E$14+1,1))</f>
        <v>229.5312221178919</v>
      </c>
      <c r="DU112" s="59">
        <f t="shared" si="98"/>
        <v>218.1982095871906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16.00076276678784</v>
      </c>
      <c r="EB112" s="21">
        <f>EXP(-LN(2)/25)*EB111+(1-EXP(-LN(2)/25))/(LN(2)/25)*Calculateur!DW112*Calculateur!DY112*VLOOKUP('Données projet'!$B$14,Paramètres!$A$1:$I$89,3,0)*0.475*44/12</f>
        <v>11.331653583850072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27.332416350637914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5.0961538461538449</v>
      </c>
      <c r="EJ112" s="12">
        <f>IF('Données projet'!$A$192&gt;35,EJ111+EI112-ER111,IF(A112&lt;'Données projet'!$A$192,$EG$205^A112,IF(A112='Données projet'!$A$192,'Données projet'!$B$192,EJ111+EI112-ER111)))</f>
        <v>225.833333333333</v>
      </c>
      <c r="EK112" s="17">
        <f>EJ112*VLOOKUP('Données projet'!$B$15,Paramètres!$A$1:$I$89,3,0)*VLOOKUP('Données projet'!$B$15,Paramètres!$A$1:$I$89,5,0)</f>
        <v>204.33399999999966</v>
      </c>
      <c r="EL112" s="13">
        <f t="shared" si="99"/>
        <v>50.695458061201691</v>
      </c>
      <c r="EM112" s="20">
        <f t="shared" si="73"/>
        <v>444.17630612325894</v>
      </c>
      <c r="EN112" s="59">
        <f t="shared" si="74"/>
        <v>737.50963945659225</v>
      </c>
      <c r="EO112" s="59">
        <f ca="1">AVERAGE(OFFSET($EN$3,0,0,'Données projet'!$E$15+1,1))-AVERAGE(OFFSET($H$3,0,0,'Données projet'!$E$15+1,1))</f>
        <v>204.39656982394689</v>
      </c>
      <c r="EP112" s="59">
        <f t="shared" si="100"/>
        <v>134.95704640904546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28.345808011220889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28.345808011220889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5.8637820512820555</v>
      </c>
      <c r="FE112" s="12">
        <f>IF('Données projet'!$A$218&gt;35,FE111+FD112-FM111,IF(A112&lt;'Données projet'!$A$218,$FB$205^A112,IF(A112='Données projet'!$A$218,'Données projet'!$B$218,FE111+FD112-FM111)))</f>
        <v>224.13461538461578</v>
      </c>
      <c r="FF112" s="17">
        <f>FE112*VLOOKUP('Données projet'!$B$16,Paramètres!$A$1:$I$89,3,0)*VLOOKUP('Données projet'!$B$16,Paramètres!$A$1:$I$89,5,0)</f>
        <v>192.30750000000037</v>
      </c>
      <c r="FG112" s="13">
        <f t="shared" si="101"/>
        <v>48.049749368147282</v>
      </c>
      <c r="FH112" s="20">
        <f t="shared" si="76"/>
        <v>418.62220931619049</v>
      </c>
      <c r="FI112" s="59">
        <f t="shared" si="77"/>
        <v>711.95554264952375</v>
      </c>
      <c r="FJ112" s="59">
        <f ca="1">AVERAGE(OFFSET($FI$3,0,0,'Données projet'!$E$16+1,1))-AVERAGE(OFFSET($H$3,0,0,'Données projet'!$E$16+1,1))</f>
        <v>199.60585215726968</v>
      </c>
      <c r="FK112" s="59">
        <f t="shared" si="102"/>
        <v>137.37366750114404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19.567477642709676</v>
      </c>
      <c r="FR112" s="21">
        <f>EXP(-LN(2)/25)*FR111+(1-EXP(-LN(2)/25))/(LN(2)/25)*Calculateur!FM112*Calculateur!FO112*VLOOKUP('Données projet'!$B$16,Paramètres!$A$1:$I$89,3,0)*0.475*44/12</f>
        <v>22.112658760307774</v>
      </c>
      <c r="FS112" s="21">
        <f>EXP(-LN(2)/2)*FS111+(1-EXP(-LN(2)/2))/(LN(2)/2)*FM112*FP112*VLOOKUP('Données projet'!$B$16,Paramètres!$A$1:$I$89,3,0)*0.475*44/12</f>
        <v>2.4672891100429939</v>
      </c>
      <c r="FT112" s="22">
        <f t="shared" si="78"/>
        <v>44.14742551306044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7.0884615384615346</v>
      </c>
      <c r="N113" s="13">
        <f>IF('Données projet'!$A$36&gt;35,N112+M113-V112,IF(A113&lt;'Données projet'!$A$36,$K$205^A113,IF(A113='Données projet'!$A$36,'Données projet'!$B$36,N112+M113-V112)))</f>
        <v>339.63461538461615</v>
      </c>
      <c r="O113" s="13">
        <f>N113*VLOOKUP('Données projet'!$B$9,Paramètres!$A$1:$I$89,3,0)*VLOOKUP('Données projet'!$B$9,Paramètres!$A$1:$I$89,5,0)</f>
        <v>158.94900000000035</v>
      </c>
      <c r="P113" s="13">
        <f t="shared" si="87"/>
        <v>40.605368573899682</v>
      </c>
      <c r="Q113" s="20">
        <f t="shared" si="107"/>
        <v>347.55719193287587</v>
      </c>
      <c r="R113" s="59">
        <f t="shared" si="55"/>
        <v>640.89052526620912</v>
      </c>
      <c r="S113" s="59">
        <f ca="1">AVERAGE(OFFSET($R$3,0,0,'Données projet'!$E$9+1,1))-AVERAGE(OFFSET($H$3,0,0,'Données projet'!$E$9+1,1))</f>
        <v>164.93438869099657</v>
      </c>
      <c r="T113" s="59">
        <f t="shared" si="88"/>
        <v>112.28641356594233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65.366256872379708</v>
      </c>
      <c r="AA113" s="21">
        <f>EXP(-LN(2)/25)*AA112+(1-EXP(-LN(2)/25))/(LN(2)/25)*Calculateur!V113*Calculateur!X113*VLOOKUP('Données projet'!$B$9,Paramètres!$A$1:$I$89,3,0)*0.475*44/12</f>
        <v>19.713150456237607</v>
      </c>
      <c r="AB113" s="21">
        <f>EXP(-LN(2)/2)*AB112+(1-EXP(-LN(2)/2))/(LN(2)/2)*V113*Y113*VLOOKUP('Données projet'!$B$9,Paramètres!$A$1:$I$89,3,0)*0.475*44/12</f>
        <v>4.0516268783099898</v>
      </c>
      <c r="AC113" s="22">
        <f t="shared" si="57"/>
        <v>89.13103420692731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273.81843612193632</v>
      </c>
      <c r="AO113" s="59">
        <f t="shared" si="90"/>
        <v>241.86405419073208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-6.3550942286383367E-14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271.42245454555501</v>
      </c>
      <c r="BJ113" s="59">
        <f t="shared" si="92"/>
        <v>362.63944425429077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76.264452568725986</v>
      </c>
      <c r="BQ113" s="21">
        <f>EXP(-LN(2)/25)*BQ112+(1-EXP(-LN(2)/25))/(LN(2)/25)*Calculateur!BL113*Calculateur!BN113*VLOOKUP('Données projet'!$B$11,Paramètres!$A$1:$I$89,3,0)*0.475*44/12</f>
        <v>12.53759965304134</v>
      </c>
      <c r="BR113" s="21">
        <f>EXP(-LN(2)/2)*BR112+(1-EXP(-LN(2)/2))/(LN(2)/2)*BL113*BO113*VLOOKUP('Données projet'!$B$11,Paramètres!$A$1:$I$89,3,0)*0.475*44/12</f>
        <v>1.7997391309949077E-7</v>
      </c>
      <c r="BS113" s="22">
        <f t="shared" si="63"/>
        <v>88.802052401741236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-3.1036506698001178E-14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154.35821558431712</v>
      </c>
      <c r="CE113" s="59">
        <f t="shared" si="94"/>
        <v>263.86720460501306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16.859941820796518</v>
      </c>
      <c r="CL113" s="21">
        <f>EXP(-LN(2)/25)*CL112+(1-EXP(-LN(2)/25))/(LN(2)/25)*Calculateur!CG113*Calculateur!CI113*VLOOKUP('Données projet'!$B$12,Paramètres!$A$1:$I$89,3,0)*0.475*44/12</f>
        <v>21.527195561114731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38.387137381911245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213</v>
      </c>
      <c r="CU113" s="17">
        <f>CT113*VLOOKUP('Données projet'!$B$13,Paramètres!$A$1:$I$89,3,0)*VLOOKUP('Données projet'!$B$13,Paramètres!$A$1:$I$89,5,0)</f>
        <v>169.46279999999999</v>
      </c>
      <c r="CV113" s="13">
        <f t="shared" si="95"/>
        <v>42.969686502194378</v>
      </c>
      <c r="CW113" s="20">
        <f t="shared" si="67"/>
        <v>369.9865806579885</v>
      </c>
      <c r="CX113" s="59">
        <f t="shared" si="68"/>
        <v>663.31991399132176</v>
      </c>
      <c r="CY113" s="59">
        <f ca="1">AVERAGE(OFFSET($CX$3,0,0,'Données projet'!$E$13+1,1))-AVERAGE(OFFSET($H$3,0,0,'Données projet'!$E$13+1,1))</f>
        <v>157.25319335691853</v>
      </c>
      <c r="CZ113" s="59">
        <f t="shared" si="96"/>
        <v>159.50903492442171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6.2270133208069769</v>
      </c>
      <c r="DG113" s="21">
        <f>EXP(-LN(2)/25)*DG112+(1-EXP(-LN(2)/25))/(LN(2)/25)*Calculateur!DB113*Calculateur!DD113*VLOOKUP('Données projet'!$B$13,Paramètres!$A$1:$I$89,3,0)*0.475*44/12</f>
        <v>3.8033605219275755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10.030373842734551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227.99999999999994</v>
      </c>
      <c r="DP113" s="17">
        <f>DO113*VLOOKUP('Données projet'!$B$14,Paramètres!$A$1:$I$89,3,0)*VLOOKUP('Données projet'!$B$14,Paramètres!$A$1:$I$89,5,0)</f>
        <v>199.18079999999998</v>
      </c>
      <c r="DQ113" s="13">
        <f t="shared" si="97"/>
        <v>49.564089376413683</v>
      </c>
      <c r="DR113" s="20">
        <f t="shared" si="70"/>
        <v>433.23068233058711</v>
      </c>
      <c r="DS113" s="59">
        <f t="shared" si="71"/>
        <v>726.56401566392037</v>
      </c>
      <c r="DT113" s="59">
        <f ca="1">AVERAGE(OFFSET($DS$3,0,0,'Données projet'!$E$14+1,1))-AVERAGE(OFFSET($H$3,0,0,'Données projet'!$E$14+1,1))</f>
        <v>229.5312221178919</v>
      </c>
      <c r="DU113" s="59">
        <f t="shared" si="98"/>
        <v>218.1982095871906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15.686997568432748</v>
      </c>
      <c r="EB113" s="21">
        <f>EXP(-LN(2)/25)*EB112+(1-EXP(-LN(2)/25))/(LN(2)/25)*Calculateur!DW113*Calculateur!DY113*VLOOKUP('Données projet'!$B$14,Paramètres!$A$1:$I$89,3,0)*0.475*44/12</f>
        <v>11.021788920693929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26.708786489126677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5.0961538461538449</v>
      </c>
      <c r="EJ113" s="12">
        <f>IF('Données projet'!$A$192&gt;35,EJ112+EI113-ER112,IF(A113&lt;'Données projet'!$A$192,$EG$205^A113,IF(A113='Données projet'!$A$192,'Données projet'!$B$192,EJ112+EI113-ER112)))</f>
        <v>230.92948717948684</v>
      </c>
      <c r="EK113" s="17">
        <f>EJ113*VLOOKUP('Données projet'!$B$15,Paramètres!$A$1:$I$89,3,0)*VLOOKUP('Données projet'!$B$15,Paramètres!$A$1:$I$89,5,0)</f>
        <v>208.94499999999971</v>
      </c>
      <c r="EL113" s="13">
        <f t="shared" si="99"/>
        <v>51.704974120746144</v>
      </c>
      <c r="EM113" s="20">
        <f t="shared" si="73"/>
        <v>453.96537159363237</v>
      </c>
      <c r="EN113" s="59">
        <f t="shared" si="74"/>
        <v>747.29870492696568</v>
      </c>
      <c r="EO113" s="59">
        <f ca="1">AVERAGE(OFFSET($EN$3,0,0,'Données projet'!$E$15+1,1))-AVERAGE(OFFSET($H$3,0,0,'Données projet'!$E$15+1,1))</f>
        <v>204.39656982394689</v>
      </c>
      <c r="EP113" s="59">
        <f t="shared" si="100"/>
        <v>134.95704640904546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27.789964005356563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27.789964005356563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5.8637820512820555</v>
      </c>
      <c r="FE113" s="12">
        <f>IF('Données projet'!$A$218&gt;35,FE112+FD113-FM112,IF(A113&lt;'Données projet'!$A$218,$FB$205^A113,IF(A113='Données projet'!$A$218,'Données projet'!$B$218,FE112+FD113-FM112)))</f>
        <v>229.99839743589783</v>
      </c>
      <c r="FF113" s="17">
        <f>FE113*VLOOKUP('Données projet'!$B$16,Paramètres!$A$1:$I$89,3,0)*VLOOKUP('Données projet'!$B$16,Paramètres!$A$1:$I$89,5,0)</f>
        <v>197.33862500000035</v>
      </c>
      <c r="FG113" s="13">
        <f t="shared" si="101"/>
        <v>49.158822819442285</v>
      </c>
      <c r="FH113" s="20">
        <f t="shared" si="76"/>
        <v>429.31638828552923</v>
      </c>
      <c r="FI113" s="59">
        <f t="shared" si="77"/>
        <v>722.64972161886249</v>
      </c>
      <c r="FJ113" s="59">
        <f ca="1">AVERAGE(OFFSET($FI$3,0,0,'Données projet'!$E$16+1,1))-AVERAGE(OFFSET($H$3,0,0,'Données projet'!$E$16+1,1))</f>
        <v>199.60585215726968</v>
      </c>
      <c r="FK113" s="59">
        <f t="shared" si="102"/>
        <v>137.37366750114404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19.183771341119019</v>
      </c>
      <c r="FR113" s="21">
        <f>EXP(-LN(2)/25)*FR112+(1-EXP(-LN(2)/25))/(LN(2)/25)*Calculateur!FM113*Calculateur!FO113*VLOOKUP('Données projet'!$B$16,Paramètres!$A$1:$I$89,3,0)*0.475*44/12</f>
        <v>21.507986943652973</v>
      </c>
      <c r="FS113" s="21">
        <f>EXP(-LN(2)/2)*FS112+(1-EXP(-LN(2)/2))/(LN(2)/2)*FM113*FP113*VLOOKUP('Données projet'!$B$16,Paramètres!$A$1:$I$89,3,0)*0.475*44/12</f>
        <v>1.744636860859123</v>
      </c>
      <c r="FT113" s="22">
        <f t="shared" si="78"/>
        <v>42.436395145631117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7.0884615384615346</v>
      </c>
      <c r="N114" s="13">
        <f>IF('Données projet'!$A$36&gt;35,N113+M114-V113,IF(A114&lt;'Données projet'!$A$36,$K$205^A114,IF(A114='Données projet'!$A$36,'Données projet'!$B$36,N113+M114-V113)))</f>
        <v>346.72307692307771</v>
      </c>
      <c r="O114" s="13">
        <f>N114*VLOOKUP('Données projet'!$B$9,Paramètres!$A$1:$I$89,3,0)*VLOOKUP('Données projet'!$B$9,Paramètres!$A$1:$I$89,5,0)</f>
        <v>162.26640000000037</v>
      </c>
      <c r="P114" s="13">
        <f t="shared" si="87"/>
        <v>41.35328902901945</v>
      </c>
      <c r="Q114" s="20">
        <f t="shared" si="107"/>
        <v>354.63762505887615</v>
      </c>
      <c r="R114" s="59">
        <f t="shared" si="55"/>
        <v>647.97095839220947</v>
      </c>
      <c r="S114" s="59">
        <f ca="1">AVERAGE(OFFSET($R$3,0,0,'Données projet'!$E$9+1,1))-AVERAGE(OFFSET($H$3,0,0,'Données projet'!$E$9+1,1))</f>
        <v>164.93438869099657</v>
      </c>
      <c r="T114" s="59">
        <f t="shared" si="88"/>
        <v>112.28641356594233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64.084464444592257</v>
      </c>
      <c r="AA114" s="21">
        <f>EXP(-LN(2)/25)*AA113+(1-EXP(-LN(2)/25))/(LN(2)/25)*Calculateur!V114*Calculateur!X114*VLOOKUP('Données projet'!$B$9,Paramètres!$A$1:$I$89,3,0)*0.475*44/12</f>
        <v>19.174093320342262</v>
      </c>
      <c r="AB114" s="21">
        <f>EXP(-LN(2)/2)*AB113+(1-EXP(-LN(2)/2))/(LN(2)/2)*V114*Y114*VLOOKUP('Données projet'!$B$9,Paramètres!$A$1:$I$89,3,0)*0.475*44/12</f>
        <v>2.8649328404906766</v>
      </c>
      <c r="AC114" s="22">
        <f t="shared" si="57"/>
        <v>86.123490605425204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273.81843612193632</v>
      </c>
      <c r="AO114" s="59">
        <f t="shared" si="90"/>
        <v>241.86405419073208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-6.3550942286383367E-14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271.42245454555501</v>
      </c>
      <c r="BJ114" s="59">
        <f t="shared" si="92"/>
        <v>362.63944425429077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74.768953170576196</v>
      </c>
      <c r="BQ114" s="21">
        <f>EXP(-LN(2)/25)*BQ113+(1-EXP(-LN(2)/25))/(LN(2)/25)*Calculateur!BL114*Calculateur!BN114*VLOOKUP('Données projet'!$B$11,Paramètres!$A$1:$I$89,3,0)*0.475*44/12</f>
        <v>12.194758331205215</v>
      </c>
      <c r="BR114" s="21">
        <f>EXP(-LN(2)/2)*BR113+(1-EXP(-LN(2)/2))/(LN(2)/2)*BL114*BO114*VLOOKUP('Données projet'!$B$11,Paramètres!$A$1:$I$89,3,0)*0.475*44/12</f>
        <v>1.2726077438932834E-7</v>
      </c>
      <c r="BS114" s="22">
        <f t="shared" si="63"/>
        <v>86.96371162904218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-3.1036506698001178E-14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154.35821558431712</v>
      </c>
      <c r="CE114" s="59">
        <f t="shared" si="94"/>
        <v>263.86720460501306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16.529328645239794</v>
      </c>
      <c r="CL114" s="21">
        <f>EXP(-LN(2)/25)*CL113+(1-EXP(-LN(2)/25))/(LN(2)/25)*Calculateur!CG114*Calculateur!CI114*VLOOKUP('Données projet'!$B$12,Paramètres!$A$1:$I$89,3,0)*0.475*44/12</f>
        <v>20.938533266430035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37.467861911669829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213</v>
      </c>
      <c r="CU114" s="17">
        <f>CT114*VLOOKUP('Données projet'!$B$13,Paramètres!$A$1:$I$89,3,0)*VLOOKUP('Données projet'!$B$13,Paramètres!$A$1:$I$89,5,0)</f>
        <v>169.46279999999999</v>
      </c>
      <c r="CV114" s="13">
        <f t="shared" si="95"/>
        <v>42.969686502194378</v>
      </c>
      <c r="CW114" s="20">
        <f t="shared" si="67"/>
        <v>369.9865806579885</v>
      </c>
      <c r="CX114" s="59">
        <f t="shared" si="68"/>
        <v>663.31991399132176</v>
      </c>
      <c r="CY114" s="59">
        <f ca="1">AVERAGE(OFFSET($CX$3,0,0,'Données projet'!$E$13+1,1))-AVERAGE(OFFSET($H$3,0,0,'Données projet'!$E$13+1,1))</f>
        <v>157.25319335691853</v>
      </c>
      <c r="CZ114" s="59">
        <f t="shared" si="96"/>
        <v>159.50903492442171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6.1049053876890467</v>
      </c>
      <c r="DG114" s="21">
        <f>EXP(-LN(2)/25)*DG113+(1-EXP(-LN(2)/25))/(LN(2)/25)*Calculateur!DB114*Calculateur!DD114*VLOOKUP('Données projet'!$B$13,Paramètres!$A$1:$I$89,3,0)*0.475*44/12</f>
        <v>3.6993574284454289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9.8042628161344751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227.99999999999994</v>
      </c>
      <c r="DP114" s="17">
        <f>DO114*VLOOKUP('Données projet'!$B$14,Paramètres!$A$1:$I$89,3,0)*VLOOKUP('Données projet'!$B$14,Paramètres!$A$1:$I$89,5,0)</f>
        <v>199.18079999999998</v>
      </c>
      <c r="DQ114" s="13">
        <f t="shared" si="97"/>
        <v>49.564089376413683</v>
      </c>
      <c r="DR114" s="20">
        <f t="shared" si="70"/>
        <v>433.23068233058711</v>
      </c>
      <c r="DS114" s="59">
        <f t="shared" si="71"/>
        <v>726.56401566392037</v>
      </c>
      <c r="DT114" s="59">
        <f ca="1">AVERAGE(OFFSET($DS$3,0,0,'Données projet'!$E$14+1,1))-AVERAGE(OFFSET($H$3,0,0,'Données projet'!$E$14+1,1))</f>
        <v>229.5312221178919</v>
      </c>
      <c r="DU114" s="59">
        <f t="shared" si="98"/>
        <v>218.1982095871906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15.379385114239525</v>
      </c>
      <c r="EB114" s="21">
        <f>EXP(-LN(2)/25)*EB113+(1-EXP(-LN(2)/25))/(LN(2)/25)*Calculateur!DW114*Calculateur!DY114*VLOOKUP('Données projet'!$B$14,Paramètres!$A$1:$I$89,3,0)*0.475*44/12</f>
        <v>10.720397523046865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26.099782637286388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5.0961538461538449</v>
      </c>
      <c r="EJ114" s="12">
        <f>IF('Données projet'!$A$192&gt;35,EJ113+EI114-ER113,IF(A114&lt;'Données projet'!$A$192,$EG$205^A114,IF(A114='Données projet'!$A$192,'Données projet'!$B$192,EJ113+EI114-ER113)))</f>
        <v>236.02564102564068</v>
      </c>
      <c r="EK114" s="17">
        <f>EJ114*VLOOKUP('Données projet'!$B$15,Paramètres!$A$1:$I$89,3,0)*VLOOKUP('Données projet'!$B$15,Paramètres!$A$1:$I$89,5,0)</f>
        <v>213.5559999999997</v>
      </c>
      <c r="EL114" s="13">
        <f t="shared" si="99"/>
        <v>52.71190012556103</v>
      </c>
      <c r="EM114" s="20">
        <f t="shared" si="73"/>
        <v>463.74992605201828</v>
      </c>
      <c r="EN114" s="59">
        <f t="shared" si="74"/>
        <v>757.08325938535154</v>
      </c>
      <c r="EO114" s="59">
        <f ca="1">AVERAGE(OFFSET($EN$3,0,0,'Données projet'!$E$15+1,1))-AVERAGE(OFFSET($H$3,0,0,'Données projet'!$E$15+1,1))</f>
        <v>204.39656982394689</v>
      </c>
      <c r="EP114" s="59">
        <f t="shared" si="100"/>
        <v>134.95704640904546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27.245019761415872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27.245019761415872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5.8637820512820555</v>
      </c>
      <c r="FE114" s="12">
        <f>IF('Données projet'!$A$218&gt;35,FE113+FD114-FM113,IF(A114&lt;'Données projet'!$A$218,$FB$205^A114,IF(A114='Données projet'!$A$218,'Données projet'!$B$218,FE113+FD114-FM113)))</f>
        <v>235.86217948717987</v>
      </c>
      <c r="FF114" s="17">
        <f>FE114*VLOOKUP('Données projet'!$B$16,Paramètres!$A$1:$I$89,3,0)*VLOOKUP('Données projet'!$B$16,Paramètres!$A$1:$I$89,5,0)</f>
        <v>202.36975000000038</v>
      </c>
      <c r="FG114" s="13">
        <f t="shared" si="101"/>
        <v>50.264609482117542</v>
      </c>
      <c r="FH114" s="20">
        <f t="shared" si="76"/>
        <v>440.0048427646887</v>
      </c>
      <c r="FI114" s="59">
        <f t="shared" si="77"/>
        <v>733.33817609802202</v>
      </c>
      <c r="FJ114" s="59">
        <f ca="1">AVERAGE(OFFSET($FI$3,0,0,'Données projet'!$E$16+1,1))-AVERAGE(OFFSET($H$3,0,0,'Données projet'!$E$16+1,1))</f>
        <v>199.60585215726968</v>
      </c>
      <c r="FK114" s="59">
        <f t="shared" si="102"/>
        <v>137.37366750114404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18.807589286064822</v>
      </c>
      <c r="FR114" s="21">
        <f>EXP(-LN(2)/25)*FR113+(1-EXP(-LN(2)/25))/(LN(2)/25)*Calculateur!FM114*Calculateur!FO114*VLOOKUP('Données projet'!$B$16,Paramètres!$A$1:$I$89,3,0)*0.475*44/12</f>
        <v>20.919849909622908</v>
      </c>
      <c r="FS114" s="21">
        <f>EXP(-LN(2)/2)*FS113+(1-EXP(-LN(2)/2))/(LN(2)/2)*FM114*FP114*VLOOKUP('Données projet'!$B$16,Paramètres!$A$1:$I$89,3,0)*0.475*44/12</f>
        <v>1.2336445550214972</v>
      </c>
      <c r="FT114" s="22">
        <f t="shared" si="78"/>
        <v>40.961083750709228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7.0884615384615346</v>
      </c>
      <c r="N115" s="13">
        <f>IF('Données projet'!$A$36&gt;35,N114+M115-V114,IF(A115&lt;'Données projet'!$A$36,$K$205^A115,IF(A115='Données projet'!$A$36,'Données projet'!$B$36,N114+M115-V114)))</f>
        <v>353.81153846153927</v>
      </c>
      <c r="O115" s="13">
        <f>N115*VLOOKUP('Données projet'!$B$9,Paramètres!$A$1:$I$89,3,0)*VLOOKUP('Données projet'!$B$9,Paramètres!$A$1:$I$89,5,0)</f>
        <v>165.58380000000037</v>
      </c>
      <c r="P115" s="13">
        <f t="shared" si="87"/>
        <v>42.099431642932551</v>
      </c>
      <c r="Q115" s="20">
        <f t="shared" si="107"/>
        <v>361.71496177810815</v>
      </c>
      <c r="R115" s="59">
        <f t="shared" si="55"/>
        <v>655.04829511144146</v>
      </c>
      <c r="S115" s="59">
        <f ca="1">AVERAGE(OFFSET($R$3,0,0,'Données projet'!$E$9+1,1))-AVERAGE(OFFSET($H$3,0,0,'Données projet'!$E$9+1,1))</f>
        <v>164.93438869099657</v>
      </c>
      <c r="T115" s="59">
        <f t="shared" si="88"/>
        <v>112.28641356594233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62.82780718449753</v>
      </c>
      <c r="AA115" s="21">
        <f>EXP(-LN(2)/25)*AA114+(1-EXP(-LN(2)/25))/(LN(2)/25)*Calculateur!V115*Calculateur!X115*VLOOKUP('Données projet'!$B$9,Paramètres!$A$1:$I$89,3,0)*0.475*44/12</f>
        <v>18.649776730175759</v>
      </c>
      <c r="AB115" s="21">
        <f>EXP(-LN(2)/2)*AB114+(1-EXP(-LN(2)/2))/(LN(2)/2)*V115*Y115*VLOOKUP('Données projet'!$B$9,Paramètres!$A$1:$I$89,3,0)*0.475*44/12</f>
        <v>2.0258134391549949</v>
      </c>
      <c r="AC115" s="22">
        <f t="shared" si="57"/>
        <v>83.503397353828291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273.81843612193632</v>
      </c>
      <c r="AO115" s="59">
        <f t="shared" si="90"/>
        <v>241.86405419073208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-6.3550942286383367E-14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271.42245454555501</v>
      </c>
      <c r="BJ115" s="59">
        <f t="shared" si="92"/>
        <v>362.63944425429077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73.302779603459555</v>
      </c>
      <c r="BQ115" s="21">
        <f>EXP(-LN(2)/25)*BQ114+(1-EXP(-LN(2)/25))/(LN(2)/25)*Calculateur!BL115*Calculateur!BN115*VLOOKUP('Données projet'!$B$11,Paramètres!$A$1:$I$89,3,0)*0.475*44/12</f>
        <v>11.861292023343939</v>
      </c>
      <c r="BR115" s="21">
        <f>EXP(-LN(2)/2)*BR114+(1-EXP(-LN(2)/2))/(LN(2)/2)*BL115*BO115*VLOOKUP('Données projet'!$B$11,Paramètres!$A$1:$I$89,3,0)*0.475*44/12</f>
        <v>8.9986956549745383E-8</v>
      </c>
      <c r="BS115" s="22">
        <f t="shared" si="63"/>
        <v>85.164071716790446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-3.1036506698001178E-14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154.35821558431712</v>
      </c>
      <c r="CE115" s="59">
        <f t="shared" si="94"/>
        <v>263.86720460501306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16.205198592401612</v>
      </c>
      <c r="CL115" s="21">
        <f>EXP(-LN(2)/25)*CL114+(1-EXP(-LN(2)/25))/(LN(2)/25)*Calculateur!CG115*Calculateur!CI115*VLOOKUP('Données projet'!$B$12,Paramètres!$A$1:$I$89,3,0)*0.475*44/12</f>
        <v>20.365967973149896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36.571166565551508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213</v>
      </c>
      <c r="CU115" s="17">
        <f>CT115*VLOOKUP('Données projet'!$B$13,Paramètres!$A$1:$I$89,3,0)*VLOOKUP('Données projet'!$B$13,Paramètres!$A$1:$I$89,5,0)</f>
        <v>169.46279999999999</v>
      </c>
      <c r="CV115" s="13">
        <f t="shared" si="95"/>
        <v>42.969686502194378</v>
      </c>
      <c r="CW115" s="20">
        <f t="shared" si="67"/>
        <v>369.9865806579885</v>
      </c>
      <c r="CX115" s="59">
        <f t="shared" si="68"/>
        <v>663.31991399132176</v>
      </c>
      <c r="CY115" s="59">
        <f ca="1">AVERAGE(OFFSET($CX$3,0,0,'Données projet'!$E$13+1,1))-AVERAGE(OFFSET($H$3,0,0,'Données projet'!$E$13+1,1))</f>
        <v>157.25319335691853</v>
      </c>
      <c r="CZ115" s="59">
        <f t="shared" si="96"/>
        <v>159.50903492442171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5.9851919166610736</v>
      </c>
      <c r="DG115" s="21">
        <f>EXP(-LN(2)/25)*DG114+(1-EXP(-LN(2)/25))/(LN(2)/25)*Calculateur!DB115*Calculateur!DD115*VLOOKUP('Données projet'!$B$13,Paramètres!$A$1:$I$89,3,0)*0.475*44/12</f>
        <v>3.5981983050238364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9.5833902216849101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227.99999999999994</v>
      </c>
      <c r="DP115" s="17">
        <f>DO115*VLOOKUP('Données projet'!$B$14,Paramètres!$A$1:$I$89,3,0)*VLOOKUP('Données projet'!$B$14,Paramètres!$A$1:$I$89,5,0)</f>
        <v>199.18079999999998</v>
      </c>
      <c r="DQ115" s="13">
        <f t="shared" si="97"/>
        <v>49.564089376413683</v>
      </c>
      <c r="DR115" s="20">
        <f t="shared" si="70"/>
        <v>433.23068233058711</v>
      </c>
      <c r="DS115" s="59">
        <f t="shared" si="71"/>
        <v>726.56401566392037</v>
      </c>
      <c r="DT115" s="59">
        <f ca="1">AVERAGE(OFFSET($DS$3,0,0,'Données projet'!$E$14+1,1))-AVERAGE(OFFSET($H$3,0,0,'Données projet'!$E$14+1,1))</f>
        <v>229.5312221178919</v>
      </c>
      <c r="DU115" s="59">
        <f t="shared" si="98"/>
        <v>218.1982095871906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15.07780475264796</v>
      </c>
      <c r="EB115" s="21">
        <f>EXP(-LN(2)/25)*EB114+(1-EXP(-LN(2)/25))/(LN(2)/25)*Calculateur!DW115*Calculateur!DY115*VLOOKUP('Données projet'!$B$14,Paramètres!$A$1:$I$89,3,0)*0.475*44/12</f>
        <v>10.427247689017944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25.505052441665903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5.0961538461538449</v>
      </c>
      <c r="EJ115" s="12">
        <f>IF('Données projet'!$A$192&gt;35,EJ114+EI115-ER114,IF(A115&lt;'Données projet'!$A$192,$EG$205^A115,IF(A115='Données projet'!$A$192,'Données projet'!$B$192,EJ114+EI115-ER114)))</f>
        <v>241.12179487179452</v>
      </c>
      <c r="EK115" s="17">
        <f>EJ115*VLOOKUP('Données projet'!$B$15,Paramètres!$A$1:$I$89,3,0)*VLOOKUP('Données projet'!$B$15,Paramètres!$A$1:$I$89,5,0)</f>
        <v>218.16699999999966</v>
      </c>
      <c r="EL115" s="13">
        <f t="shared" si="99"/>
        <v>53.716298439743952</v>
      </c>
      <c r="EM115" s="20">
        <f t="shared" si="73"/>
        <v>473.53007811588674</v>
      </c>
      <c r="EN115" s="59">
        <f t="shared" si="74"/>
        <v>766.86341144922005</v>
      </c>
      <c r="EO115" s="59">
        <f ca="1">AVERAGE(OFFSET($EN$3,0,0,'Données projet'!$E$15+1,1))-AVERAGE(OFFSET($H$3,0,0,'Données projet'!$E$15+1,1))</f>
        <v>204.39656982394689</v>
      </c>
      <c r="EP115" s="59">
        <f t="shared" si="100"/>
        <v>134.95704640904546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26.710761541715687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26.710761541715687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5.8637820512820555</v>
      </c>
      <c r="FE115" s="12">
        <f>IF('Données projet'!$A$218&gt;35,FE114+FD115-FM114,IF(A115&lt;'Données projet'!$A$218,$FB$205^A115,IF(A115='Données projet'!$A$218,'Données projet'!$B$218,FE114+FD115-FM114)))</f>
        <v>241.72596153846192</v>
      </c>
      <c r="FF115" s="17">
        <f>FE115*VLOOKUP('Données projet'!$B$16,Paramètres!$A$1:$I$89,3,0)*VLOOKUP('Données projet'!$B$16,Paramètres!$A$1:$I$89,5,0)</f>
        <v>207.40087500000035</v>
      </c>
      <c r="FG115" s="13">
        <f t="shared" si="101"/>
        <v>51.367200467713147</v>
      </c>
      <c r="FH115" s="20">
        <f t="shared" si="76"/>
        <v>450.68773143960101</v>
      </c>
      <c r="FI115" s="59">
        <f t="shared" si="77"/>
        <v>744.02106477293432</v>
      </c>
      <c r="FJ115" s="59">
        <f ca="1">AVERAGE(OFFSET($FI$3,0,0,'Données projet'!$E$16+1,1))-AVERAGE(OFFSET($H$3,0,0,'Données projet'!$E$16+1,1))</f>
        <v>199.60585215726968</v>
      </c>
      <c r="FK115" s="59">
        <f t="shared" si="102"/>
        <v>137.37366750114404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18.438783931661838</v>
      </c>
      <c r="FR115" s="21">
        <f>EXP(-LN(2)/25)*FR114+(1-EXP(-LN(2)/25))/(LN(2)/25)*Calculateur!FM115*Calculateur!FO115*VLOOKUP('Données projet'!$B$16,Paramètres!$A$1:$I$89,3,0)*0.475*44/12</f>
        <v>20.347795513717177</v>
      </c>
      <c r="FS115" s="21">
        <f>EXP(-LN(2)/2)*FS114+(1-EXP(-LN(2)/2))/(LN(2)/2)*FM115*FP115*VLOOKUP('Données projet'!$B$16,Paramètres!$A$1:$I$89,3,0)*0.475*44/12</f>
        <v>0.8723184304295617</v>
      </c>
      <c r="FT115" s="22">
        <f t="shared" si="78"/>
        <v>39.658897875808577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7.0884615384615346</v>
      </c>
      <c r="N116" s="13">
        <f>IF('Données projet'!$A$36&gt;35,N115+M116-V115,IF(A116&lt;'Données projet'!$A$36,$K$205^A116,IF(A116='Données projet'!$A$36,'Données projet'!$B$36,N115+M116-V115)))</f>
        <v>360.90000000000083</v>
      </c>
      <c r="O116" s="13">
        <f>N116*VLOOKUP('Données projet'!$B$9,Paramètres!$A$1:$I$89,3,0)*VLOOKUP('Données projet'!$B$9,Paramètres!$A$1:$I$89,5,0)</f>
        <v>168.90120000000039</v>
      </c>
      <c r="P116" s="13">
        <f t="shared" si="87"/>
        <v>42.843836138922327</v>
      </c>
      <c r="Q116" s="20">
        <f t="shared" si="107"/>
        <v>368.78927127529045</v>
      </c>
      <c r="R116" s="59">
        <f t="shared" si="55"/>
        <v>662.12260460862376</v>
      </c>
      <c r="S116" s="59">
        <f ca="1">AVERAGE(OFFSET($R$3,0,0,'Données projet'!$E$9+1,1))-AVERAGE(OFFSET($H$3,0,0,'Données projet'!$E$9+1,1))</f>
        <v>164.93438869099657</v>
      </c>
      <c r="T116" s="59">
        <f t="shared" si="88"/>
        <v>112.28641356594233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61.595792206788012</v>
      </c>
      <c r="AA116" s="21">
        <f>EXP(-LN(2)/25)*AA115+(1-EXP(-LN(2)/25))/(LN(2)/25)*Calculateur!V116*Calculateur!X116*VLOOKUP('Données projet'!$B$9,Paramètres!$A$1:$I$89,3,0)*0.475*44/12</f>
        <v>18.139797604739968</v>
      </c>
      <c r="AB116" s="21">
        <f>EXP(-LN(2)/2)*AB115+(1-EXP(-LN(2)/2))/(LN(2)/2)*V116*Y116*VLOOKUP('Données projet'!$B$9,Paramètres!$A$1:$I$89,3,0)*0.475*44/12</f>
        <v>1.4324664202453383</v>
      </c>
      <c r="AC116" s="22">
        <f t="shared" si="57"/>
        <v>81.168056231773306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273.81843612193632</v>
      </c>
      <c r="AO116" s="59">
        <f t="shared" si="90"/>
        <v>241.86405419073208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-6.3550942286383367E-14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271.42245454555501</v>
      </c>
      <c r="BJ116" s="59">
        <f t="shared" si="92"/>
        <v>362.63944425429077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71.865356805716502</v>
      </c>
      <c r="BQ116" s="21">
        <f>EXP(-LN(2)/25)*BQ115+(1-EXP(-LN(2)/25))/(LN(2)/25)*Calculateur!BL116*Calculateur!BN116*VLOOKUP('Données projet'!$B$11,Paramètres!$A$1:$I$89,3,0)*0.475*44/12</f>
        <v>11.536944369207362</v>
      </c>
      <c r="BR116" s="21">
        <f>EXP(-LN(2)/2)*BR115+(1-EXP(-LN(2)/2))/(LN(2)/2)*BL116*BO116*VLOOKUP('Données projet'!$B$11,Paramètres!$A$1:$I$89,3,0)*0.475*44/12</f>
        <v>6.3630387194664168E-8</v>
      </c>
      <c r="BS116" s="22">
        <f t="shared" si="63"/>
        <v>83.402301238554244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-3.1036506698001178E-14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154.35821558431712</v>
      </c>
      <c r="CE116" s="59">
        <f t="shared" si="94"/>
        <v>263.86720460501306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15.887424532199773</v>
      </c>
      <c r="CL116" s="21">
        <f>EXP(-LN(2)/25)*CL115+(1-EXP(-LN(2)/25))/(LN(2)/25)*Calculateur!CG116*Calculateur!CI116*VLOOKUP('Données projet'!$B$12,Paramètres!$A$1:$I$89,3,0)*0.475*44/12</f>
        <v>19.809059507924403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35.696484040124176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213</v>
      </c>
      <c r="CU116" s="17">
        <f>CT116*VLOOKUP('Données projet'!$B$13,Paramètres!$A$1:$I$89,3,0)*VLOOKUP('Données projet'!$B$13,Paramètres!$A$1:$I$89,5,0)</f>
        <v>169.46279999999999</v>
      </c>
      <c r="CV116" s="13">
        <f t="shared" si="95"/>
        <v>42.969686502194378</v>
      </c>
      <c r="CW116" s="20">
        <f t="shared" si="67"/>
        <v>369.9865806579885</v>
      </c>
      <c r="CX116" s="59">
        <f t="shared" si="68"/>
        <v>663.31991399132176</v>
      </c>
      <c r="CY116" s="59">
        <f ca="1">AVERAGE(OFFSET($CX$3,0,0,'Données projet'!$E$13+1,1))-AVERAGE(OFFSET($H$3,0,0,'Données projet'!$E$13+1,1))</f>
        <v>157.25319335691853</v>
      </c>
      <c r="CZ116" s="59">
        <f t="shared" si="96"/>
        <v>159.50903492442171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5.8678259537819519</v>
      </c>
      <c r="DG116" s="21">
        <f>EXP(-LN(2)/25)*DG115+(1-EXP(-LN(2)/25))/(LN(2)/25)*Calculateur!DB116*Calculateur!DD116*VLOOKUP('Données projet'!$B$13,Paramètres!$A$1:$I$89,3,0)*0.475*44/12</f>
        <v>3.4998053831519345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9.3676313369338864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227.99999999999994</v>
      </c>
      <c r="DP116" s="17">
        <f>DO116*VLOOKUP('Données projet'!$B$14,Paramètres!$A$1:$I$89,3,0)*VLOOKUP('Données projet'!$B$14,Paramètres!$A$1:$I$89,5,0)</f>
        <v>199.18079999999998</v>
      </c>
      <c r="DQ116" s="13">
        <f t="shared" si="97"/>
        <v>49.564089376413683</v>
      </c>
      <c r="DR116" s="20">
        <f t="shared" si="70"/>
        <v>433.23068233058711</v>
      </c>
      <c r="DS116" s="59">
        <f t="shared" si="71"/>
        <v>726.56401566392037</v>
      </c>
      <c r="DT116" s="59">
        <f ca="1">AVERAGE(OFFSET($DS$3,0,0,'Données projet'!$E$14+1,1))-AVERAGE(OFFSET($H$3,0,0,'Données projet'!$E$14+1,1))</f>
        <v>229.5312221178919</v>
      </c>
      <c r="DU116" s="59">
        <f t="shared" si="98"/>
        <v>218.1982095871906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14.782138198001348</v>
      </c>
      <c r="EB116" s="21">
        <f>EXP(-LN(2)/25)*EB115+(1-EXP(-LN(2)/25))/(LN(2)/25)*Calculateur!DW116*Calculateur!DY116*VLOOKUP('Données projet'!$B$14,Paramètres!$A$1:$I$89,3,0)*0.475*44/12</f>
        <v>10.142114052616625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24.924252250617975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>
        <f>VLOOKUP(A116,'Données projet'!$A$191:$I$211,2,0)</f>
        <v>246.21794871794873</v>
      </c>
      <c r="EH116" s="12">
        <f>VLOOKUP(A116,'Données projet'!$A$191:$I$211,9,0)</f>
        <v>5.0961538461538449</v>
      </c>
      <c r="EI116" s="12">
        <f t="array" ref="EI116">INDEX(EH:EH,MIN(IF(ISNUMBER(EH116:EH312),ROW(EH116:EH312),"")))</f>
        <v>5.0961538461538449</v>
      </c>
      <c r="EJ116" s="12">
        <f>IF('Données projet'!$A$192&gt;35,EJ115+EI116-ER115,IF(A116&lt;'Données projet'!$A$192,$EG$205^A116,IF(A116='Données projet'!$A$192,'Données projet'!$B$192,EJ115+EI116-ER115)))</f>
        <v>246.21794871794836</v>
      </c>
      <c r="EK116" s="17">
        <f>EJ116*VLOOKUP('Données projet'!$B$15,Paramètres!$A$1:$I$89,3,0)*VLOOKUP('Données projet'!$B$15,Paramètres!$A$1:$I$89,5,0)</f>
        <v>222.77799999999965</v>
      </c>
      <c r="EL116" s="13">
        <f t="shared" si="99"/>
        <v>54.718228640620396</v>
      </c>
      <c r="EM116" s="20">
        <f t="shared" si="73"/>
        <v>483.30593154907984</v>
      </c>
      <c r="EN116" s="59">
        <f t="shared" si="74"/>
        <v>776.63926488241316</v>
      </c>
      <c r="EO116" s="59">
        <f ca="1">AVERAGE(OFFSET($EN$3,0,0,'Données projet'!$E$15+1,1))-AVERAGE(OFFSET($H$3,0,0,'Données projet'!$E$15+1,1))</f>
        <v>204.39656982394689</v>
      </c>
      <c r="EP116" s="59">
        <f t="shared" si="100"/>
        <v>134.95704640904546</v>
      </c>
      <c r="EQ116" s="15">
        <f>IF(ISNA(VLOOKUP(A116,'Données projet'!$A$191:$I$211,3,0)),0,VLOOKUP(A116,'Données projet'!$A$191:$I$211,3,0))</f>
        <v>9</v>
      </c>
      <c r="ER116" s="15">
        <f>IF(ISNA(VLOOKUP(A116,'Données projet'!$A$191:$I$211,4,0)),0,VLOOKUP(A116,'Données projet'!$A$191:$I$211,4,0))</f>
        <v>31.602564102564099</v>
      </c>
      <c r="ES116" s="16">
        <f>IF(ISNA(VLOOKUP(A116,'Données projet'!$A$191:$I$211,5,0)),0%,VLOOKUP(A116,'Données projet'!$A$191:$I$211,5,0)*VLOOKUP('Données projet'!$B$15,Paramètres!$A$1:$I$89,7,0))</f>
        <v>0.30099999999999999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35.701535629580405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35.701535629580405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5.8637820512820555</v>
      </c>
      <c r="FE116" s="12">
        <f>IF('Données projet'!$A$218&gt;35,FE115+FD116-FM115,IF(A116&lt;'Données projet'!$A$218,$FB$205^A116,IF(A116='Données projet'!$A$218,'Données projet'!$B$218,FE115+FD116-FM115)))</f>
        <v>247.58974358974396</v>
      </c>
      <c r="FF116" s="17">
        <f>FE116*VLOOKUP('Données projet'!$B$16,Paramètres!$A$1:$I$89,3,0)*VLOOKUP('Données projet'!$B$16,Paramètres!$A$1:$I$89,5,0)</f>
        <v>212.43200000000036</v>
      </c>
      <c r="FG116" s="13">
        <f t="shared" si="101"/>
        <v>52.466682215358794</v>
      </c>
      <c r="FH116" s="20">
        <f t="shared" si="76"/>
        <v>461.3652048584172</v>
      </c>
      <c r="FI116" s="59">
        <f t="shared" si="77"/>
        <v>754.69853819175046</v>
      </c>
      <c r="FJ116" s="59">
        <f ca="1">AVERAGE(OFFSET($FI$3,0,0,'Données projet'!$E$16+1,1))-AVERAGE(OFFSET($H$3,0,0,'Données projet'!$E$16+1,1))</f>
        <v>199.60585215726968</v>
      </c>
      <c r="FK116" s="59">
        <f t="shared" si="102"/>
        <v>137.37366750114404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18.077210625309643</v>
      </c>
      <c r="FR116" s="21">
        <f>EXP(-LN(2)/25)*FR115+(1-EXP(-LN(2)/25))/(LN(2)/25)*Calculateur!FM116*Calculateur!FO116*VLOOKUP('Données projet'!$B$16,Paramètres!$A$1:$I$89,3,0)*0.475*44/12</f>
        <v>19.79138397535052</v>
      </c>
      <c r="FS116" s="21">
        <f>EXP(-LN(2)/2)*FS115+(1-EXP(-LN(2)/2))/(LN(2)/2)*FM116*FP116*VLOOKUP('Données projet'!$B$16,Paramètres!$A$1:$I$89,3,0)*0.475*44/12</f>
        <v>0.6168222775107487</v>
      </c>
      <c r="FT116" s="22">
        <f t="shared" si="78"/>
        <v>38.485416878170909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7.0884615384615346</v>
      </c>
      <c r="N117" s="13">
        <f>IF('Données projet'!$A$36&gt;35,N116+M117-V116,IF(A117&lt;'Données projet'!$A$36,$K$205^A117,IF(A117='Données projet'!$A$36,'Données projet'!$B$36,N116+M117-V116)))</f>
        <v>367.98846153846239</v>
      </c>
      <c r="O117" s="13">
        <f>N117*VLOOKUP('Données projet'!$B$9,Paramètres!$A$1:$I$89,3,0)*VLOOKUP('Données projet'!$B$9,Paramètres!$A$1:$I$89,5,0)</f>
        <v>172.21860000000038</v>
      </c>
      <c r="P117" s="13">
        <f t="shared" si="87"/>
        <v>43.586540590608692</v>
      </c>
      <c r="Q117" s="20">
        <f t="shared" si="107"/>
        <v>375.86061986197745</v>
      </c>
      <c r="R117" s="59">
        <f t="shared" si="55"/>
        <v>669.19395319531077</v>
      </c>
      <c r="S117" s="59">
        <f ca="1">AVERAGE(OFFSET($R$3,0,0,'Données projet'!$E$9+1,1))-AVERAGE(OFFSET($H$3,0,0,'Données projet'!$E$9+1,1))</f>
        <v>164.93438869099657</v>
      </c>
      <c r="T117" s="59">
        <f t="shared" si="88"/>
        <v>112.28641356594233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60.387936291336445</v>
      </c>
      <c r="AA117" s="21">
        <f>EXP(-LN(2)/25)*AA116+(1-EXP(-LN(2)/25))/(LN(2)/25)*Calculateur!V117*Calculateur!X117*VLOOKUP('Données projet'!$B$9,Paramètres!$A$1:$I$89,3,0)*0.475*44/12</f>
        <v>17.643763885307855</v>
      </c>
      <c r="AB117" s="21">
        <f>EXP(-LN(2)/2)*AB116+(1-EXP(-LN(2)/2))/(LN(2)/2)*V117*Y117*VLOOKUP('Données projet'!$B$9,Paramètres!$A$1:$I$89,3,0)*0.475*44/12</f>
        <v>1.0129067195774974</v>
      </c>
      <c r="AC117" s="22">
        <f t="shared" si="57"/>
        <v>79.044606896221808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273.81843612193632</v>
      </c>
      <c r="AO117" s="59">
        <f t="shared" si="90"/>
        <v>241.86405419073208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-6.3550942286383367E-14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271.42245454555501</v>
      </c>
      <c r="BJ117" s="59">
        <f t="shared" si="92"/>
        <v>362.63944425429077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70.456120992295851</v>
      </c>
      <c r="BQ117" s="21">
        <f>EXP(-LN(2)/25)*BQ116+(1-EXP(-LN(2)/25))/(LN(2)/25)*Calculateur!BL117*Calculateur!BN117*VLOOKUP('Données projet'!$B$11,Paramètres!$A$1:$I$89,3,0)*0.475*44/12</f>
        <v>11.221466018729849</v>
      </c>
      <c r="BR117" s="21">
        <f>EXP(-LN(2)/2)*BR116+(1-EXP(-LN(2)/2))/(LN(2)/2)*BL117*BO117*VLOOKUP('Données projet'!$B$11,Paramètres!$A$1:$I$89,3,0)*0.475*44/12</f>
        <v>4.4993478274872691E-8</v>
      </c>
      <c r="BS117" s="22">
        <f t="shared" si="63"/>
        <v>81.677587056019192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-3.1036506698001178E-14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154.35821558431712</v>
      </c>
      <c r="CE117" s="59">
        <f t="shared" si="94"/>
        <v>263.86720460501306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15.575881827495456</v>
      </c>
      <c r="CL117" s="21">
        <f>EXP(-LN(2)/25)*CL116+(1-EXP(-LN(2)/25))/(LN(2)/25)*Calculateur!CG117*Calculateur!CI117*VLOOKUP('Données projet'!$B$12,Paramètres!$A$1:$I$89,3,0)*0.475*44/12</f>
        <v>19.267379733967044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34.843261561462498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213</v>
      </c>
      <c r="CU117" s="17">
        <f>CT117*VLOOKUP('Données projet'!$B$13,Paramètres!$A$1:$I$89,3,0)*VLOOKUP('Données projet'!$B$13,Paramètres!$A$1:$I$89,5,0)</f>
        <v>169.46279999999999</v>
      </c>
      <c r="CV117" s="13">
        <f t="shared" si="95"/>
        <v>42.969686502194378</v>
      </c>
      <c r="CW117" s="20">
        <f t="shared" si="67"/>
        <v>369.9865806579885</v>
      </c>
      <c r="CX117" s="59">
        <f t="shared" si="68"/>
        <v>663.31991399132176</v>
      </c>
      <c r="CY117" s="59">
        <f ca="1">AVERAGE(OFFSET($CX$3,0,0,'Données projet'!$E$13+1,1))-AVERAGE(OFFSET($H$3,0,0,'Données projet'!$E$13+1,1))</f>
        <v>157.25319335691853</v>
      </c>
      <c r="CZ117" s="59">
        <f t="shared" si="96"/>
        <v>159.50903492442171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5.7527614658487209</v>
      </c>
      <c r="DG117" s="21">
        <f>EXP(-LN(2)/25)*DG116+(1-EXP(-LN(2)/25))/(LN(2)/25)*Calculateur!DB117*Calculateur!DD117*VLOOKUP('Données projet'!$B$13,Paramètres!$A$1:$I$89,3,0)*0.475*44/12</f>
        <v>3.4041030209028786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9.1568644867515996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227.99999999999994</v>
      </c>
      <c r="DP117" s="17">
        <f>DO117*VLOOKUP('Données projet'!$B$14,Paramètres!$A$1:$I$89,3,0)*VLOOKUP('Données projet'!$B$14,Paramètres!$A$1:$I$89,5,0)</f>
        <v>199.18079999999998</v>
      </c>
      <c r="DQ117" s="13">
        <f t="shared" si="97"/>
        <v>49.564089376413683</v>
      </c>
      <c r="DR117" s="20">
        <f t="shared" si="70"/>
        <v>433.23068233058711</v>
      </c>
      <c r="DS117" s="59">
        <f t="shared" si="71"/>
        <v>726.56401566392037</v>
      </c>
      <c r="DT117" s="59">
        <f ca="1">AVERAGE(OFFSET($DS$3,0,0,'Données projet'!$E$14+1,1))-AVERAGE(OFFSET($H$3,0,0,'Données projet'!$E$14+1,1))</f>
        <v>229.5312221178919</v>
      </c>
      <c r="DU117" s="59">
        <f t="shared" si="98"/>
        <v>218.1982095871906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14.492269484152565</v>
      </c>
      <c r="EB117" s="21">
        <f>EXP(-LN(2)/25)*EB116+(1-EXP(-LN(2)/25))/(LN(2)/25)*Calculateur!DW117*Calculateur!DY117*VLOOKUP('Données projet'!$B$14,Paramètres!$A$1:$I$89,3,0)*0.475*44/12</f>
        <v>9.8647774104972257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24.357046894649791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5.3066239316239274</v>
      </c>
      <c r="EJ117" s="12">
        <f>IF('Données projet'!$A$192&gt;35,EJ116+EI117-ER116,IF(A117&lt;'Données projet'!$A$192,$EG$205^A117,IF(A117='Données projet'!$A$192,'Données projet'!$B$192,EJ116+EI117-ER116)))</f>
        <v>219.9220085470082</v>
      </c>
      <c r="EK117" s="17">
        <f>EJ117*VLOOKUP('Données projet'!$B$15,Paramètres!$A$1:$I$89,3,0)*VLOOKUP('Données projet'!$B$15,Paramètres!$A$1:$I$89,5,0)</f>
        <v>198.98543333333302</v>
      </c>
      <c r="EL117" s="13">
        <f t="shared" si="99"/>
        <v>49.521130725595967</v>
      </c>
      <c r="EM117" s="20">
        <f t="shared" si="73"/>
        <v>432.8155990693013</v>
      </c>
      <c r="EN117" s="59">
        <f t="shared" si="74"/>
        <v>726.14893240263461</v>
      </c>
      <c r="EO117" s="59">
        <f ca="1">AVERAGE(OFFSET($EN$3,0,0,'Données projet'!$E$15+1,1))-AVERAGE(OFFSET($H$3,0,0,'Données projet'!$E$15+1,1))</f>
        <v>204.39656982394689</v>
      </c>
      <c r="EP117" s="59">
        <f t="shared" si="100"/>
        <v>134.95704640904546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35.001450291670885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35.001450291670885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5.8637820512820555</v>
      </c>
      <c r="FE117" s="12">
        <f>IF('Données projet'!$A$218&gt;35,FE116+FD117-FM116,IF(A117&lt;'Données projet'!$A$218,$FB$205^A117,IF(A117='Données projet'!$A$218,'Données projet'!$B$218,FE116+FD117-FM116)))</f>
        <v>253.453525641026</v>
      </c>
      <c r="FF117" s="17">
        <f>FE117*VLOOKUP('Données projet'!$B$16,Paramètres!$A$1:$I$89,3,0)*VLOOKUP('Données projet'!$B$16,Paramètres!$A$1:$I$89,5,0)</f>
        <v>217.46312500000033</v>
      </c>
      <c r="FG117" s="13">
        <f t="shared" si="101"/>
        <v>53.563136836285722</v>
      </c>
      <c r="FH117" s="20">
        <f t="shared" si="76"/>
        <v>472.03740603153148</v>
      </c>
      <c r="FI117" s="59">
        <f t="shared" si="77"/>
        <v>765.37073936486479</v>
      </c>
      <c r="FJ117" s="59">
        <f ca="1">AVERAGE(OFFSET($FI$3,0,0,'Données projet'!$E$16+1,1))-AVERAGE(OFFSET($H$3,0,0,'Données projet'!$E$16+1,1))</f>
        <v>199.60585215726968</v>
      </c>
      <c r="FK117" s="59">
        <f t="shared" si="102"/>
        <v>137.37366750114404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17.722727550957075</v>
      </c>
      <c r="FR117" s="21">
        <f>EXP(-LN(2)/25)*FR116+(1-EXP(-LN(2)/25))/(LN(2)/25)*Calculateur!FM117*Calculateur!FO117*VLOOKUP('Données projet'!$B$16,Paramètres!$A$1:$I$89,3,0)*0.475*44/12</f>
        <v>19.250187539760912</v>
      </c>
      <c r="FS117" s="21">
        <f>EXP(-LN(2)/2)*FS116+(1-EXP(-LN(2)/2))/(LN(2)/2)*FM117*FP117*VLOOKUP('Données projet'!$B$16,Paramètres!$A$1:$I$89,3,0)*0.475*44/12</f>
        <v>0.4361592152147809</v>
      </c>
      <c r="FT117" s="22">
        <f t="shared" si="78"/>
        <v>37.409074305932769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7.0884615384615346</v>
      </c>
      <c r="N118" s="13">
        <f>IF('Données projet'!$A$36&gt;35,N117+M118-V117,IF(A118&lt;'Données projet'!$A$36,$K$205^A118,IF(A118='Données projet'!$A$36,'Données projet'!$B$36,N117+M118-V117)))</f>
        <v>375.07692307692395</v>
      </c>
      <c r="O118" s="13">
        <f>N118*VLOOKUP('Données projet'!$B$9,Paramètres!$A$1:$I$89,3,0)*VLOOKUP('Données projet'!$B$9,Paramètres!$A$1:$I$89,5,0)</f>
        <v>175.5360000000004</v>
      </c>
      <c r="P118" s="13">
        <f t="shared" si="87"/>
        <v>44.327581520891201</v>
      </c>
      <c r="Q118" s="20">
        <f t="shared" si="107"/>
        <v>382.92907114888618</v>
      </c>
      <c r="R118" s="59">
        <f t="shared" si="55"/>
        <v>676.26240448221949</v>
      </c>
      <c r="S118" s="59">
        <f ca="1">AVERAGE(OFFSET($R$3,0,0,'Données projet'!$E$9+1,1))-AVERAGE(OFFSET($H$3,0,0,'Données projet'!$E$9+1,1))</f>
        <v>164.93438869099657</v>
      </c>
      <c r="T118" s="59">
        <f t="shared" si="88"/>
        <v>112.28641356594233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59.203765693667521</v>
      </c>
      <c r="AA118" s="21">
        <f>EXP(-LN(2)/25)*AA117+(1-EXP(-LN(2)/25))/(LN(2)/25)*Calculateur!V118*Calculateur!X118*VLOOKUP('Données projet'!$B$9,Paramètres!$A$1:$I$89,3,0)*0.475*44/12</f>
        <v>17.161294234018893</v>
      </c>
      <c r="AB118" s="21">
        <f>EXP(-LN(2)/2)*AB117+(1-EXP(-LN(2)/2))/(LN(2)/2)*V118*Y118*VLOOKUP('Données projet'!$B$9,Paramètres!$A$1:$I$89,3,0)*0.475*44/12</f>
        <v>0.71623321012266916</v>
      </c>
      <c r="AC118" s="22">
        <f t="shared" si="57"/>
        <v>77.081293137809084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273.81843612193632</v>
      </c>
      <c r="AO118" s="59">
        <f t="shared" si="90"/>
        <v>241.86405419073208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-6.3550942286383367E-14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271.42245454555501</v>
      </c>
      <c r="BJ118" s="59">
        <f t="shared" si="92"/>
        <v>362.63944425429077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69.074519433627401</v>
      </c>
      <c r="BQ118" s="21">
        <f>EXP(-LN(2)/25)*BQ117+(1-EXP(-LN(2)/25))/(LN(2)/25)*Calculateur!BL118*Calculateur!BN118*VLOOKUP('Données projet'!$B$11,Paramètres!$A$1:$I$89,3,0)*0.475*44/12</f>
        <v>10.914614440336431</v>
      </c>
      <c r="BR118" s="21">
        <f>EXP(-LN(2)/2)*BR117+(1-EXP(-LN(2)/2))/(LN(2)/2)*BL118*BO118*VLOOKUP('Données projet'!$B$11,Paramètres!$A$1:$I$89,3,0)*0.475*44/12</f>
        <v>3.1815193597332084E-8</v>
      </c>
      <c r="BS118" s="22">
        <f t="shared" si="63"/>
        <v>79.989133905779028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-3.1036506698001178E-14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154.35821558431712</v>
      </c>
      <c r="CE118" s="59">
        <f t="shared" si="94"/>
        <v>263.86720460501306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15.270448285208102</v>
      </c>
      <c r="CL118" s="21">
        <f>EXP(-LN(2)/25)*CL117+(1-EXP(-LN(2)/25))/(LN(2)/25)*Calculateur!CG118*Calculateur!CI118*VLOOKUP('Données projet'!$B$12,Paramètres!$A$1:$I$89,3,0)*0.475*44/12</f>
        <v>18.740512221914251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34.010960507122356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213</v>
      </c>
      <c r="CU118" s="17">
        <f>CT118*VLOOKUP('Données projet'!$B$13,Paramètres!$A$1:$I$89,3,0)*VLOOKUP('Données projet'!$B$13,Paramètres!$A$1:$I$89,5,0)</f>
        <v>169.46279999999999</v>
      </c>
      <c r="CV118" s="13">
        <f t="shared" si="95"/>
        <v>42.969686502194378</v>
      </c>
      <c r="CW118" s="20">
        <f t="shared" si="67"/>
        <v>369.9865806579885</v>
      </c>
      <c r="CX118" s="59">
        <f t="shared" si="68"/>
        <v>663.31991399132176</v>
      </c>
      <c r="CY118" s="59">
        <f ca="1">AVERAGE(OFFSET($CX$3,0,0,'Données projet'!$E$13+1,1))-AVERAGE(OFFSET($H$3,0,0,'Données projet'!$E$13+1,1))</f>
        <v>157.25319335691853</v>
      </c>
      <c r="CZ118" s="59">
        <f t="shared" si="96"/>
        <v>159.50903492442171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5.6399533223414524</v>
      </c>
      <c r="DG118" s="21">
        <f>EXP(-LN(2)/25)*DG117+(1-EXP(-LN(2)/25))/(LN(2)/25)*Calculateur!DB118*Calculateur!DD118*VLOOKUP('Données projet'!$B$13,Paramètres!$A$1:$I$89,3,0)*0.475*44/12</f>
        <v>3.3110176447822917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8.9509709671237445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227.99999999999994</v>
      </c>
      <c r="DP118" s="17">
        <f>DO118*VLOOKUP('Données projet'!$B$14,Paramètres!$A$1:$I$89,3,0)*VLOOKUP('Données projet'!$B$14,Paramètres!$A$1:$I$89,5,0)</f>
        <v>199.18079999999998</v>
      </c>
      <c r="DQ118" s="13">
        <f t="shared" si="97"/>
        <v>49.564089376413683</v>
      </c>
      <c r="DR118" s="20">
        <f t="shared" si="70"/>
        <v>433.23068233058711</v>
      </c>
      <c r="DS118" s="59">
        <f t="shared" si="71"/>
        <v>726.56401566392037</v>
      </c>
      <c r="DT118" s="59">
        <f ca="1">AVERAGE(OFFSET($DS$3,0,0,'Données projet'!$E$14+1,1))-AVERAGE(OFFSET($H$3,0,0,'Données projet'!$E$14+1,1))</f>
        <v>229.5312221178919</v>
      </c>
      <c r="DU118" s="59">
        <f t="shared" si="98"/>
        <v>218.1982095871906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14.2080849189799</v>
      </c>
      <c r="EB118" s="21">
        <f>EXP(-LN(2)/25)*EB117+(1-EXP(-LN(2)/25))/(LN(2)/25)*Calculateur!DW118*Calculateur!DY118*VLOOKUP('Données projet'!$B$14,Paramètres!$A$1:$I$89,3,0)*0.475*44/12</f>
        <v>9.5950245534410818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23.803109472420982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5.3066239316239274</v>
      </c>
      <c r="EJ118" s="12">
        <f>IF('Données projet'!$A$192&gt;35,EJ117+EI118-ER117,IF(A118&lt;'Données projet'!$A$192,$EG$205^A118,IF(A118='Données projet'!$A$192,'Données projet'!$B$192,EJ117+EI118-ER117)))</f>
        <v>225.22863247863214</v>
      </c>
      <c r="EK118" s="17">
        <f>EJ118*VLOOKUP('Données projet'!$B$15,Paramètres!$A$1:$I$89,3,0)*VLOOKUP('Données projet'!$B$15,Paramètres!$A$1:$I$89,5,0)</f>
        <v>203.78686666666636</v>
      </c>
      <c r="EL118" s="13">
        <f t="shared" si="99"/>
        <v>50.57549569083951</v>
      </c>
      <c r="EM118" s="20">
        <f t="shared" si="73"/>
        <v>443.01444777265607</v>
      </c>
      <c r="EN118" s="59">
        <f t="shared" si="74"/>
        <v>736.34778110598938</v>
      </c>
      <c r="EO118" s="59">
        <f ca="1">AVERAGE(OFFSET($EN$3,0,0,'Données projet'!$E$15+1,1))-AVERAGE(OFFSET($H$3,0,0,'Données projet'!$E$15+1,1))</f>
        <v>204.39656982394689</v>
      </c>
      <c r="EP118" s="59">
        <f t="shared" si="100"/>
        <v>134.95704640904546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34.315093200227878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34.315093200227878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5.8637820512820555</v>
      </c>
      <c r="FE118" s="12">
        <f>IF('Données projet'!$A$218&gt;35,FE117+FD118-FM117,IF(A118&lt;'Données projet'!$A$218,$FB$205^A118,IF(A118='Données projet'!$A$218,'Données projet'!$B$218,FE117+FD118-FM117)))</f>
        <v>259.31730769230808</v>
      </c>
      <c r="FF118" s="17">
        <f>FE118*VLOOKUP('Données projet'!$B$16,Paramètres!$A$1:$I$89,3,0)*VLOOKUP('Données projet'!$B$16,Paramètres!$A$1:$I$89,5,0)</f>
        <v>222.49425000000036</v>
      </c>
      <c r="FG118" s="13">
        <f t="shared" si="101"/>
        <v>54.656642425557997</v>
      </c>
      <c r="FH118" s="20">
        <f t="shared" si="76"/>
        <v>482.70447097451409</v>
      </c>
      <c r="FI118" s="59">
        <f t="shared" si="77"/>
        <v>776.03780430784741</v>
      </c>
      <c r="FJ118" s="59">
        <f ca="1">AVERAGE(OFFSET($FI$3,0,0,'Données projet'!$E$16+1,1))-AVERAGE(OFFSET($H$3,0,0,'Données projet'!$E$16+1,1))</f>
        <v>199.60585215726968</v>
      </c>
      <c r="FK118" s="59">
        <f t="shared" si="102"/>
        <v>137.37366750114404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17.375195673479233</v>
      </c>
      <c r="FR118" s="21">
        <f>EXP(-LN(2)/25)*FR117+(1-EXP(-LN(2)/25))/(LN(2)/25)*Calculateur!FM118*Calculateur!FO118*VLOOKUP('Données projet'!$B$16,Paramètres!$A$1:$I$89,3,0)*0.475*44/12</f>
        <v>18.723790149162785</v>
      </c>
      <c r="FS118" s="21">
        <f>EXP(-LN(2)/2)*FS117+(1-EXP(-LN(2)/2))/(LN(2)/2)*FM118*FP118*VLOOKUP('Données projet'!$B$16,Paramètres!$A$1:$I$89,3,0)*0.475*44/12</f>
        <v>0.3084111387553744</v>
      </c>
      <c r="FT118" s="22">
        <f t="shared" si="78"/>
        <v>36.407396961397396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7.0884615384615346</v>
      </c>
      <c r="N119" s="13">
        <f>IF('Données projet'!$A$36&gt;35,N118+M119-V118,IF(A119&lt;'Données projet'!$A$36,$K$205^A119,IF(A119='Données projet'!$A$36,'Données projet'!$B$36,N118+M119-V118)))</f>
        <v>382.16538461538551</v>
      </c>
      <c r="O119" s="13">
        <f>N119*VLOOKUP('Données projet'!$B$9,Paramètres!$A$1:$I$89,3,0)*VLOOKUP('Données projet'!$B$9,Paramètres!$A$1:$I$89,5,0)</f>
        <v>178.85340000000042</v>
      </c>
      <c r="P119" s="13">
        <f t="shared" si="87"/>
        <v>45.066993993201848</v>
      </c>
      <c r="Q119" s="20">
        <f t="shared" si="107"/>
        <v>389.99468620482725</v>
      </c>
      <c r="R119" s="59">
        <f t="shared" si="55"/>
        <v>683.32801953816056</v>
      </c>
      <c r="S119" s="59">
        <f ca="1">AVERAGE(OFFSET($R$3,0,0,'Données projet'!$E$9+1,1))-AVERAGE(OFFSET($H$3,0,0,'Données projet'!$E$9+1,1))</f>
        <v>164.93438869099657</v>
      </c>
      <c r="T119" s="59">
        <f t="shared" si="88"/>
        <v>112.28641356594233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58.042815959146132</v>
      </c>
      <c r="AA119" s="21">
        <f>EXP(-LN(2)/25)*AA118+(1-EXP(-LN(2)/25))/(LN(2)/25)*Calculateur!V119*Calculateur!X119*VLOOKUP('Données projet'!$B$9,Paramètres!$A$1:$I$89,3,0)*0.475*44/12</f>
        <v>16.692017740716405</v>
      </c>
      <c r="AB119" s="21">
        <f>EXP(-LN(2)/2)*AB118+(1-EXP(-LN(2)/2))/(LN(2)/2)*V119*Y119*VLOOKUP('Données projet'!$B$9,Paramètres!$A$1:$I$89,3,0)*0.475*44/12</f>
        <v>0.50645335978874872</v>
      </c>
      <c r="AC119" s="22">
        <f t="shared" si="57"/>
        <v>75.241287059651285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273.81843612193632</v>
      </c>
      <c r="AO119" s="59">
        <f t="shared" si="90"/>
        <v>241.86405419073208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-6.3550942286383367E-14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271.42245454555501</v>
      </c>
      <c r="BJ119" s="59">
        <f t="shared" si="92"/>
        <v>362.63944425429077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67.720010238830696</v>
      </c>
      <c r="BQ119" s="21">
        <f>EXP(-LN(2)/25)*BQ118+(1-EXP(-LN(2)/25))/(LN(2)/25)*Calculateur!BL119*Calculateur!BN119*VLOOKUP('Données projet'!$B$11,Paramètres!$A$1:$I$89,3,0)*0.475*44/12</f>
        <v>10.616153734490803</v>
      </c>
      <c r="BR119" s="21">
        <f>EXP(-LN(2)/2)*BR118+(1-EXP(-LN(2)/2))/(LN(2)/2)*BL119*BO119*VLOOKUP('Données projet'!$B$11,Paramètres!$A$1:$I$89,3,0)*0.475*44/12</f>
        <v>2.2496739137436346E-8</v>
      </c>
      <c r="BS119" s="22">
        <f t="shared" si="63"/>
        <v>78.336163995818239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-3.1036506698001178E-14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154.35821558431712</v>
      </c>
      <c r="CE119" s="59">
        <f t="shared" si="94"/>
        <v>263.86720460501306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14.971004108388939</v>
      </c>
      <c r="CL119" s="21">
        <f>EXP(-LN(2)/25)*CL118+(1-EXP(-LN(2)/25))/(LN(2)/25)*Calculateur!CG119*Calculateur!CI119*VLOOKUP('Données projet'!$B$12,Paramètres!$A$1:$I$89,3,0)*0.475*44/12</f>
        <v>18.2280519296853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33.199056038074239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213</v>
      </c>
      <c r="CU119" s="17">
        <f>CT119*VLOOKUP('Données projet'!$B$13,Paramètres!$A$1:$I$89,3,0)*VLOOKUP('Données projet'!$B$13,Paramètres!$A$1:$I$89,5,0)</f>
        <v>169.46279999999999</v>
      </c>
      <c r="CV119" s="13">
        <f t="shared" si="95"/>
        <v>42.969686502194378</v>
      </c>
      <c r="CW119" s="20">
        <f t="shared" si="67"/>
        <v>369.9865806579885</v>
      </c>
      <c r="CX119" s="59">
        <f t="shared" si="68"/>
        <v>663.31991399132176</v>
      </c>
      <c r="CY119" s="59">
        <f ca="1">AVERAGE(OFFSET($CX$3,0,0,'Données projet'!$E$13+1,1))-AVERAGE(OFFSET($H$3,0,0,'Données projet'!$E$13+1,1))</f>
        <v>157.25319335691853</v>
      </c>
      <c r="CZ119" s="59">
        <f t="shared" si="96"/>
        <v>159.50903492442171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5.5293572777221884</v>
      </c>
      <c r="DG119" s="21">
        <f>EXP(-LN(2)/25)*DG118+(1-EXP(-LN(2)/25))/(LN(2)/25)*Calculateur!DB119*Calculateur!DD119*VLOOKUP('Données projet'!$B$13,Paramètres!$A$1:$I$89,3,0)*0.475*44/12</f>
        <v>3.2204776931668695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8.7498349708890579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227.99999999999994</v>
      </c>
      <c r="DP119" s="17">
        <f>DO119*VLOOKUP('Données projet'!$B$14,Paramètres!$A$1:$I$89,3,0)*VLOOKUP('Données projet'!$B$14,Paramètres!$A$1:$I$89,5,0)</f>
        <v>199.18079999999998</v>
      </c>
      <c r="DQ119" s="13">
        <f t="shared" si="97"/>
        <v>49.564089376413683</v>
      </c>
      <c r="DR119" s="20">
        <f t="shared" si="70"/>
        <v>433.23068233058711</v>
      </c>
      <c r="DS119" s="59">
        <f t="shared" si="71"/>
        <v>726.56401566392037</v>
      </c>
      <c r="DT119" s="59">
        <f ca="1">AVERAGE(OFFSET($DS$3,0,0,'Données projet'!$E$14+1,1))-AVERAGE(OFFSET($H$3,0,0,'Données projet'!$E$14+1,1))</f>
        <v>229.5312221178919</v>
      </c>
      <c r="DU119" s="59">
        <f t="shared" si="98"/>
        <v>218.1982095871906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13.9294730397948</v>
      </c>
      <c r="EB119" s="21">
        <f>EXP(-LN(2)/25)*EB118+(1-EXP(-LN(2)/25))/(LN(2)/25)*Calculateur!DW119*Calculateur!DY119*VLOOKUP('Données projet'!$B$14,Paramètres!$A$1:$I$89,3,0)*0.475*44/12</f>
        <v>9.3326481024468233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23.262121142241625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5.3066239316239274</v>
      </c>
      <c r="EJ119" s="12">
        <f>IF('Données projet'!$A$192&gt;35,EJ118+EI119-ER118,IF(A119&lt;'Données projet'!$A$192,$EG$205^A119,IF(A119='Données projet'!$A$192,'Données projet'!$B$192,EJ118+EI119-ER118)))</f>
        <v>230.53525641025607</v>
      </c>
      <c r="EK119" s="17">
        <f>EJ119*VLOOKUP('Données projet'!$B$15,Paramètres!$A$1:$I$89,3,0)*VLOOKUP('Données projet'!$B$15,Paramètres!$A$1:$I$89,5,0)</f>
        <v>208.58829999999969</v>
      </c>
      <c r="EL119" s="13">
        <f t="shared" si="99"/>
        <v>51.626972732243416</v>
      </c>
      <c r="EM119" s="20">
        <f t="shared" si="73"/>
        <v>453.20826667532333</v>
      </c>
      <c r="EN119" s="59">
        <f t="shared" si="74"/>
        <v>746.54160000865659</v>
      </c>
      <c r="EO119" s="59">
        <f ca="1">AVERAGE(OFFSET($EN$3,0,0,'Données projet'!$E$15+1,1))-AVERAGE(OFFSET($H$3,0,0,'Données projet'!$E$15+1,1))</f>
        <v>204.39656982394689</v>
      </c>
      <c r="EP119" s="59">
        <f t="shared" si="100"/>
        <v>134.95704640904546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33.642195152711579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33.642195152711579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5.8637820512820555</v>
      </c>
      <c r="FE119" s="12">
        <f>IF('Données projet'!$A$218&gt;35,FE118+FD119-FM118,IF(A119&lt;'Données projet'!$A$218,$FB$205^A119,IF(A119='Données projet'!$A$218,'Données projet'!$B$218,FE118+FD119-FM118)))</f>
        <v>265.18108974359012</v>
      </c>
      <c r="FF119" s="17">
        <f>FE119*VLOOKUP('Données projet'!$B$16,Paramètres!$A$1:$I$89,3,0)*VLOOKUP('Données projet'!$B$16,Paramètres!$A$1:$I$89,5,0)</f>
        <v>227.52537500000037</v>
      </c>
      <c r="FG119" s="13">
        <f t="shared" si="101"/>
        <v>55.747273344813919</v>
      </c>
      <c r="FH119" s="20">
        <f t="shared" si="76"/>
        <v>493.36652920055161</v>
      </c>
      <c r="FI119" s="59">
        <f t="shared" si="77"/>
        <v>786.69986253388493</v>
      </c>
      <c r="FJ119" s="59">
        <f ca="1">AVERAGE(OFFSET($FI$3,0,0,'Données projet'!$E$16+1,1))-AVERAGE(OFFSET($H$3,0,0,'Données projet'!$E$16+1,1))</f>
        <v>199.60585215726968</v>
      </c>
      <c r="FK119" s="59">
        <f t="shared" si="102"/>
        <v>137.37366750114404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17.034478684145217</v>
      </c>
      <c r="FR119" s="21">
        <f>EXP(-LN(2)/25)*FR118+(1-EXP(-LN(2)/25))/(LN(2)/25)*Calculateur!FM119*Calculateur!FO119*VLOOKUP('Données projet'!$B$16,Paramètres!$A$1:$I$89,3,0)*0.475*44/12</f>
        <v>18.211787122892598</v>
      </c>
      <c r="FS119" s="21">
        <f>EXP(-LN(2)/2)*FS118+(1-EXP(-LN(2)/2))/(LN(2)/2)*FM119*FP119*VLOOKUP('Données projet'!$B$16,Paramètres!$A$1:$I$89,3,0)*0.475*44/12</f>
        <v>0.21807960760739048</v>
      </c>
      <c r="FT119" s="22">
        <f t="shared" si="78"/>
        <v>35.464345414645209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7.0884615384615346</v>
      </c>
      <c r="N120" s="13">
        <f>IF('Données projet'!$A$36&gt;35,N119+M120-V119,IF(A120&lt;'Données projet'!$A$36,$K$205^A120,IF(A120='Données projet'!$A$36,'Données projet'!$B$36,N119+M120-V119)))</f>
        <v>389.25384615384706</v>
      </c>
      <c r="O120" s="13">
        <f>N120*VLOOKUP('Données projet'!$B$9,Paramètres!$A$1:$I$89,3,0)*VLOOKUP('Données projet'!$B$9,Paramètres!$A$1:$I$89,5,0)</f>
        <v>182.17080000000044</v>
      </c>
      <c r="P120" s="13">
        <f t="shared" si="87"/>
        <v>45.804811695795308</v>
      </c>
      <c r="Q120" s="20">
        <f t="shared" si="107"/>
        <v>397.05752370351092</v>
      </c>
      <c r="R120" s="59">
        <f t="shared" si="55"/>
        <v>690.39085703684418</v>
      </c>
      <c r="S120" s="59">
        <f ca="1">AVERAGE(OFFSET($R$3,0,0,'Données projet'!$E$9+1,1))-AVERAGE(OFFSET($H$3,0,0,'Données projet'!$E$9+1,1))</f>
        <v>164.93438869099657</v>
      </c>
      <c r="T120" s="59">
        <f t="shared" si="88"/>
        <v>112.28641356594233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56.904631740809293</v>
      </c>
      <c r="AA120" s="21">
        <f>EXP(-LN(2)/25)*AA119+(1-EXP(-LN(2)/25))/(LN(2)/25)*Calculateur!V120*Calculateur!X120*VLOOKUP('Données projet'!$B$9,Paramètres!$A$1:$I$89,3,0)*0.475*44/12</f>
        <v>16.235573637801451</v>
      </c>
      <c r="AB120" s="21">
        <f>EXP(-LN(2)/2)*AB119+(1-EXP(-LN(2)/2))/(LN(2)/2)*V120*Y120*VLOOKUP('Données projet'!$B$9,Paramètres!$A$1:$I$89,3,0)*0.475*44/12</f>
        <v>0.35811660506133458</v>
      </c>
      <c r="AC120" s="22">
        <f t="shared" si="57"/>
        <v>73.498321983672085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273.81843612193632</v>
      </c>
      <c r="AO120" s="59">
        <f t="shared" si="90"/>
        <v>241.86405419073208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-6.3550942286383367E-14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271.42245454555501</v>
      </c>
      <c r="BJ120" s="59">
        <f t="shared" si="92"/>
        <v>362.63944425429077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66.392062143174925</v>
      </c>
      <c r="BQ120" s="21">
        <f>EXP(-LN(2)/25)*BQ119+(1-EXP(-LN(2)/25))/(LN(2)/25)*Calculateur!BL120*Calculateur!BN120*VLOOKUP('Données projet'!$B$11,Paramètres!$A$1:$I$89,3,0)*0.475*44/12</f>
        <v>10.32585445234189</v>
      </c>
      <c r="BR120" s="21">
        <f>EXP(-LN(2)/2)*BR119+(1-EXP(-LN(2)/2))/(LN(2)/2)*BL120*BO120*VLOOKUP('Données projet'!$B$11,Paramètres!$A$1:$I$89,3,0)*0.475*44/12</f>
        <v>1.5907596798666042E-8</v>
      </c>
      <c r="BS120" s="22">
        <f t="shared" si="63"/>
        <v>76.717916611424414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-3.1036506698001178E-14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154.35821558431712</v>
      </c>
      <c r="CE120" s="59">
        <f t="shared" si="94"/>
        <v>263.86720460501306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14.677431849234287</v>
      </c>
      <c r="CL120" s="21">
        <f>EXP(-LN(2)/25)*CL119+(1-EXP(-LN(2)/25))/(LN(2)/25)*Calculateur!CG120*Calculateur!CI120*VLOOKUP('Données projet'!$B$12,Paramètres!$A$1:$I$89,3,0)*0.475*44/12</f>
        <v>17.729604891096464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32.407036740330753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213</v>
      </c>
      <c r="CU120" s="17">
        <f>CT120*VLOOKUP('Données projet'!$B$13,Paramètres!$A$1:$I$89,3,0)*VLOOKUP('Données projet'!$B$13,Paramètres!$A$1:$I$89,5,0)</f>
        <v>169.46279999999999</v>
      </c>
      <c r="CV120" s="13">
        <f t="shared" si="95"/>
        <v>42.969686502194378</v>
      </c>
      <c r="CW120" s="20">
        <f t="shared" si="67"/>
        <v>369.9865806579885</v>
      </c>
      <c r="CX120" s="59">
        <f t="shared" si="68"/>
        <v>663.31991399132176</v>
      </c>
      <c r="CY120" s="59">
        <f ca="1">AVERAGE(OFFSET($CX$3,0,0,'Données projet'!$E$13+1,1))-AVERAGE(OFFSET($H$3,0,0,'Données projet'!$E$13+1,1))</f>
        <v>157.25319335691853</v>
      </c>
      <c r="CZ120" s="59">
        <f t="shared" si="96"/>
        <v>159.50903492442171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5.4209299540809814</v>
      </c>
      <c r="DG120" s="21">
        <f>EXP(-LN(2)/25)*DG119+(1-EXP(-LN(2)/25))/(LN(2)/25)*Calculateur!DB120*Calculateur!DD120*VLOOKUP('Données projet'!$B$13,Paramètres!$A$1:$I$89,3,0)*0.475*44/12</f>
        <v>3.1324135612896602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8.5533435153706421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227.99999999999994</v>
      </c>
      <c r="DP120" s="17">
        <f>DO120*VLOOKUP('Données projet'!$B$14,Paramètres!$A$1:$I$89,3,0)*VLOOKUP('Données projet'!$B$14,Paramètres!$A$1:$I$89,5,0)</f>
        <v>199.18079999999998</v>
      </c>
      <c r="DQ120" s="13">
        <f t="shared" si="97"/>
        <v>49.564089376413683</v>
      </c>
      <c r="DR120" s="20">
        <f t="shared" si="70"/>
        <v>433.23068233058711</v>
      </c>
      <c r="DS120" s="59">
        <f t="shared" si="71"/>
        <v>726.56401566392037</v>
      </c>
      <c r="DT120" s="59">
        <f ca="1">AVERAGE(OFFSET($DS$3,0,0,'Données projet'!$E$14+1,1))-AVERAGE(OFFSET($H$3,0,0,'Données projet'!$E$14+1,1))</f>
        <v>229.5312221178919</v>
      </c>
      <c r="DU120" s="59">
        <f t="shared" si="98"/>
        <v>218.1982095871906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13.656324569624054</v>
      </c>
      <c r="EB120" s="21">
        <f>EXP(-LN(2)/25)*EB119+(1-EXP(-LN(2)/25))/(LN(2)/25)*Calculateur!DW120*Calculateur!DY120*VLOOKUP('Données projet'!$B$14,Paramètres!$A$1:$I$89,3,0)*0.475*44/12</f>
        <v>9.0774463493027806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22.733770918926837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5.3066239316239274</v>
      </c>
      <c r="EJ120" s="12">
        <f>IF('Données projet'!$A$192&gt;35,EJ119+EI120-ER119,IF(A120&lt;'Données projet'!$A$192,$EG$205^A120,IF(A120='Données projet'!$A$192,'Données projet'!$B$192,EJ119+EI120-ER119)))</f>
        <v>235.84188034188</v>
      </c>
      <c r="EK120" s="17">
        <f>EJ120*VLOOKUP('Données projet'!$B$15,Paramètres!$A$1:$I$89,3,0)*VLOOKUP('Données projet'!$B$15,Paramètres!$A$1:$I$89,5,0)</f>
        <v>213.389733333333</v>
      </c>
      <c r="EL120" s="13">
        <f t="shared" si="99"/>
        <v>52.675635977819994</v>
      </c>
      <c r="EM120" s="20">
        <f t="shared" si="73"/>
        <v>463.39718488359148</v>
      </c>
      <c r="EN120" s="59">
        <f t="shared" si="74"/>
        <v>756.73051821692479</v>
      </c>
      <c r="EO120" s="59">
        <f ca="1">AVERAGE(OFFSET($EN$3,0,0,'Données projet'!$E$15+1,1))-AVERAGE(OFFSET($H$3,0,0,'Données projet'!$E$15+1,1))</f>
        <v>204.39656982394689</v>
      </c>
      <c r="EP120" s="59">
        <f t="shared" si="100"/>
        <v>134.95704640904546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32.982492225479795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32.982492225479795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>
        <f>VLOOKUP(A120,'Données projet'!$A$217:$I$237,2,0)</f>
        <v>271.04487179487182</v>
      </c>
      <c r="FC120" s="12">
        <f>VLOOKUP(A120,'Données projet'!$A$217:$I$237,9,0)</f>
        <v>5.8637820512820555</v>
      </c>
      <c r="FD120" s="12">
        <f t="array" ref="FD120">INDEX(FC:FC,MIN(IF(ISNUMBER(FC120:FC316),ROW(FC120:FC316),"")))</f>
        <v>5.8637820512820555</v>
      </c>
      <c r="FE120" s="12">
        <f>IF('Données projet'!$A$218&gt;35,FE119+FD120-FM119,IF(A120&lt;'Données projet'!$A$218,$FB$205^A120,IF(A120='Données projet'!$A$218,'Données projet'!$B$218,FE119+FD120-FM119)))</f>
        <v>271.04487179487217</v>
      </c>
      <c r="FF120" s="17">
        <f>FE120*VLOOKUP('Données projet'!$B$16,Paramètres!$A$1:$I$89,3,0)*VLOOKUP('Données projet'!$B$16,Paramètres!$A$1:$I$89,5,0)</f>
        <v>232.55650000000034</v>
      </c>
      <c r="FG120" s="13">
        <f t="shared" si="101"/>
        <v>56.835100479293033</v>
      </c>
      <c r="FH120" s="20">
        <f t="shared" si="76"/>
        <v>504.02370416810271</v>
      </c>
      <c r="FI120" s="59">
        <f t="shared" si="77"/>
        <v>797.35703750143603</v>
      </c>
      <c r="FJ120" s="59">
        <f ca="1">AVERAGE(OFFSET($FI$3,0,0,'Données projet'!$E$16+1,1))-AVERAGE(OFFSET($H$3,0,0,'Données projet'!$E$16+1,1))</f>
        <v>199.60585215726968</v>
      </c>
      <c r="FK120" s="59">
        <f t="shared" si="102"/>
        <v>137.37366750114404</v>
      </c>
      <c r="FL120" s="15">
        <f>IF(ISNA(VLOOKUP(A120,'Données projet'!$A$217:$I$237,3,0)),0,VLOOKUP(A120,'Données projet'!$A$217:$I$237,3,0))</f>
        <v>7</v>
      </c>
      <c r="FM120" s="15">
        <f>IF(ISNA(VLOOKUP(A120,'Données projet'!$A$217:$I$237,4,0)),0,VLOOKUP(A120,'Données projet'!$A$217:$I$237,4,0))</f>
        <v>52.628205128205124</v>
      </c>
      <c r="FN120" s="16">
        <f>IF(ISNA(VLOOKUP(A120,'Données projet'!$A$217:$I$237,5,0)),0%,VLOOKUP(A120,'Données projet'!$A$217:$I$237,5,0)*VLOOKUP('Données projet'!$B$16,Paramètres!$A$1:$I$89,7,0))</f>
        <v>0.21200000000000002</v>
      </c>
      <c r="FO120" s="16">
        <f>IF(ISNA(VLOOKUP(A120,'Données projet'!$A$217:$I$237,6,0)),0%,VLOOKUP(A120,'Données projet'!$A$217:$I$237,6,0)*VLOOKUP('Données projet'!$B$16,Paramètres!$A$1:$I$89,7,0))</f>
        <v>0.1855</v>
      </c>
      <c r="FP120" s="16">
        <f>IF(ISNA(VLOOKUP(A120,'Données projet'!$A$217:$I$237,7,0)),0%,VLOOKUP(A120,'Données projet'!$A$217:$I$237,7,0))</f>
        <v>0.2</v>
      </c>
      <c r="FQ120" s="21">
        <f>EXP(-LN(2)/35)*FQ119+(1-EXP(-LN(2)/35))/(LN(2)/35)*FM120*FN120*VLOOKUP('Données projet'!$B$16,Paramètres!$A$1:$I$89,3,0)*0.475*44/12</f>
        <v>27.282956124570998</v>
      </c>
      <c r="FR120" s="21">
        <f>EXP(-LN(2)/25)*FR119+(1-EXP(-LN(2)/25))/(LN(2)/25)*Calculateur!FM120*Calculateur!FO120*VLOOKUP('Données projet'!$B$16,Paramètres!$A$1:$I$89,3,0)*0.475*44/12</f>
        <v>26.937024913235675</v>
      </c>
      <c r="FS120" s="21">
        <f>EXP(-LN(2)/2)*FS119+(1-EXP(-LN(2)/2))/(LN(2)/2)*FM120*FP120*VLOOKUP('Données projet'!$B$16,Paramètres!$A$1:$I$89,3,0)*0.475*44/12</f>
        <v>8.6751971351789479</v>
      </c>
      <c r="FT120" s="22">
        <f t="shared" si="78"/>
        <v>62.895178172985624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7.0884615384615346</v>
      </c>
      <c r="N121" s="13">
        <f>IF('Données projet'!$A$36&gt;35,N120+M121-V120,IF(A121&lt;'Données projet'!$A$36,$K$205^A121,IF(A121='Données projet'!$A$36,'Données projet'!$B$36,N120+M121-V120)))</f>
        <v>396.34230769230862</v>
      </c>
      <c r="O121" s="13">
        <f>N121*VLOOKUP('Données projet'!$B$9,Paramètres!$A$1:$I$89,3,0)*VLOOKUP('Données projet'!$B$9,Paramètres!$A$1:$I$89,5,0)</f>
        <v>185.48820000000043</v>
      </c>
      <c r="P121" s="13">
        <f t="shared" si="87"/>
        <v>46.541067019726086</v>
      </c>
      <c r="Q121" s="20">
        <f t="shared" si="107"/>
        <v>404.11764005935697</v>
      </c>
      <c r="R121" s="59">
        <f t="shared" si="55"/>
        <v>697.45097339269023</v>
      </c>
      <c r="S121" s="59">
        <f ca="1">AVERAGE(OFFSET($R$3,0,0,'Données projet'!$E$9+1,1))-AVERAGE(OFFSET($H$3,0,0,'Données projet'!$E$9+1,1))</f>
        <v>164.93438869099657</v>
      </c>
      <c r="T121" s="59">
        <f t="shared" si="88"/>
        <v>112.28641356594233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55.788766620770218</v>
      </c>
      <c r="AA121" s="21">
        <f>EXP(-LN(2)/25)*AA120+(1-EXP(-LN(2)/25))/(LN(2)/25)*Calculateur!V121*Calculateur!X121*VLOOKUP('Données projet'!$B$9,Paramètres!$A$1:$I$89,3,0)*0.475*44/12</f>
        <v>15.79161102288406</v>
      </c>
      <c r="AB121" s="21">
        <f>EXP(-LN(2)/2)*AB120+(1-EXP(-LN(2)/2))/(LN(2)/2)*V121*Y121*VLOOKUP('Données projet'!$B$9,Paramètres!$A$1:$I$89,3,0)*0.475*44/12</f>
        <v>0.25322667989437436</v>
      </c>
      <c r="AC121" s="22">
        <f t="shared" si="57"/>
        <v>71.833604323548641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273.81843612193632</v>
      </c>
      <c r="AO121" s="59">
        <f t="shared" si="90"/>
        <v>241.86405419073208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-6.3550942286383367E-14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271.42245454555501</v>
      </c>
      <c r="BJ121" s="59">
        <f t="shared" si="92"/>
        <v>362.63944425429077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65.090154299706612</v>
      </c>
      <c r="BQ121" s="21">
        <f>EXP(-LN(2)/25)*BQ120+(1-EXP(-LN(2)/25))/(LN(2)/25)*Calculateur!BL121*Calculateur!BN121*VLOOKUP('Données projet'!$B$11,Paramètres!$A$1:$I$89,3,0)*0.475*44/12</f>
        <v>10.043493419329515</v>
      </c>
      <c r="BR121" s="21">
        <f>EXP(-LN(2)/2)*BR120+(1-EXP(-LN(2)/2))/(LN(2)/2)*BL121*BO121*VLOOKUP('Données projet'!$B$11,Paramètres!$A$1:$I$89,3,0)*0.475*44/12</f>
        <v>1.1248369568718173E-8</v>
      </c>
      <c r="BS121" s="22">
        <f t="shared" si="63"/>
        <v>75.133647730284508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-3.1036506698001178E-14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154.35821558431712</v>
      </c>
      <c r="CE121" s="59">
        <f t="shared" si="94"/>
        <v>263.86720460501306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14.389616363020259</v>
      </c>
      <c r="CL121" s="21">
        <f>EXP(-LN(2)/25)*CL120+(1-EXP(-LN(2)/25))/(LN(2)/25)*Calculateur!CG121*Calculateur!CI121*VLOOKUP('Données projet'!$B$12,Paramètres!$A$1:$I$89,3,0)*0.475*44/12</f>
        <v>17.244787912990031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31.63440427601029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213</v>
      </c>
      <c r="CU121" s="17">
        <f>CT121*VLOOKUP('Données projet'!$B$13,Paramètres!$A$1:$I$89,3,0)*VLOOKUP('Données projet'!$B$13,Paramètres!$A$1:$I$89,5,0)</f>
        <v>169.46279999999999</v>
      </c>
      <c r="CV121" s="13">
        <f t="shared" si="95"/>
        <v>42.969686502194378</v>
      </c>
      <c r="CW121" s="20">
        <f t="shared" si="67"/>
        <v>369.9865806579885</v>
      </c>
      <c r="CX121" s="59">
        <f t="shared" si="68"/>
        <v>663.31991399132176</v>
      </c>
      <c r="CY121" s="59">
        <f ca="1">AVERAGE(OFFSET($CX$3,0,0,'Données projet'!$E$13+1,1))-AVERAGE(OFFSET($H$3,0,0,'Données projet'!$E$13+1,1))</f>
        <v>157.25319335691853</v>
      </c>
      <c r="CZ121" s="59">
        <f t="shared" si="96"/>
        <v>159.50903492442171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5.3146288241222415</v>
      </c>
      <c r="DG121" s="21">
        <f>EXP(-LN(2)/25)*DG120+(1-EXP(-LN(2)/25))/(LN(2)/25)*Calculateur!DB121*Calculateur!DD121*VLOOKUP('Données projet'!$B$13,Paramètres!$A$1:$I$89,3,0)*0.475*44/12</f>
        <v>3.0467575477297246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8.3613863718519656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227.99999999999994</v>
      </c>
      <c r="DP121" s="17">
        <f>DO121*VLOOKUP('Données projet'!$B$14,Paramètres!$A$1:$I$89,3,0)*VLOOKUP('Données projet'!$B$14,Paramètres!$A$1:$I$89,5,0)</f>
        <v>199.18079999999998</v>
      </c>
      <c r="DQ121" s="13">
        <f t="shared" si="97"/>
        <v>49.564089376413683</v>
      </c>
      <c r="DR121" s="20">
        <f t="shared" si="70"/>
        <v>433.23068233058711</v>
      </c>
      <c r="DS121" s="59">
        <f t="shared" si="71"/>
        <v>726.56401566392037</v>
      </c>
      <c r="DT121" s="59">
        <f ca="1">AVERAGE(OFFSET($DS$3,0,0,'Données projet'!$E$14+1,1))-AVERAGE(OFFSET($H$3,0,0,'Données projet'!$E$14+1,1))</f>
        <v>229.5312221178919</v>
      </c>
      <c r="DU121" s="59">
        <f t="shared" si="98"/>
        <v>218.1982095871906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13.388532374349241</v>
      </c>
      <c r="EB121" s="21">
        <f>EXP(-LN(2)/25)*EB120+(1-EXP(-LN(2)/25))/(LN(2)/25)*Calculateur!DW121*Calculateur!DY121*VLOOKUP('Données projet'!$B$14,Paramètres!$A$1:$I$89,3,0)*0.475*44/12</f>
        <v>8.8292231015189397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22.217755475868181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5.3066239316239274</v>
      </c>
      <c r="EJ121" s="12">
        <f>IF('Données projet'!$A$192&gt;35,EJ120+EI121-ER120,IF(A121&lt;'Données projet'!$A$192,$EG$205^A121,IF(A121='Données projet'!$A$192,'Données projet'!$B$192,EJ120+EI121-ER120)))</f>
        <v>241.14850427350393</v>
      </c>
      <c r="EK121" s="17">
        <f>EJ121*VLOOKUP('Données projet'!$B$15,Paramètres!$A$1:$I$89,3,0)*VLOOKUP('Données projet'!$B$15,Paramètres!$A$1:$I$89,5,0)</f>
        <v>218.19116666666633</v>
      </c>
      <c r="EL121" s="13">
        <f t="shared" si="99"/>
        <v>53.721556029282723</v>
      </c>
      <c r="EM121" s="20">
        <f t="shared" si="73"/>
        <v>473.58132536211127</v>
      </c>
      <c r="EN121" s="59">
        <f t="shared" si="74"/>
        <v>766.91465869544459</v>
      </c>
      <c r="EO121" s="59">
        <f ca="1">AVERAGE(OFFSET($EN$3,0,0,'Données projet'!$E$15+1,1))-AVERAGE(OFFSET($H$3,0,0,'Données projet'!$E$15+1,1))</f>
        <v>204.39656982394689</v>
      </c>
      <c r="EP121" s="59">
        <f t="shared" si="100"/>
        <v>134.95704640904546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32.33572567027197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32.33572567027197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5.3167735042735034</v>
      </c>
      <c r="FE121" s="12">
        <f>IF('Données projet'!$A$218&gt;35,FE120+FD121-FM120,IF(A121&lt;'Données projet'!$A$218,$FB$205^A121,IF(A121='Données projet'!$A$218,'Données projet'!$B$218,FE120+FD121-FM120)))</f>
        <v>223.73344017094053</v>
      </c>
      <c r="FF121" s="17">
        <f>FE121*VLOOKUP('Données projet'!$B$16,Paramètres!$A$1:$I$89,3,0)*VLOOKUP('Données projet'!$B$16,Paramètres!$A$1:$I$89,5,0)</f>
        <v>191.963291666667</v>
      </c>
      <c r="FG121" s="13">
        <f t="shared" si="101"/>
        <v>47.973748726114046</v>
      </c>
      <c r="FH121" s="20">
        <f t="shared" si="76"/>
        <v>417.89034535076036</v>
      </c>
      <c r="FI121" s="59">
        <f t="shared" si="77"/>
        <v>711.22367868409367</v>
      </c>
      <c r="FJ121" s="59">
        <f ca="1">AVERAGE(OFFSET($FI$3,0,0,'Données projet'!$E$16+1,1))-AVERAGE(OFFSET($H$3,0,0,'Données projet'!$E$16+1,1))</f>
        <v>199.60585215726968</v>
      </c>
      <c r="FK121" s="59">
        <f t="shared" si="102"/>
        <v>137.37366750114404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26.747953995928238</v>
      </c>
      <c r="FR121" s="21">
        <f>EXP(-LN(2)/25)*FR120+(1-EXP(-LN(2)/25))/(LN(2)/25)*Calculateur!FM121*Calculateur!FO121*VLOOKUP('Données projet'!$B$16,Paramètres!$A$1:$I$89,3,0)*0.475*44/12</f>
        <v>26.20043055042667</v>
      </c>
      <c r="FS121" s="21">
        <f>EXP(-LN(2)/2)*FS120+(1-EXP(-LN(2)/2))/(LN(2)/2)*FM121*FP121*VLOOKUP('Données projet'!$B$16,Paramètres!$A$1:$I$89,3,0)*0.475*44/12</f>
        <v>6.1342907224151446</v>
      </c>
      <c r="FT121" s="22">
        <f t="shared" si="78"/>
        <v>59.082675268770053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7.0884615384615346</v>
      </c>
      <c r="N122" s="13">
        <f>IF('Données projet'!$A$36&gt;35,N121+M122-V121,IF(A122&lt;'Données projet'!$A$36,$K$205^A122,IF(A122='Données projet'!$A$36,'Données projet'!$B$36,N121+M122-V121)))</f>
        <v>403.43076923077018</v>
      </c>
      <c r="O122" s="13">
        <f>N122*VLOOKUP('Données projet'!$B$9,Paramètres!$A$1:$I$89,3,0)*VLOOKUP('Données projet'!$B$9,Paramètres!$A$1:$I$89,5,0)</f>
        <v>188.80560000000045</v>
      </c>
      <c r="P122" s="13">
        <f t="shared" si="87"/>
        <v>47.275791131089136</v>
      </c>
      <c r="Q122" s="20">
        <f t="shared" si="107"/>
        <v>411.17508955331436</v>
      </c>
      <c r="R122" s="59">
        <f t="shared" si="55"/>
        <v>704.50842288664762</v>
      </c>
      <c r="S122" s="59">
        <f ca="1">AVERAGE(OFFSET($R$3,0,0,'Données projet'!$E$9+1,1))-AVERAGE(OFFSET($H$3,0,0,'Données projet'!$E$9+1,1))</f>
        <v>164.93438869099657</v>
      </c>
      <c r="T122" s="59">
        <f t="shared" si="88"/>
        <v>112.28641356594233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54.694782935124586</v>
      </c>
      <c r="AA122" s="21">
        <f>EXP(-LN(2)/25)*AA121+(1-EXP(-LN(2)/25))/(LN(2)/25)*Calculateur!V122*Calculateur!X122*VLOOKUP('Données projet'!$B$9,Paramètres!$A$1:$I$89,3,0)*0.475*44/12</f>
        <v>15.359788589018564</v>
      </c>
      <c r="AB122" s="21">
        <f>EXP(-LN(2)/2)*AB121+(1-EXP(-LN(2)/2))/(LN(2)/2)*V122*Y122*VLOOKUP('Données projet'!$B$9,Paramètres!$A$1:$I$89,3,0)*0.475*44/12</f>
        <v>0.17905830253066729</v>
      </c>
      <c r="AC122" s="22">
        <f t="shared" si="57"/>
        <v>70.233629826673805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273.81843612193632</v>
      </c>
      <c r="AO122" s="59">
        <f t="shared" si="90"/>
        <v>241.86405419073208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-6.3550942286383367E-14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271.42245454555501</v>
      </c>
      <c r="BJ122" s="59">
        <f t="shared" si="92"/>
        <v>362.63944425429077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63.813776074963336</v>
      </c>
      <c r="BQ122" s="21">
        <f>EXP(-LN(2)/25)*BQ121+(1-EXP(-LN(2)/25))/(LN(2)/25)*Calculateur!BL122*Calculateur!BN122*VLOOKUP('Données projet'!$B$11,Paramètres!$A$1:$I$89,3,0)*0.475*44/12</f>
        <v>9.7688535636135843</v>
      </c>
      <c r="BR122" s="21">
        <f>EXP(-LN(2)/2)*BR121+(1-EXP(-LN(2)/2))/(LN(2)/2)*BL122*BO122*VLOOKUP('Données projet'!$B$11,Paramètres!$A$1:$I$89,3,0)*0.475*44/12</f>
        <v>7.953798399333021E-9</v>
      </c>
      <c r="BS122" s="22">
        <f t="shared" si="63"/>
        <v>73.582629646530719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-3.1036506698001178E-14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154.35821558431712</v>
      </c>
      <c r="CE122" s="59">
        <f t="shared" si="94"/>
        <v>263.86720460501306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14.107444762940776</v>
      </c>
      <c r="CL122" s="21">
        <f>EXP(-LN(2)/25)*CL121+(1-EXP(-LN(2)/25))/(LN(2)/25)*Calculateur!CG122*Calculateur!CI122*VLOOKUP('Données projet'!$B$12,Paramètres!$A$1:$I$89,3,0)*0.475*44/12</f>
        <v>16.773228280645334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30.880673043586111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213</v>
      </c>
      <c r="CU122" s="17">
        <f>CT122*VLOOKUP('Données projet'!$B$13,Paramètres!$A$1:$I$89,3,0)*VLOOKUP('Données projet'!$B$13,Paramètres!$A$1:$I$89,5,0)</f>
        <v>169.46279999999999</v>
      </c>
      <c r="CV122" s="13">
        <f t="shared" si="95"/>
        <v>42.969686502194378</v>
      </c>
      <c r="CW122" s="20">
        <f t="shared" si="67"/>
        <v>369.9865806579885</v>
      </c>
      <c r="CX122" s="59">
        <f t="shared" si="68"/>
        <v>663.31991399132176</v>
      </c>
      <c r="CY122" s="59">
        <f ca="1">AVERAGE(OFFSET($CX$3,0,0,'Données projet'!$E$13+1,1))-AVERAGE(OFFSET($H$3,0,0,'Données projet'!$E$13+1,1))</f>
        <v>157.25319335691853</v>
      </c>
      <c r="CZ122" s="59">
        <f t="shared" si="96"/>
        <v>159.50903492442171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5.2104121944847055</v>
      </c>
      <c r="DG122" s="21">
        <f>EXP(-LN(2)/25)*DG121+(1-EXP(-LN(2)/25))/(LN(2)/25)*Calculateur!DB122*Calculateur!DD122*VLOOKUP('Données projet'!$B$13,Paramètres!$A$1:$I$89,3,0)*0.475*44/12</f>
        <v>2.9634438023650391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8.1738559968497455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227.99999999999994</v>
      </c>
      <c r="DP122" s="17">
        <f>DO122*VLOOKUP('Données projet'!$B$14,Paramètres!$A$1:$I$89,3,0)*VLOOKUP('Données projet'!$B$14,Paramètres!$A$1:$I$89,5,0)</f>
        <v>199.18079999999998</v>
      </c>
      <c r="DQ122" s="13">
        <f t="shared" si="97"/>
        <v>49.564089376413683</v>
      </c>
      <c r="DR122" s="20">
        <f t="shared" si="70"/>
        <v>433.23068233058711</v>
      </c>
      <c r="DS122" s="59">
        <f t="shared" si="71"/>
        <v>726.56401566392037</v>
      </c>
      <c r="DT122" s="59">
        <f ca="1">AVERAGE(OFFSET($DS$3,0,0,'Données projet'!$E$14+1,1))-AVERAGE(OFFSET($H$3,0,0,'Données projet'!$E$14+1,1))</f>
        <v>229.5312221178919</v>
      </c>
      <c r="DU122" s="59">
        <f t="shared" si="98"/>
        <v>218.1982095871906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13.125991420686656</v>
      </c>
      <c r="EB122" s="21">
        <f>EXP(-LN(2)/25)*EB121+(1-EXP(-LN(2)/25))/(LN(2)/25)*Calculateur!DW122*Calculateur!DY122*VLOOKUP('Données projet'!$B$14,Paramètres!$A$1:$I$89,3,0)*0.475*44/12</f>
        <v>8.5877875314992416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21.713778952185898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5.3066239316239274</v>
      </c>
      <c r="EJ122" s="12">
        <f>IF('Données projet'!$A$192&gt;35,EJ121+EI122-ER121,IF(A122&lt;'Données projet'!$A$192,$EG$205^A122,IF(A122='Données projet'!$A$192,'Données projet'!$B$192,EJ121+EI122-ER121)))</f>
        <v>246.45512820512786</v>
      </c>
      <c r="EK122" s="17">
        <f>EJ122*VLOOKUP('Données projet'!$B$15,Paramètres!$A$1:$I$89,3,0)*VLOOKUP('Données projet'!$B$15,Paramètres!$A$1:$I$89,5,0)</f>
        <v>222.99259999999967</v>
      </c>
      <c r="EL122" s="13">
        <f t="shared" si="99"/>
        <v>54.764800203643112</v>
      </c>
      <c r="EM122" s="20">
        <f t="shared" si="73"/>
        <v>483.76080535467781</v>
      </c>
      <c r="EN122" s="59">
        <f t="shared" si="74"/>
        <v>777.09413868801107</v>
      </c>
      <c r="EO122" s="59">
        <f ca="1">AVERAGE(OFFSET($EN$3,0,0,'Données projet'!$E$15+1,1))-AVERAGE(OFFSET($H$3,0,0,'Données projet'!$E$15+1,1))</f>
        <v>204.39656982394689</v>
      </c>
      <c r="EP122" s="59">
        <f t="shared" si="100"/>
        <v>134.95704640904546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31.701641812723125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31.701641812723125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5.3167735042735034</v>
      </c>
      <c r="FE122" s="12">
        <f>IF('Données projet'!$A$218&gt;35,FE121+FD122-FM121,IF(A122&lt;'Données projet'!$A$218,$FB$205^A122,IF(A122='Données projet'!$A$218,'Données projet'!$B$218,FE121+FD122-FM121)))</f>
        <v>229.05021367521402</v>
      </c>
      <c r="FF122" s="17">
        <f>FE122*VLOOKUP('Données projet'!$B$16,Paramètres!$A$1:$I$89,3,0)*VLOOKUP('Données projet'!$B$16,Paramètres!$A$1:$I$89,5,0)</f>
        <v>196.52508333333364</v>
      </c>
      <c r="FG122" s="13">
        <f t="shared" si="101"/>
        <v>48.979708942586107</v>
      </c>
      <c r="FH122" s="20">
        <f t="shared" si="76"/>
        <v>427.58751321389354</v>
      </c>
      <c r="FI122" s="59">
        <f t="shared" si="77"/>
        <v>720.9208465472268</v>
      </c>
      <c r="FJ122" s="59">
        <f ca="1">AVERAGE(OFFSET($FI$3,0,0,'Données projet'!$E$16+1,1))-AVERAGE(OFFSET($H$3,0,0,'Données projet'!$E$16+1,1))</f>
        <v>199.60585215726968</v>
      </c>
      <c r="FK122" s="59">
        <f t="shared" si="102"/>
        <v>137.37366750114404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26.223442932709087</v>
      </c>
      <c r="FR122" s="21">
        <f>EXP(-LN(2)/25)*FR121+(1-EXP(-LN(2)/25))/(LN(2)/25)*Calculateur!FM122*Calculateur!FO122*VLOOKUP('Données projet'!$B$16,Paramètres!$A$1:$I$89,3,0)*0.475*44/12</f>
        <v>25.483978399204492</v>
      </c>
      <c r="FS122" s="21">
        <f>EXP(-LN(2)/2)*FS121+(1-EXP(-LN(2)/2))/(LN(2)/2)*FM122*FP122*VLOOKUP('Données projet'!$B$16,Paramètres!$A$1:$I$89,3,0)*0.475*44/12</f>
        <v>4.3375985675894748</v>
      </c>
      <c r="FT122" s="22">
        <f t="shared" si="78"/>
        <v>56.045019899503053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7.0884615384615346</v>
      </c>
      <c r="N123" s="13">
        <f>IF('Données projet'!$A$36&gt;35,N122+M123-V122,IF(A123&lt;'Données projet'!$A$36,$K$205^A123,IF(A123='Données projet'!$A$36,'Données projet'!$B$36,N122+M123-V122)))</f>
        <v>410.51923076923174</v>
      </c>
      <c r="O123" s="13">
        <f>N123*VLOOKUP('Données projet'!$B$9,Paramètres!$A$1:$I$89,3,0)*VLOOKUP('Données projet'!$B$9,Paramètres!$A$1:$I$89,5,0)</f>
        <v>192.12300000000045</v>
      </c>
      <c r="P123" s="13">
        <f t="shared" si="87"/>
        <v>48.009014038039808</v>
      </c>
      <c r="Q123" s="20">
        <f t="shared" si="107"/>
        <v>418.2299244495868</v>
      </c>
      <c r="R123" s="59">
        <f t="shared" si="55"/>
        <v>711.56325778292012</v>
      </c>
      <c r="S123" s="59">
        <f ca="1">AVERAGE(OFFSET($R$3,0,0,'Données projet'!$E$9+1,1))-AVERAGE(OFFSET($H$3,0,0,'Données projet'!$E$9+1,1))</f>
        <v>164.93438869099657</v>
      </c>
      <c r="T123" s="59">
        <f t="shared" si="88"/>
        <v>112.28641356594233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53.622251602290305</v>
      </c>
      <c r="AA123" s="21">
        <f>EXP(-LN(2)/25)*AA122+(1-EXP(-LN(2)/25))/(LN(2)/25)*Calculateur!V123*Calculateur!X123*VLOOKUP('Données projet'!$B$9,Paramètres!$A$1:$I$89,3,0)*0.475*44/12</f>
        <v>14.939774362315674</v>
      </c>
      <c r="AB123" s="21">
        <f>EXP(-LN(2)/2)*AB122+(1-EXP(-LN(2)/2))/(LN(2)/2)*V123*Y123*VLOOKUP('Données projet'!$B$9,Paramètres!$A$1:$I$89,3,0)*0.475*44/12</f>
        <v>0.12661333994718718</v>
      </c>
      <c r="AC123" s="22">
        <f t="shared" si="57"/>
        <v>68.688639304553163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273.81843612193632</v>
      </c>
      <c r="AO123" s="59">
        <f t="shared" si="90"/>
        <v>241.86405419073208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-6.3550942286383367E-14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271.42245454555501</v>
      </c>
      <c r="BJ123" s="59">
        <f t="shared" si="92"/>
        <v>362.63944425429077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62.562426848693427</v>
      </c>
      <c r="BQ123" s="21">
        <f>EXP(-LN(2)/25)*BQ122+(1-EXP(-LN(2)/25))/(LN(2)/25)*Calculateur!BL123*Calculateur!BN123*VLOOKUP('Données projet'!$B$11,Paramètres!$A$1:$I$89,3,0)*0.475*44/12</f>
        <v>9.5017237491948894</v>
      </c>
      <c r="BR123" s="21">
        <f>EXP(-LN(2)/2)*BR122+(1-EXP(-LN(2)/2))/(LN(2)/2)*BL123*BO123*VLOOKUP('Données projet'!$B$11,Paramètres!$A$1:$I$89,3,0)*0.475*44/12</f>
        <v>5.6241847843590864E-9</v>
      </c>
      <c r="BS123" s="22">
        <f t="shared" si="63"/>
        <v>72.064150603512502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-3.1036506698001178E-14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154.35821558431712</v>
      </c>
      <c r="CE123" s="59">
        <f t="shared" si="94"/>
        <v>263.86720460501306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13.83080637583117</v>
      </c>
      <c r="CL123" s="21">
        <f>EXP(-LN(2)/25)*CL122+(1-EXP(-LN(2)/25))/(LN(2)/25)*Calculateur!CG123*Calculateur!CI123*VLOOKUP('Données projet'!$B$12,Paramètres!$A$1:$I$89,3,0)*0.475*44/12</f>
        <v>16.314563471245346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30.145369847076516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213</v>
      </c>
      <c r="CU123" s="17">
        <f>CT123*VLOOKUP('Données projet'!$B$13,Paramètres!$A$1:$I$89,3,0)*VLOOKUP('Données projet'!$B$13,Paramètres!$A$1:$I$89,5,0)</f>
        <v>169.46279999999999</v>
      </c>
      <c r="CV123" s="13">
        <f t="shared" si="95"/>
        <v>42.969686502194378</v>
      </c>
      <c r="CW123" s="20">
        <f t="shared" si="67"/>
        <v>369.9865806579885</v>
      </c>
      <c r="CX123" s="59">
        <f t="shared" si="68"/>
        <v>663.31991399132176</v>
      </c>
      <c r="CY123" s="59">
        <f ca="1">AVERAGE(OFFSET($CX$3,0,0,'Données projet'!$E$13+1,1))-AVERAGE(OFFSET($H$3,0,0,'Données projet'!$E$13+1,1))</f>
        <v>157.25319335691853</v>
      </c>
      <c r="CZ123" s="59">
        <f t="shared" si="96"/>
        <v>159.50903492442171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5.1082391893884935</v>
      </c>
      <c r="DG123" s="21">
        <f>EXP(-LN(2)/25)*DG122+(1-EXP(-LN(2)/25))/(LN(2)/25)*Calculateur!DB123*Calculateur!DD123*VLOOKUP('Données projet'!$B$13,Paramètres!$A$1:$I$89,3,0)*0.475*44/12</f>
        <v>2.8824082757486305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7.9906474651371244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227.99999999999994</v>
      </c>
      <c r="DP123" s="17">
        <f>DO123*VLOOKUP('Données projet'!$B$14,Paramètres!$A$1:$I$89,3,0)*VLOOKUP('Données projet'!$B$14,Paramètres!$A$1:$I$89,5,0)</f>
        <v>199.18079999999998</v>
      </c>
      <c r="DQ123" s="13">
        <f t="shared" si="97"/>
        <v>49.564089376413683</v>
      </c>
      <c r="DR123" s="20">
        <f t="shared" si="70"/>
        <v>433.23068233058711</v>
      </c>
      <c r="DS123" s="59">
        <f t="shared" si="71"/>
        <v>726.56401566392037</v>
      </c>
      <c r="DT123" s="59">
        <f ca="1">AVERAGE(OFFSET($DS$3,0,0,'Données projet'!$E$14+1,1))-AVERAGE(OFFSET($H$3,0,0,'Données projet'!$E$14+1,1))</f>
        <v>229.5312221178919</v>
      </c>
      <c r="DU123" s="59">
        <f t="shared" si="98"/>
        <v>218.1982095871906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12.868598734991224</v>
      </c>
      <c r="EB123" s="21">
        <f>EXP(-LN(2)/25)*EB122+(1-EXP(-LN(2)/25))/(LN(2)/25)*Calculateur!DW123*Calculateur!DY123*VLOOKUP('Données projet'!$B$14,Paramètres!$A$1:$I$89,3,0)*0.475*44/12</f>
        <v>8.3529540298382763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21.2215527648295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5.3066239316239274</v>
      </c>
      <c r="EJ123" s="12">
        <f>IF('Données projet'!$A$192&gt;35,EJ122+EI123-ER122,IF(A123&lt;'Données projet'!$A$192,$EG$205^A123,IF(A123='Données projet'!$A$192,'Données projet'!$B$192,EJ122+EI123-ER122)))</f>
        <v>251.7617521367518</v>
      </c>
      <c r="EK123" s="17">
        <f>EJ123*VLOOKUP('Données projet'!$B$15,Paramètres!$A$1:$I$89,3,0)*VLOOKUP('Données projet'!$B$15,Paramètres!$A$1:$I$89,5,0)</f>
        <v>227.794033333333</v>
      </c>
      <c r="EL123" s="13">
        <f t="shared" si="99"/>
        <v>55.805432753411694</v>
      </c>
      <c r="EM123" s="20">
        <f t="shared" si="73"/>
        <v>493.93573676774707</v>
      </c>
      <c r="EN123" s="59">
        <f t="shared" si="74"/>
        <v>787.26907010108039</v>
      </c>
      <c r="EO123" s="59">
        <f ca="1">AVERAGE(OFFSET($EN$3,0,0,'Données projet'!$E$15+1,1))-AVERAGE(OFFSET($H$3,0,0,'Données projet'!$E$15+1,1))</f>
        <v>204.39656982394689</v>
      </c>
      <c r="EP123" s="59">
        <f t="shared" si="100"/>
        <v>134.95704640904546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31.07999195286785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31.07999195286785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5.3167735042735034</v>
      </c>
      <c r="FE123" s="12">
        <f>IF('Données projet'!$A$218&gt;35,FE122+FD123-FM122,IF(A123&lt;'Données projet'!$A$218,$FB$205^A123,IF(A123='Données projet'!$A$218,'Données projet'!$B$218,FE122+FD123-FM122)))</f>
        <v>234.36698717948752</v>
      </c>
      <c r="FF123" s="17">
        <f>FE123*VLOOKUP('Données projet'!$B$16,Paramètres!$A$1:$I$89,3,0)*VLOOKUP('Données projet'!$B$16,Paramètres!$A$1:$I$89,5,0)</f>
        <v>201.08687500000033</v>
      </c>
      <c r="FG123" s="13">
        <f t="shared" si="101"/>
        <v>49.982954558797154</v>
      </c>
      <c r="FH123" s="20">
        <f t="shared" si="76"/>
        <v>437.27995314823897</v>
      </c>
      <c r="FI123" s="59">
        <f t="shared" si="77"/>
        <v>730.61328648157223</v>
      </c>
      <c r="FJ123" s="59">
        <f ca="1">AVERAGE(OFFSET($FI$3,0,0,'Données projet'!$E$16+1,1))-AVERAGE(OFFSET($H$3,0,0,'Données projet'!$E$16+1,1))</f>
        <v>199.60585215726968</v>
      </c>
      <c r="FK123" s="59">
        <f t="shared" si="102"/>
        <v>137.37366750114404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25.709217211519505</v>
      </c>
      <c r="FR123" s="21">
        <f>EXP(-LN(2)/25)*FR122+(1-EXP(-LN(2)/25))/(LN(2)/25)*Calculateur!FM123*Calculateur!FO123*VLOOKUP('Données projet'!$B$16,Paramètres!$A$1:$I$89,3,0)*0.475*44/12</f>
        <v>24.787117669734066</v>
      </c>
      <c r="FS123" s="21">
        <f>EXP(-LN(2)/2)*FS122+(1-EXP(-LN(2)/2))/(LN(2)/2)*FM123*FP123*VLOOKUP('Données projet'!$B$16,Paramètres!$A$1:$I$89,3,0)*0.475*44/12</f>
        <v>3.0671453612075728</v>
      </c>
      <c r="FT123" s="22">
        <f t="shared" si="78"/>
        <v>53.563480242461146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>
        <f>VLOOKUP(A124,'Données projet'!$A$35:$I$55,2,0)</f>
        <v>417.60769230769228</v>
      </c>
      <c r="L124" s="12">
        <f>VLOOKUP(A124,'Données projet'!$A$35:$I$55,9,0)</f>
        <v>7.0884615384615346</v>
      </c>
      <c r="M124" s="12">
        <f t="array" ref="M124">INDEX(L:L,MIN(IF(ISNUMBER(L124:L320),ROW(L124:L320),"")))</f>
        <v>7.0884615384615346</v>
      </c>
      <c r="N124" s="13">
        <f>IF('Données projet'!$A$36&gt;35,N123+M124-V123,IF(A124&lt;'Données projet'!$A$36,$K$205^A124,IF(A124='Données projet'!$A$36,'Données projet'!$B$36,N123+M124-V123)))</f>
        <v>417.6076923076933</v>
      </c>
      <c r="O124" s="13">
        <f>N124*VLOOKUP('Données projet'!$B$9,Paramètres!$A$1:$I$89,3,0)*VLOOKUP('Données projet'!$B$9,Paramètres!$A$1:$I$89,5,0)</f>
        <v>195.44040000000044</v>
      </c>
      <c r="P124" s="13">
        <f t="shared" si="87"/>
        <v>48.740764653053404</v>
      </c>
      <c r="Q124" s="20">
        <f t="shared" si="107"/>
        <v>425.28219510406871</v>
      </c>
      <c r="R124" s="59">
        <f t="shared" si="55"/>
        <v>718.61552843740196</v>
      </c>
      <c r="S124" s="59">
        <f ca="1">AVERAGE(OFFSET($R$3,0,0,'Données projet'!$E$9+1,1))-AVERAGE(OFFSET($H$3,0,0,'Données projet'!$E$9+1,1))</f>
        <v>164.93438869099657</v>
      </c>
      <c r="T124" s="59">
        <f t="shared" si="88"/>
        <v>112.28641356594233</v>
      </c>
      <c r="U124" s="15">
        <f>IF(ISNA(VLOOKUP(A124,'Données projet'!$A$35:$I$55,3,0)),0,VLOOKUP(A124,'Données projet'!$A$35:$I$55,3,0))</f>
        <v>7</v>
      </c>
      <c r="V124" s="15">
        <f>IF(ISNA(VLOOKUP(A124,'Données projet'!$A$35:$I$55,4,0)),0,VLOOKUP(A124,'Données projet'!$A$35:$I$55,4,0))</f>
        <v>207.07692307692307</v>
      </c>
      <c r="W124" s="16">
        <f>IF(ISNA(VLOOKUP(A124,'Données projet'!$A$35:$I$55,5,0)),0%,VLOOKUP(A124,'Données projet'!$A$35:$I$55,5,0)*VLOOKUP('Données projet'!$B$9,Paramètres!$A$1:$I$89,7,0))</f>
        <v>0.38500000000000001</v>
      </c>
      <c r="X124" s="16">
        <f>IF(ISNA(VLOOKUP(A124,'Données projet'!$A$35:$I$55,6,0)),0%,VLOOKUP(A124,'Données projet'!$A$35:$I$55,6,0)*VLOOKUP('Données projet'!$B$9,Paramètres!$A$1:$I$89,7,0))</f>
        <v>9.240000000000001E-2</v>
      </c>
      <c r="Y124" s="16">
        <f>IF(ISNA(VLOOKUP(A124,'Données projet'!$A$35:$I$55,7,0)),0%,VLOOKUP(A124,'Données projet'!$A$35:$I$55,7,0))</f>
        <v>0.13200000000000001</v>
      </c>
      <c r="Z124" s="21">
        <f>EXP(-LN(2)/35)*Z123+(1-EXP(-LN(2)/35))/(LN(2)/35)*V124*W124*VLOOKUP('Données projet'!$B$9,Paramètres!$A$1:$I$89,3,0)*0.475*44/12</f>
        <v>102.06635753935271</v>
      </c>
      <c r="AA124" s="21">
        <f>EXP(-LN(2)/25)*AA123+(1-EXP(-LN(2)/25))/(LN(2)/25)*Calculateur!V124*Calculateur!X124*VLOOKUP('Données projet'!$B$9,Paramètres!$A$1:$I$89,3,0)*0.475*44/12</f>
        <v>26.363418853005165</v>
      </c>
      <c r="AB124" s="21">
        <f>EXP(-LN(2)/2)*AB123+(1-EXP(-LN(2)/2))/(LN(2)/2)*V124*Y124*VLOOKUP('Données projet'!$B$9,Paramètres!$A$1:$I$89,3,0)*0.475*44/12</f>
        <v>14.573479478426137</v>
      </c>
      <c r="AC124" s="22">
        <f t="shared" si="57"/>
        <v>143.00325587078402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273.81843612193632</v>
      </c>
      <c r="AO124" s="59">
        <f t="shared" si="90"/>
        <v>241.86405419073208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-6.3550942286383367E-14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271.42245454555501</v>
      </c>
      <c r="BJ124" s="59">
        <f t="shared" si="92"/>
        <v>362.63944425429077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61.335615817503005</v>
      </c>
      <c r="BQ124" s="21">
        <f>EXP(-LN(2)/25)*BQ123+(1-EXP(-LN(2)/25))/(LN(2)/25)*Calculateur!BL124*Calculateur!BN124*VLOOKUP('Données projet'!$B$11,Paramètres!$A$1:$I$89,3,0)*0.475*44/12</f>
        <v>9.2418986135992203</v>
      </c>
      <c r="BR124" s="21">
        <f>EXP(-LN(2)/2)*BR123+(1-EXP(-LN(2)/2))/(LN(2)/2)*BL124*BO124*VLOOKUP('Données projet'!$B$11,Paramètres!$A$1:$I$89,3,0)*0.475*44/12</f>
        <v>3.9768991996665105E-9</v>
      </c>
      <c r="BS124" s="22">
        <f t="shared" si="63"/>
        <v>70.577514435079124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-3.1036506698001178E-14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154.35821558431712</v>
      </c>
      <c r="CE124" s="59">
        <f t="shared" si="94"/>
        <v>263.86720460501306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13.559592698760028</v>
      </c>
      <c r="CL124" s="21">
        <f>EXP(-LN(2)/25)*CL123+(1-EXP(-LN(2)/25))/(LN(2)/25)*Calculateur!CG124*Calculateur!CI124*VLOOKUP('Données projet'!$B$12,Paramètres!$A$1:$I$89,3,0)*0.475*44/12</f>
        <v>15.868440875178537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29.428033573938563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213</v>
      </c>
      <c r="CU124" s="17">
        <f>CT124*VLOOKUP('Données projet'!$B$13,Paramètres!$A$1:$I$89,3,0)*VLOOKUP('Données projet'!$B$13,Paramètres!$A$1:$I$89,5,0)</f>
        <v>169.46279999999999</v>
      </c>
      <c r="CV124" s="13">
        <f t="shared" si="95"/>
        <v>42.969686502194378</v>
      </c>
      <c r="CW124" s="20">
        <f t="shared" si="67"/>
        <v>369.9865806579885</v>
      </c>
      <c r="CX124" s="59">
        <f t="shared" si="68"/>
        <v>663.31991399132176</v>
      </c>
      <c r="CY124" s="59">
        <f ca="1">AVERAGE(OFFSET($CX$3,0,0,'Données projet'!$E$13+1,1))-AVERAGE(OFFSET($H$3,0,0,'Données projet'!$E$13+1,1))</f>
        <v>157.25319335691853</v>
      </c>
      <c r="CZ124" s="59">
        <f t="shared" si="96"/>
        <v>159.50903492442171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5.0080697346028389</v>
      </c>
      <c r="DG124" s="21">
        <f>EXP(-LN(2)/25)*DG123+(1-EXP(-LN(2)/25))/(LN(2)/25)*Calculateur!DB124*Calculateur!DD124*VLOOKUP('Données projet'!$B$13,Paramètres!$A$1:$I$89,3,0)*0.475*44/12</f>
        <v>2.8035886698690207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7.81165840447186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227.99999999999994</v>
      </c>
      <c r="DP124" s="17">
        <f>DO124*VLOOKUP('Données projet'!$B$14,Paramètres!$A$1:$I$89,3,0)*VLOOKUP('Données projet'!$B$14,Paramètres!$A$1:$I$89,5,0)</f>
        <v>199.18079999999998</v>
      </c>
      <c r="DQ124" s="13">
        <f t="shared" si="97"/>
        <v>49.564089376413683</v>
      </c>
      <c r="DR124" s="20">
        <f t="shared" si="70"/>
        <v>433.23068233058711</v>
      </c>
      <c r="DS124" s="59">
        <f t="shared" si="71"/>
        <v>726.56401566392037</v>
      </c>
      <c r="DT124" s="59">
        <f ca="1">AVERAGE(OFFSET($DS$3,0,0,'Données projet'!$E$14+1,1))-AVERAGE(OFFSET($H$3,0,0,'Données projet'!$E$14+1,1))</f>
        <v>229.5312221178919</v>
      </c>
      <c r="DU124" s="59">
        <f t="shared" si="98"/>
        <v>218.1982095871906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12.616253362868243</v>
      </c>
      <c r="EB124" s="21">
        <f>EXP(-LN(2)/25)*EB123+(1-EXP(-LN(2)/25))/(LN(2)/25)*Calculateur!DW124*Calculateur!DY124*VLOOKUP('Données projet'!$B$14,Paramètres!$A$1:$I$89,3,0)*0.475*44/12</f>
        <v>8.1245420626295868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20.740795425497829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5.3066239316239274</v>
      </c>
      <c r="EJ124" s="12">
        <f>IF('Données projet'!$A$192&gt;35,EJ123+EI124-ER123,IF(A124&lt;'Données projet'!$A$192,$EG$205^A124,IF(A124='Données projet'!$A$192,'Données projet'!$B$192,EJ123+EI124-ER123)))</f>
        <v>257.0683760683757</v>
      </c>
      <c r="EK124" s="17">
        <f>EJ124*VLOOKUP('Données projet'!$B$15,Paramètres!$A$1:$I$89,3,0)*VLOOKUP('Données projet'!$B$15,Paramètres!$A$1:$I$89,5,0)</f>
        <v>232.59546666666634</v>
      </c>
      <c r="EL124" s="13">
        <f t="shared" si="99"/>
        <v>56.843515067710278</v>
      </c>
      <c r="EM124" s="20">
        <f t="shared" si="73"/>
        <v>504.10622652070589</v>
      </c>
      <c r="EN124" s="59">
        <f t="shared" si="74"/>
        <v>797.4395598540392</v>
      </c>
      <c r="EO124" s="59">
        <f ca="1">AVERAGE(OFFSET($EN$3,0,0,'Données projet'!$E$15+1,1))-AVERAGE(OFFSET($H$3,0,0,'Données projet'!$E$15+1,1))</f>
        <v>204.39656982394689</v>
      </c>
      <c r="EP124" s="59">
        <f t="shared" si="100"/>
        <v>134.95704640904546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30.470532267595363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30.470532267595363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5.3167735042735034</v>
      </c>
      <c r="FE124" s="12">
        <f>IF('Données projet'!$A$218&gt;35,FE123+FD124-FM123,IF(A124&lt;'Données projet'!$A$218,$FB$205^A124,IF(A124='Données projet'!$A$218,'Données projet'!$B$218,FE123+FD124-FM123)))</f>
        <v>239.68376068376102</v>
      </c>
      <c r="FF124" s="17">
        <f>FE124*VLOOKUP('Données projet'!$B$16,Paramètres!$A$1:$I$89,3,0)*VLOOKUP('Données projet'!$B$16,Paramètres!$A$1:$I$89,5,0)</f>
        <v>205.648666666667</v>
      </c>
      <c r="FG124" s="13">
        <f t="shared" si="101"/>
        <v>50.983554246707421</v>
      </c>
      <c r="FH124" s="20">
        <f t="shared" si="76"/>
        <v>446.96778475746038</v>
      </c>
      <c r="FI124" s="59">
        <f t="shared" si="77"/>
        <v>740.30111809079369</v>
      </c>
      <c r="FJ124" s="59">
        <f ca="1">AVERAGE(OFFSET($FI$3,0,0,'Données projet'!$E$16+1,1))-AVERAGE(OFFSET($H$3,0,0,'Données projet'!$E$16+1,1))</f>
        <v>199.60585215726968</v>
      </c>
      <c r="FK124" s="59">
        <f t="shared" si="102"/>
        <v>137.37366750114404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25.205075143075728</v>
      </c>
      <c r="FR124" s="21">
        <f>EXP(-LN(2)/25)*FR123+(1-EXP(-LN(2)/25))/(LN(2)/25)*Calculateur!FM124*Calculateur!FO124*VLOOKUP('Données projet'!$B$16,Paramètres!$A$1:$I$89,3,0)*0.475*44/12</f>
        <v>24.10931263355732</v>
      </c>
      <c r="FS124" s="21">
        <f>EXP(-LN(2)/2)*FS123+(1-EXP(-LN(2)/2))/(LN(2)/2)*FM124*FP124*VLOOKUP('Données projet'!$B$16,Paramètres!$A$1:$I$89,3,0)*0.475*44/12</f>
        <v>2.1687992837947374</v>
      </c>
      <c r="FT124" s="22">
        <f t="shared" si="78"/>
        <v>51.483187060427788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4.9084615384615375</v>
      </c>
      <c r="N125" s="13">
        <f>IF('Données projet'!$A$36&gt;35,N124+M125-V124,IF(A125&lt;'Données projet'!$A$36,$K$205^A125,IF(A125='Données projet'!$A$36,'Données projet'!$B$36,N124+M125-V124)))</f>
        <v>215.43923076923178</v>
      </c>
      <c r="O125" s="13">
        <f>N125*VLOOKUP('Données projet'!$B$9,Paramètres!$A$1:$I$89,3,0)*VLOOKUP('Données projet'!$B$9,Paramètres!$A$1:$I$89,5,0)</f>
        <v>100.82556000000046</v>
      </c>
      <c r="P125" s="13">
        <f t="shared" si="87"/>
        <v>27.158581624033999</v>
      </c>
      <c r="Q125" s="20">
        <f t="shared" si="107"/>
        <v>222.90571332852667</v>
      </c>
      <c r="R125" s="59">
        <f t="shared" si="55"/>
        <v>516.23904666186002</v>
      </c>
      <c r="S125" s="59">
        <f ca="1">AVERAGE(OFFSET($R$3,0,0,'Données projet'!$E$9+1,1))-AVERAGE(OFFSET($H$3,0,0,'Données projet'!$E$9+1,1))</f>
        <v>164.93438869099657</v>
      </c>
      <c r="T125" s="59">
        <f t="shared" si="88"/>
        <v>112.28641356594233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100.06489852233699</v>
      </c>
      <c r="AA125" s="21">
        <f>EXP(-LN(2)/25)*AA124+(1-EXP(-LN(2)/25))/(LN(2)/25)*Calculateur!V125*Calculateur!X125*VLOOKUP('Données projet'!$B$9,Paramètres!$A$1:$I$89,3,0)*0.475*44/12</f>
        <v>25.642509778077795</v>
      </c>
      <c r="AB125" s="21">
        <f>EXP(-LN(2)/2)*AB124+(1-EXP(-LN(2)/2))/(LN(2)/2)*V125*Y125*VLOOKUP('Données projet'!$B$9,Paramètres!$A$1:$I$89,3,0)*0.475*44/12</f>
        <v>10.305006164678112</v>
      </c>
      <c r="AC125" s="22">
        <f t="shared" si="57"/>
        <v>136.01241446509289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273.81843612193632</v>
      </c>
      <c r="AO125" s="59">
        <f t="shared" si="90"/>
        <v>241.86405419073208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-6.3550942286383367E-14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271.42245454555501</v>
      </c>
      <c r="BJ125" s="59">
        <f t="shared" si="92"/>
        <v>362.63944425429077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60.132861802353389</v>
      </c>
      <c r="BQ125" s="21">
        <f>EXP(-LN(2)/25)*BQ124+(1-EXP(-LN(2)/25))/(LN(2)/25)*Calculateur!BL125*Calculateur!BN125*VLOOKUP('Données projet'!$B$11,Paramètres!$A$1:$I$89,3,0)*0.475*44/12</f>
        <v>8.989178410000024</v>
      </c>
      <c r="BR125" s="21">
        <f>EXP(-LN(2)/2)*BR124+(1-EXP(-LN(2)/2))/(LN(2)/2)*BL125*BO125*VLOOKUP('Données projet'!$B$11,Paramètres!$A$1:$I$89,3,0)*0.475*44/12</f>
        <v>2.8120923921795432E-9</v>
      </c>
      <c r="BS125" s="22">
        <f t="shared" si="63"/>
        <v>69.122040215165498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-3.1036506698001178E-14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154.35821558431712</v>
      </c>
      <c r="CE125" s="59">
        <f t="shared" si="94"/>
        <v>263.86720460501306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13.293697356472242</v>
      </c>
      <c r="CL125" s="21">
        <f>EXP(-LN(2)/25)*CL124+(1-EXP(-LN(2)/25))/(LN(2)/25)*Calculateur!CG125*Calculateur!CI125*VLOOKUP('Données projet'!$B$12,Paramètres!$A$1:$I$89,3,0)*0.475*44/12</f>
        <v>15.434517524961743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28.728214881433985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213</v>
      </c>
      <c r="CU125" s="17">
        <f>CT125*VLOOKUP('Données projet'!$B$13,Paramètres!$A$1:$I$89,3,0)*VLOOKUP('Données projet'!$B$13,Paramètres!$A$1:$I$89,5,0)</f>
        <v>169.46279999999999</v>
      </c>
      <c r="CV125" s="13">
        <f t="shared" si="95"/>
        <v>42.969686502194378</v>
      </c>
      <c r="CW125" s="20">
        <f t="shared" si="67"/>
        <v>369.9865806579885</v>
      </c>
      <c r="CX125" s="59">
        <f t="shared" si="68"/>
        <v>663.31991399132176</v>
      </c>
      <c r="CY125" s="59">
        <f ca="1">AVERAGE(OFFSET($CX$3,0,0,'Données projet'!$E$13+1,1))-AVERAGE(OFFSET($H$3,0,0,'Données projet'!$E$13+1,1))</f>
        <v>157.25319335691853</v>
      </c>
      <c r="CZ125" s="59">
        <f t="shared" si="96"/>
        <v>159.50903492442171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4.9098645417281963</v>
      </c>
      <c r="DG125" s="21">
        <f>EXP(-LN(2)/25)*DG124+(1-EXP(-LN(2)/25))/(LN(2)/25)*Calculateur!DB125*Calculateur!DD125*VLOOKUP('Données projet'!$B$13,Paramètres!$A$1:$I$89,3,0)*0.475*44/12</f>
        <v>2.7269243902571318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7.6367889319853282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227.99999999999994</v>
      </c>
      <c r="DP125" s="17">
        <f>DO125*VLOOKUP('Données projet'!$B$14,Paramètres!$A$1:$I$89,3,0)*VLOOKUP('Données projet'!$B$14,Paramètres!$A$1:$I$89,5,0)</f>
        <v>199.18079999999998</v>
      </c>
      <c r="DQ125" s="13">
        <f t="shared" si="97"/>
        <v>49.564089376413683</v>
      </c>
      <c r="DR125" s="20">
        <f t="shared" si="70"/>
        <v>433.23068233058711</v>
      </c>
      <c r="DS125" s="59">
        <f t="shared" si="71"/>
        <v>726.56401566392037</v>
      </c>
      <c r="DT125" s="59">
        <f ca="1">AVERAGE(OFFSET($DS$3,0,0,'Données projet'!$E$14+1,1))-AVERAGE(OFFSET($H$3,0,0,'Données projet'!$E$14+1,1))</f>
        <v>229.5312221178919</v>
      </c>
      <c r="DU125" s="59">
        <f t="shared" si="98"/>
        <v>218.1982095871906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12.368856329577115</v>
      </c>
      <c r="EB125" s="21">
        <f>EXP(-LN(2)/25)*EB124+(1-EXP(-LN(2)/25))/(LN(2)/25)*Calculateur!DW125*Calculateur!DY125*VLOOKUP('Données projet'!$B$14,Paramètres!$A$1:$I$89,3,0)*0.475*44/12</f>
        <v>7.9023760326758827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20.271232362252999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5.3066239316239274</v>
      </c>
      <c r="EJ125" s="12">
        <f>IF('Données projet'!$A$192&gt;35,EJ124+EI125-ER124,IF(A125&lt;'Données projet'!$A$192,$EG$205^A125,IF(A125='Données projet'!$A$192,'Données projet'!$B$192,EJ124+EI125-ER124)))</f>
        <v>262.3749999999996</v>
      </c>
      <c r="EK125" s="17">
        <f>EJ125*VLOOKUP('Données projet'!$B$15,Paramètres!$A$1:$I$89,3,0)*VLOOKUP('Données projet'!$B$15,Paramètres!$A$1:$I$89,5,0)</f>
        <v>237.39689999999962</v>
      </c>
      <c r="EL125" s="13">
        <f t="shared" si="99"/>
        <v>57.87910585630879</v>
      </c>
      <c r="EM125" s="20">
        <f t="shared" si="73"/>
        <v>514.27237686640376</v>
      </c>
      <c r="EN125" s="59">
        <f t="shared" si="74"/>
        <v>807.60571019973713</v>
      </c>
      <c r="EO125" s="59">
        <f ca="1">AVERAGE(OFFSET($EN$3,0,0,'Données projet'!$E$15+1,1))-AVERAGE(OFFSET($H$3,0,0,'Données projet'!$E$15+1,1))</f>
        <v>204.39656982394689</v>
      </c>
      <c r="EP125" s="59">
        <f t="shared" si="100"/>
        <v>134.95704640904546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29.873023715017368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29.873023715017368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5.3167735042735034</v>
      </c>
      <c r="FE125" s="12">
        <f>IF('Données projet'!$A$218&gt;35,FE124+FD125-FM124,IF(A125&lt;'Données projet'!$A$218,$FB$205^A125,IF(A125='Données projet'!$A$218,'Données projet'!$B$218,FE124+FD125-FM124)))</f>
        <v>245.00053418803452</v>
      </c>
      <c r="FF125" s="17">
        <f>FE125*VLOOKUP('Données projet'!$B$16,Paramètres!$A$1:$I$89,3,0)*VLOOKUP('Données projet'!$B$16,Paramètres!$A$1:$I$89,5,0)</f>
        <v>210.21045833333363</v>
      </c>
      <c r="FG125" s="13">
        <f t="shared" si="101"/>
        <v>51.981573457703206</v>
      </c>
      <c r="FH125" s="20">
        <f t="shared" si="76"/>
        <v>456.65112203605577</v>
      </c>
      <c r="FI125" s="59">
        <f t="shared" si="77"/>
        <v>749.98445536938902</v>
      </c>
      <c r="FJ125" s="59">
        <f ca="1">AVERAGE(OFFSET($FI$3,0,0,'Données projet'!$E$16+1,1))-AVERAGE(OFFSET($H$3,0,0,'Données projet'!$E$16+1,1))</f>
        <v>199.60585215726968</v>
      </c>
      <c r="FK125" s="59">
        <f t="shared" si="102"/>
        <v>137.37366750114404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24.710818993097835</v>
      </c>
      <c r="FR125" s="21">
        <f>EXP(-LN(2)/25)*FR124+(1-EXP(-LN(2)/25))/(LN(2)/25)*Calculateur!FM125*Calculateur!FO125*VLOOKUP('Données projet'!$B$16,Paramètres!$A$1:$I$89,3,0)*0.475*44/12</f>
        <v>23.450042211739046</v>
      </c>
      <c r="FS125" s="21">
        <f>EXP(-LN(2)/2)*FS124+(1-EXP(-LN(2)/2))/(LN(2)/2)*FM125*FP125*VLOOKUP('Données projet'!$B$16,Paramètres!$A$1:$I$89,3,0)*0.475*44/12</f>
        <v>1.5335726806037864</v>
      </c>
      <c r="FT125" s="22">
        <f t="shared" si="78"/>
        <v>49.694433885440667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4.9084615384615375</v>
      </c>
      <c r="N126" s="13">
        <f>IF('Données projet'!$A$36&gt;35,N125+M126-V125,IF(A126&lt;'Données projet'!$A$36,$K$205^A126,IF(A126='Données projet'!$A$36,'Données projet'!$B$36,N125+M126-V125)))</f>
        <v>220.34769230769331</v>
      </c>
      <c r="O126" s="13">
        <f>N126*VLOOKUP('Données projet'!$B$9,Paramètres!$A$1:$I$89,3,0)*VLOOKUP('Données projet'!$B$9,Paramètres!$A$1:$I$89,5,0)</f>
        <v>103.12272000000047</v>
      </c>
      <c r="P126" s="13">
        <f t="shared" si="87"/>
        <v>27.70460592159175</v>
      </c>
      <c r="Q126" s="20">
        <f t="shared" si="107"/>
        <v>227.8575926467731</v>
      </c>
      <c r="R126" s="59">
        <f t="shared" si="55"/>
        <v>521.19092598010639</v>
      </c>
      <c r="S126" s="59">
        <f ca="1">AVERAGE(OFFSET($R$3,0,0,'Données projet'!$E$9+1,1))-AVERAGE(OFFSET($H$3,0,0,'Données projet'!$E$9+1,1))</f>
        <v>164.93438869099657</v>
      </c>
      <c r="T126" s="59">
        <f t="shared" si="88"/>
        <v>112.28641356594233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98.102686895875493</v>
      </c>
      <c r="AA126" s="21">
        <f>EXP(-LN(2)/25)*AA125+(1-EXP(-LN(2)/25))/(LN(2)/25)*Calculateur!V126*Calculateur!X126*VLOOKUP('Données projet'!$B$9,Paramètres!$A$1:$I$89,3,0)*0.475*44/12</f>
        <v>24.941313999715273</v>
      </c>
      <c r="AB126" s="21">
        <f>EXP(-LN(2)/2)*AB125+(1-EXP(-LN(2)/2))/(LN(2)/2)*V126*Y126*VLOOKUP('Données projet'!$B$9,Paramètres!$A$1:$I$89,3,0)*0.475*44/12</f>
        <v>7.2867397392130693</v>
      </c>
      <c r="AC126" s="22">
        <f t="shared" si="57"/>
        <v>130.33074063480385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273.81843612193632</v>
      </c>
      <c r="AO126" s="59">
        <f t="shared" si="90"/>
        <v>241.86405419073208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-6.3550942286383367E-14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271.42245454555501</v>
      </c>
      <c r="BJ126" s="59">
        <f t="shared" si="92"/>
        <v>362.63944425429077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58.953693059833341</v>
      </c>
      <c r="BQ126" s="21">
        <f>EXP(-LN(2)/25)*BQ125+(1-EXP(-LN(2)/25))/(LN(2)/25)*Calculateur!BL126*Calculateur!BN126*VLOOKUP('Données projet'!$B$11,Paramètres!$A$1:$I$89,3,0)*0.475*44/12</f>
        <v>8.7433688536582252</v>
      </c>
      <c r="BR126" s="21">
        <f>EXP(-LN(2)/2)*BR125+(1-EXP(-LN(2)/2))/(LN(2)/2)*BL126*BO126*VLOOKUP('Données projet'!$B$11,Paramètres!$A$1:$I$89,3,0)*0.475*44/12</f>
        <v>1.9884495998332552E-9</v>
      </c>
      <c r="BS126" s="22">
        <f t="shared" si="63"/>
        <v>67.69706191548002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-3.1036506698001178E-14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154.35821558431712</v>
      </c>
      <c r="CE126" s="59">
        <f t="shared" si="94"/>
        <v>263.86720460501306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13.033016059666576</v>
      </c>
      <c r="CL126" s="21">
        <f>EXP(-LN(2)/25)*CL125+(1-EXP(-LN(2)/25))/(LN(2)/25)*Calculateur!CG126*Calculateur!CI126*VLOOKUP('Données projet'!$B$12,Paramètres!$A$1:$I$89,3,0)*0.475*44/12</f>
        <v>15.012459831575663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28.045475891242241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213</v>
      </c>
      <c r="CU126" s="17">
        <f>CT126*VLOOKUP('Données projet'!$B$13,Paramètres!$A$1:$I$89,3,0)*VLOOKUP('Données projet'!$B$13,Paramètres!$A$1:$I$89,5,0)</f>
        <v>169.46279999999999</v>
      </c>
      <c r="CV126" s="13">
        <f t="shared" si="95"/>
        <v>42.969686502194378</v>
      </c>
      <c r="CW126" s="20">
        <f t="shared" si="67"/>
        <v>369.9865806579885</v>
      </c>
      <c r="CX126" s="59">
        <f t="shared" si="68"/>
        <v>663.31991399132176</v>
      </c>
      <c r="CY126" s="59">
        <f ca="1">AVERAGE(OFFSET($CX$3,0,0,'Données projet'!$E$13+1,1))-AVERAGE(OFFSET($H$3,0,0,'Données projet'!$E$13+1,1))</f>
        <v>157.25319335691853</v>
      </c>
      <c r="CZ126" s="59">
        <f t="shared" si="96"/>
        <v>159.50903492442171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4.8135850927865729</v>
      </c>
      <c r="DG126" s="21">
        <f>EXP(-LN(2)/25)*DG125+(1-EXP(-LN(2)/25))/(LN(2)/25)*Calculateur!DB126*Calculateur!DD126*VLOOKUP('Données projet'!$B$13,Paramètres!$A$1:$I$89,3,0)*0.475*44/12</f>
        <v>2.6523564994028295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7.4659415921894023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227.99999999999994</v>
      </c>
      <c r="DP126" s="17">
        <f>DO126*VLOOKUP('Données projet'!$B$14,Paramètres!$A$1:$I$89,3,0)*VLOOKUP('Données projet'!$B$14,Paramètres!$A$1:$I$89,5,0)</f>
        <v>199.18079999999998</v>
      </c>
      <c r="DQ126" s="13">
        <f t="shared" si="97"/>
        <v>49.564089376413683</v>
      </c>
      <c r="DR126" s="20">
        <f t="shared" si="70"/>
        <v>433.23068233058711</v>
      </c>
      <c r="DS126" s="59">
        <f t="shared" si="71"/>
        <v>726.56401566392037</v>
      </c>
      <c r="DT126" s="59">
        <f ca="1">AVERAGE(OFFSET($DS$3,0,0,'Données projet'!$E$14+1,1))-AVERAGE(OFFSET($H$3,0,0,'Données projet'!$E$14+1,1))</f>
        <v>229.5312221178919</v>
      </c>
      <c r="DU126" s="59">
        <f t="shared" si="98"/>
        <v>218.1982095871906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12.126310601211536</v>
      </c>
      <c r="EB126" s="21">
        <f>EXP(-LN(2)/25)*EB125+(1-EXP(-LN(2)/25))/(LN(2)/25)*Calculateur!DW126*Calculateur!DY126*VLOOKUP('Données projet'!$B$14,Paramètres!$A$1:$I$89,3,0)*0.475*44/12</f>
        <v>7.686285144494466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19.812595745706002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5.3066239316239274</v>
      </c>
      <c r="EJ126" s="12">
        <f>IF('Données projet'!$A$192&gt;35,EJ125+EI126-ER125,IF(A126&lt;'Données projet'!$A$192,$EG$205^A126,IF(A126='Données projet'!$A$192,'Données projet'!$B$192,EJ125+EI126-ER125)))</f>
        <v>267.68162393162351</v>
      </c>
      <c r="EK126" s="17">
        <f>EJ126*VLOOKUP('Données projet'!$B$15,Paramètres!$A$1:$I$89,3,0)*VLOOKUP('Données projet'!$B$15,Paramètres!$A$1:$I$89,5,0)</f>
        <v>242.19833333333295</v>
      </c>
      <c r="EL126" s="13">
        <f t="shared" si="99"/>
        <v>58.912261318352805</v>
      </c>
      <c r="EM126" s="20">
        <f t="shared" si="73"/>
        <v>524.43428568501929</v>
      </c>
      <c r="EN126" s="59">
        <f t="shared" si="74"/>
        <v>817.76761901835266</v>
      </c>
      <c r="EO126" s="59">
        <f ca="1">AVERAGE(OFFSET($EN$3,0,0,'Données projet'!$E$15+1,1))-AVERAGE(OFFSET($H$3,0,0,'Données projet'!$E$15+1,1))</f>
        <v>204.39656982394689</v>
      </c>
      <c r="EP126" s="59">
        <f t="shared" si="100"/>
        <v>134.95704640904546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29.287231940711195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29.287231940711195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5.3167735042735034</v>
      </c>
      <c r="FE126" s="12">
        <f>IF('Données projet'!$A$218&gt;35,FE125+FD126-FM125,IF(A126&lt;'Données projet'!$A$218,$FB$205^A126,IF(A126='Données projet'!$A$218,'Données projet'!$B$218,FE125+FD126-FM125)))</f>
        <v>250.31730769230802</v>
      </c>
      <c r="FF126" s="17">
        <f>FE126*VLOOKUP('Données projet'!$B$16,Paramètres!$A$1:$I$89,3,0)*VLOOKUP('Données projet'!$B$16,Paramètres!$A$1:$I$89,5,0)</f>
        <v>214.7722500000003</v>
      </c>
      <c r="FG126" s="13">
        <f t="shared" si="101"/>
        <v>52.977074640195589</v>
      </c>
      <c r="FH126" s="20">
        <f t="shared" si="76"/>
        <v>466.33007374834114</v>
      </c>
      <c r="FI126" s="59">
        <f t="shared" si="77"/>
        <v>759.66340708167445</v>
      </c>
      <c r="FJ126" s="59">
        <f ca="1">AVERAGE(OFFSET($FI$3,0,0,'Données projet'!$E$16+1,1))-AVERAGE(OFFSET($H$3,0,0,'Données projet'!$E$16+1,1))</f>
        <v>199.60585215726968</v>
      </c>
      <c r="FK126" s="59">
        <f t="shared" si="102"/>
        <v>137.37366750114404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24.226254904754526</v>
      </c>
      <c r="FR126" s="21">
        <f>EXP(-LN(2)/25)*FR125+(1-EXP(-LN(2)/25))/(LN(2)/25)*Calculateur!FM126*Calculateur!FO126*VLOOKUP('Données projet'!$B$16,Paramètres!$A$1:$I$89,3,0)*0.475*44/12</f>
        <v>22.808799574274918</v>
      </c>
      <c r="FS126" s="21">
        <f>EXP(-LN(2)/2)*FS125+(1-EXP(-LN(2)/2))/(LN(2)/2)*FM126*FP126*VLOOKUP('Données projet'!$B$16,Paramètres!$A$1:$I$89,3,0)*0.475*44/12</f>
        <v>1.0843996418973687</v>
      </c>
      <c r="FT126" s="22">
        <f t="shared" si="78"/>
        <v>48.119454120926811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4.9084615384615375</v>
      </c>
      <c r="N127" s="13">
        <f>IF('Données projet'!$A$36&gt;35,N126+M127-V126,IF(A127&lt;'Données projet'!$A$36,$K$205^A127,IF(A127='Données projet'!$A$36,'Données projet'!$B$36,N126+M127-V126)))</f>
        <v>225.25615384615486</v>
      </c>
      <c r="O127" s="13">
        <f>N127*VLOOKUP('Données projet'!$B$9,Paramètres!$A$1:$I$89,3,0)*VLOOKUP('Données projet'!$B$9,Paramètres!$A$1:$I$89,5,0)</f>
        <v>105.41988000000046</v>
      </c>
      <c r="P127" s="13">
        <f t="shared" si="87"/>
        <v>28.249216129722416</v>
      </c>
      <c r="Q127" s="20">
        <f t="shared" si="107"/>
        <v>232.80700909260065</v>
      </c>
      <c r="R127" s="59">
        <f t="shared" si="55"/>
        <v>526.14034242593402</v>
      </c>
      <c r="S127" s="59">
        <f ca="1">AVERAGE(OFFSET($R$3,0,0,'Données projet'!$E$9+1,1))-AVERAGE(OFFSET($H$3,0,0,'Données projet'!$E$9+1,1))</f>
        <v>164.93438869099657</v>
      </c>
      <c r="T127" s="59">
        <f t="shared" si="88"/>
        <v>112.28641356594233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96.178953042578001</v>
      </c>
      <c r="AA127" s="21">
        <f>EXP(-LN(2)/25)*AA126+(1-EXP(-LN(2)/25))/(LN(2)/25)*Calculateur!V127*Calculateur!X127*VLOOKUP('Données projet'!$B$9,Paramètres!$A$1:$I$89,3,0)*0.475*44/12</f>
        <v>24.259292456786358</v>
      </c>
      <c r="AB127" s="21">
        <f>EXP(-LN(2)/2)*AB126+(1-EXP(-LN(2)/2))/(LN(2)/2)*V127*Y127*VLOOKUP('Données projet'!$B$9,Paramètres!$A$1:$I$89,3,0)*0.475*44/12</f>
        <v>5.1525030823390567</v>
      </c>
      <c r="AC127" s="22">
        <f t="shared" si="57"/>
        <v>125.59074858170341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273.81843612193632</v>
      </c>
      <c r="AO127" s="59">
        <f t="shared" si="90"/>
        <v>241.86405419073208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-6.3550942286383367E-14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271.42245454555501</v>
      </c>
      <c r="BJ127" s="59">
        <f t="shared" si="92"/>
        <v>362.63944425429077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57.797647097132199</v>
      </c>
      <c r="BQ127" s="21">
        <f>EXP(-LN(2)/25)*BQ126+(1-EXP(-LN(2)/25))/(LN(2)/25)*Calculateur!BL127*Calculateur!BN127*VLOOKUP('Données projet'!$B$11,Paramètres!$A$1:$I$89,3,0)*0.475*44/12</f>
        <v>8.5042809725611566</v>
      </c>
      <c r="BR127" s="21">
        <f>EXP(-LN(2)/2)*BR126+(1-EXP(-LN(2)/2))/(LN(2)/2)*BL127*BO127*VLOOKUP('Données projet'!$B$11,Paramètres!$A$1:$I$89,3,0)*0.475*44/12</f>
        <v>1.4060461960897716E-9</v>
      </c>
      <c r="BS127" s="22">
        <f t="shared" si="63"/>
        <v>66.301928071099411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-3.1036506698001178E-14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154.35821558431712</v>
      </c>
      <c r="CE127" s="59">
        <f t="shared" si="94"/>
        <v>263.86720460501306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12.777446564091377</v>
      </c>
      <c r="CL127" s="21">
        <f>EXP(-LN(2)/25)*CL126+(1-EXP(-LN(2)/25))/(LN(2)/25)*Calculateur!CG127*Calculateur!CI127*VLOOKUP('Données projet'!$B$12,Paramètres!$A$1:$I$89,3,0)*0.475*44/12</f>
        <v>14.601943328010275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27.379389892101653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213</v>
      </c>
      <c r="CU127" s="17">
        <f>CT127*VLOOKUP('Données projet'!$B$13,Paramètres!$A$1:$I$89,3,0)*VLOOKUP('Données projet'!$B$13,Paramètres!$A$1:$I$89,5,0)</f>
        <v>169.46279999999999</v>
      </c>
      <c r="CV127" s="13">
        <f t="shared" si="95"/>
        <v>42.969686502194378</v>
      </c>
      <c r="CW127" s="20">
        <f t="shared" si="67"/>
        <v>369.9865806579885</v>
      </c>
      <c r="CX127" s="59">
        <f t="shared" si="68"/>
        <v>663.31991399132176</v>
      </c>
      <c r="CY127" s="59">
        <f ca="1">AVERAGE(OFFSET($CX$3,0,0,'Données projet'!$E$13+1,1))-AVERAGE(OFFSET($H$3,0,0,'Données projet'!$E$13+1,1))</f>
        <v>157.25319335691853</v>
      </c>
      <c r="CZ127" s="59">
        <f t="shared" si="96"/>
        <v>159.50903492442171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4.7191936251140287</v>
      </c>
      <c r="DG127" s="21">
        <f>EXP(-LN(2)/25)*DG126+(1-EXP(-LN(2)/25))/(LN(2)/25)*Calculateur!DB127*Calculateur!DD127*VLOOKUP('Données projet'!$B$13,Paramètres!$A$1:$I$89,3,0)*0.475*44/12</f>
        <v>2.579827671445293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7.2990212965593217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227.99999999999994</v>
      </c>
      <c r="DP127" s="17">
        <f>DO127*VLOOKUP('Données projet'!$B$14,Paramètres!$A$1:$I$89,3,0)*VLOOKUP('Données projet'!$B$14,Paramètres!$A$1:$I$89,5,0)</f>
        <v>199.18079999999998</v>
      </c>
      <c r="DQ127" s="13">
        <f t="shared" si="97"/>
        <v>49.564089376413683</v>
      </c>
      <c r="DR127" s="20">
        <f t="shared" si="70"/>
        <v>433.23068233058711</v>
      </c>
      <c r="DS127" s="59">
        <f t="shared" si="71"/>
        <v>726.56401566392037</v>
      </c>
      <c r="DT127" s="59">
        <f ca="1">AVERAGE(OFFSET($DS$3,0,0,'Données projet'!$E$14+1,1))-AVERAGE(OFFSET($H$3,0,0,'Données projet'!$E$14+1,1))</f>
        <v>229.5312221178919</v>
      </c>
      <c r="DU127" s="59">
        <f t="shared" si="98"/>
        <v>218.1982095871906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11.888521046640918</v>
      </c>
      <c r="EB127" s="21">
        <f>EXP(-LN(2)/25)*EB126+(1-EXP(-LN(2)/25))/(LN(2)/25)*Calculateur!DW127*Calculateur!DY127*VLOOKUP('Données projet'!$B$14,Paramètres!$A$1:$I$89,3,0)*0.475*44/12</f>
        <v>7.4761032730140959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19.364624319655015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5.3066239316239274</v>
      </c>
      <c r="EJ127" s="12">
        <f>IF('Données projet'!$A$192&gt;35,EJ126+EI127-ER126,IF(A127&lt;'Données projet'!$A$192,$EG$205^A127,IF(A127='Données projet'!$A$192,'Données projet'!$B$192,EJ126+EI127-ER126)))</f>
        <v>272.98824786324741</v>
      </c>
      <c r="EK127" s="17">
        <f>EJ127*VLOOKUP('Données projet'!$B$15,Paramètres!$A$1:$I$89,3,0)*VLOOKUP('Données projet'!$B$15,Paramètres!$A$1:$I$89,5,0)</f>
        <v>246.99976666666623</v>
      </c>
      <c r="EL127" s="13">
        <f t="shared" si="99"/>
        <v>59.943035297333779</v>
      </c>
      <c r="EM127" s="20">
        <f t="shared" si="73"/>
        <v>534.59204675396666</v>
      </c>
      <c r="EN127" s="59">
        <f t="shared" si="74"/>
        <v>827.92538008730003</v>
      </c>
      <c r="EO127" s="59">
        <f ca="1">AVERAGE(OFFSET($EN$3,0,0,'Données projet'!$E$15+1,1))-AVERAGE(OFFSET($H$3,0,0,'Données projet'!$E$15+1,1))</f>
        <v>204.39656982394689</v>
      </c>
      <c r="EP127" s="59">
        <f t="shared" si="100"/>
        <v>134.95704640904546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28.712927185801462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28.712927185801462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5.3167735042735034</v>
      </c>
      <c r="FE127" s="12">
        <f>IF('Données projet'!$A$218&gt;35,FE126+FD127-FM126,IF(A127&lt;'Données projet'!$A$218,$FB$205^A127,IF(A127='Données projet'!$A$218,'Données projet'!$B$218,FE126+FD127-FM126)))</f>
        <v>255.63408119658152</v>
      </c>
      <c r="FF127" s="17">
        <f>FE127*VLOOKUP('Données projet'!$B$16,Paramètres!$A$1:$I$89,3,0)*VLOOKUP('Données projet'!$B$16,Paramètres!$A$1:$I$89,5,0)</f>
        <v>219.33404166666696</v>
      </c>
      <c r="FG127" s="13">
        <f t="shared" si="101"/>
        <v>53.970117438209812</v>
      </c>
      <c r="FH127" s="20">
        <f t="shared" si="76"/>
        <v>476.0047437743271</v>
      </c>
      <c r="FI127" s="59">
        <f t="shared" si="77"/>
        <v>769.33807710766041</v>
      </c>
      <c r="FJ127" s="59">
        <f ca="1">AVERAGE(OFFSET($FI$3,0,0,'Données projet'!$E$16+1,1))-AVERAGE(OFFSET($H$3,0,0,'Données projet'!$E$16+1,1))</f>
        <v>199.60585215726968</v>
      </c>
      <c r="FK127" s="59">
        <f t="shared" si="102"/>
        <v>137.37366750114404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23.751192822628717</v>
      </c>
      <c r="FR127" s="21">
        <f>EXP(-LN(2)/25)*FR126+(1-EXP(-LN(2)/25))/(LN(2)/25)*Calculateur!FM127*Calculateur!FO127*VLOOKUP('Données projet'!$B$16,Paramètres!$A$1:$I$89,3,0)*0.475*44/12</f>
        <v>22.185091750453729</v>
      </c>
      <c r="FS127" s="21">
        <f>EXP(-LN(2)/2)*FS126+(1-EXP(-LN(2)/2))/(LN(2)/2)*FM127*FP127*VLOOKUP('Données projet'!$B$16,Paramètres!$A$1:$I$89,3,0)*0.475*44/12</f>
        <v>0.76678634030189319</v>
      </c>
      <c r="FT127" s="22">
        <f t="shared" si="78"/>
        <v>46.703070913384337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4.9084615384615375</v>
      </c>
      <c r="N128" s="13">
        <f>IF('Données projet'!$A$36&gt;35,N127+M128-V127,IF(A128&lt;'Données projet'!$A$36,$K$205^A128,IF(A128='Données projet'!$A$36,'Données projet'!$B$36,N127+M128-V127)))</f>
        <v>230.16461538461641</v>
      </c>
      <c r="O128" s="13">
        <f>N128*VLOOKUP('Données projet'!$B$9,Paramètres!$A$1:$I$89,3,0)*VLOOKUP('Données projet'!$B$9,Paramètres!$A$1:$I$89,5,0)</f>
        <v>107.71704000000048</v>
      </c>
      <c r="P128" s="13">
        <f t="shared" si="87"/>
        <v>28.792446610882244</v>
      </c>
      <c r="Q128" s="20">
        <f t="shared" si="107"/>
        <v>237.75402251395406</v>
      </c>
      <c r="R128" s="59">
        <f t="shared" si="55"/>
        <v>531.08735584728743</v>
      </c>
      <c r="S128" s="59">
        <f ca="1">AVERAGE(OFFSET($R$3,0,0,'Données projet'!$E$9+1,1))-AVERAGE(OFFSET($H$3,0,0,'Données projet'!$E$9+1,1))</f>
        <v>164.93438869099657</v>
      </c>
      <c r="T128" s="59">
        <f t="shared" si="88"/>
        <v>112.28641356594233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94.292942436781871</v>
      </c>
      <c r="AA128" s="21">
        <f>EXP(-LN(2)/25)*AA127+(1-EXP(-LN(2)/25))/(LN(2)/25)*Calculateur!V128*Calculateur!X128*VLOOKUP('Données projet'!$B$9,Paramètres!$A$1:$I$89,3,0)*0.475*44/12</f>
        <v>23.595920828814791</v>
      </c>
      <c r="AB128" s="21">
        <f>EXP(-LN(2)/2)*AB127+(1-EXP(-LN(2)/2))/(LN(2)/2)*V128*Y128*VLOOKUP('Données projet'!$B$9,Paramètres!$A$1:$I$89,3,0)*0.475*44/12</f>
        <v>3.6433698696065351</v>
      </c>
      <c r="AC128" s="22">
        <f t="shared" si="57"/>
        <v>121.53223313520319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273.81843612193632</v>
      </c>
      <c r="AO128" s="59">
        <f t="shared" si="90"/>
        <v>241.86405419073208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-6.3550942286383367E-14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271.42245454555501</v>
      </c>
      <c r="BJ128" s="59">
        <f t="shared" si="92"/>
        <v>362.63944425429077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56.664270490641215</v>
      </c>
      <c r="BQ128" s="21">
        <f>EXP(-LN(2)/25)*BQ127+(1-EXP(-LN(2)/25))/(LN(2)/25)*Calculateur!BL128*Calculateur!BN128*VLOOKUP('Données projet'!$B$11,Paramètres!$A$1:$I$89,3,0)*0.475*44/12</f>
        <v>8.2717309621457726</v>
      </c>
      <c r="BR128" s="21">
        <f>EXP(-LN(2)/2)*BR127+(1-EXP(-LN(2)/2))/(LN(2)/2)*BL128*BO128*VLOOKUP('Données projet'!$B$11,Paramètres!$A$1:$I$89,3,0)*0.475*44/12</f>
        <v>9.9422479991662762E-10</v>
      </c>
      <c r="BS128" s="22">
        <f t="shared" si="63"/>
        <v>64.936001453781202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-3.1036506698001178E-14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154.35821558431712</v>
      </c>
      <c r="CE128" s="59">
        <f t="shared" si="94"/>
        <v>263.86720460501306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12.526888630442409</v>
      </c>
      <c r="CL128" s="21">
        <f>EXP(-LN(2)/25)*CL127+(1-EXP(-LN(2)/25))/(LN(2)/25)*Calculateur!CG128*Calculateur!CI128*VLOOKUP('Données projet'!$B$12,Paramètres!$A$1:$I$89,3,0)*0.475*44/12</f>
        <v>14.202652419823007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26.729541050265418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213</v>
      </c>
      <c r="CU128" s="17">
        <f>CT128*VLOOKUP('Données projet'!$B$13,Paramètres!$A$1:$I$89,3,0)*VLOOKUP('Données projet'!$B$13,Paramètres!$A$1:$I$89,5,0)</f>
        <v>169.46279999999999</v>
      </c>
      <c r="CV128" s="13">
        <f t="shared" si="95"/>
        <v>42.969686502194378</v>
      </c>
      <c r="CW128" s="20">
        <f t="shared" si="67"/>
        <v>369.9865806579885</v>
      </c>
      <c r="CX128" s="59">
        <f t="shared" si="68"/>
        <v>663.31991399132176</v>
      </c>
      <c r="CY128" s="59">
        <f ca="1">AVERAGE(OFFSET($CX$3,0,0,'Données projet'!$E$13+1,1))-AVERAGE(OFFSET($H$3,0,0,'Données projet'!$E$13+1,1))</f>
        <v>157.25319335691853</v>
      </c>
      <c r="CZ128" s="59">
        <f t="shared" si="96"/>
        <v>159.50903492442171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4.6266531165494333</v>
      </c>
      <c r="DG128" s="21">
        <f>EXP(-LN(2)/25)*DG127+(1-EXP(-LN(2)/25))/(LN(2)/25)*Calculateur!DB128*Calculateur!DD128*VLOOKUP('Données projet'!$B$13,Paramètres!$A$1:$I$89,3,0)*0.475*44/12</f>
        <v>2.5092821481023804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7.1359352646518133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227.99999999999994</v>
      </c>
      <c r="DP128" s="17">
        <f>DO128*VLOOKUP('Données projet'!$B$14,Paramètres!$A$1:$I$89,3,0)*VLOOKUP('Données projet'!$B$14,Paramètres!$A$1:$I$89,5,0)</f>
        <v>199.18079999999998</v>
      </c>
      <c r="DQ128" s="13">
        <f t="shared" si="97"/>
        <v>49.564089376413683</v>
      </c>
      <c r="DR128" s="20">
        <f t="shared" si="70"/>
        <v>433.23068233058711</v>
      </c>
      <c r="DS128" s="59">
        <f t="shared" si="71"/>
        <v>726.56401566392037</v>
      </c>
      <c r="DT128" s="59">
        <f ca="1">AVERAGE(OFFSET($DS$3,0,0,'Données projet'!$E$14+1,1))-AVERAGE(OFFSET($H$3,0,0,'Données projet'!$E$14+1,1))</f>
        <v>229.5312221178919</v>
      </c>
      <c r="DU128" s="59">
        <f t="shared" si="98"/>
        <v>218.1982095871906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11.655394400198123</v>
      </c>
      <c r="EB128" s="21">
        <f>EXP(-LN(2)/25)*EB127+(1-EXP(-LN(2)/25))/(LN(2)/25)*Calculateur!DW128*Calculateur!DY128*VLOOKUP('Données projet'!$B$14,Paramètres!$A$1:$I$89,3,0)*0.475*44/12</f>
        <v>7.2716688358623411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18.927063236060462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>
        <f>VLOOKUP(A128,'Données projet'!$A$191:$I$211,2,0)</f>
        <v>278.29487179487177</v>
      </c>
      <c r="EH128" s="12">
        <f>VLOOKUP(A128,'Données projet'!$A$191:$I$211,9,0)</f>
        <v>5.3066239316239274</v>
      </c>
      <c r="EI128" s="12">
        <f t="array" ref="EI128">INDEX(EH:EH,MIN(IF(ISNUMBER(EH128:EH324),ROW(EH128:EH324),"")))</f>
        <v>5.3066239316239274</v>
      </c>
      <c r="EJ128" s="12">
        <f>IF('Données projet'!$A$192&gt;35,EJ127+EI128-ER127,IF(A128&lt;'Données projet'!$A$192,$EG$205^A128,IF(A128='Données projet'!$A$192,'Données projet'!$B$192,EJ127+EI128-ER127)))</f>
        <v>278.29487179487131</v>
      </c>
      <c r="EK128" s="17">
        <f>EJ128*VLOOKUP('Données projet'!$B$15,Paramètres!$A$1:$I$89,3,0)*VLOOKUP('Données projet'!$B$15,Paramètres!$A$1:$I$89,5,0)</f>
        <v>251.80119999999957</v>
      </c>
      <c r="EL128" s="13">
        <f t="shared" si="99"/>
        <v>60.971479423668242</v>
      </c>
      <c r="EM128" s="20">
        <f t="shared" si="73"/>
        <v>544.74574999622132</v>
      </c>
      <c r="EN128" s="59">
        <f t="shared" si="74"/>
        <v>838.07908332955458</v>
      </c>
      <c r="EO128" s="59">
        <f ca="1">AVERAGE(OFFSET($EN$3,0,0,'Données projet'!$E$15+1,1))-AVERAGE(OFFSET($H$3,0,0,'Données projet'!$E$15+1,1))</f>
        <v>204.39656982394689</v>
      </c>
      <c r="EP128" s="59">
        <f t="shared" si="100"/>
        <v>134.95704640904546</v>
      </c>
      <c r="EQ128" s="15">
        <f>IF(ISNA(VLOOKUP(A128,'Données projet'!$A$191:$I$211,3,0)),0,VLOOKUP(A128,'Données projet'!$A$191:$I$211,3,0))</f>
        <v>10</v>
      </c>
      <c r="ER128" s="15">
        <f>IF(ISNA(VLOOKUP(A128,'Données projet'!$A$191:$I$211,4,0)),0,VLOOKUP(A128,'Données projet'!$A$191:$I$211,4,0))</f>
        <v>48.160256410256409</v>
      </c>
      <c r="ES128" s="16">
        <f>IF(ISNA(VLOOKUP(A128,'Données projet'!$A$191:$I$211,5,0)),0%,VLOOKUP(A128,'Données projet'!$A$191:$I$211,5,0)*VLOOKUP('Données projet'!$B$15,Paramètres!$A$1:$I$89,7,0))</f>
        <v>0.30099999999999999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42.64944970371053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42.64944970371053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5.3167735042735034</v>
      </c>
      <c r="FE128" s="12">
        <f>IF('Données projet'!$A$218&gt;35,FE127+FD128-FM127,IF(A128&lt;'Données projet'!$A$218,$FB$205^A128,IF(A128='Données projet'!$A$218,'Données projet'!$B$218,FE127+FD128-FM127)))</f>
        <v>260.95085470085502</v>
      </c>
      <c r="FF128" s="17">
        <f>FE128*VLOOKUP('Données projet'!$B$16,Paramètres!$A$1:$I$89,3,0)*VLOOKUP('Données projet'!$B$16,Paramètres!$A$1:$I$89,5,0)</f>
        <v>223.89583333333363</v>
      </c>
      <c r="FG128" s="13">
        <f t="shared" si="101"/>
        <v>54.960758872987199</v>
      </c>
      <c r="FH128" s="20">
        <f t="shared" si="76"/>
        <v>485.67523142600879</v>
      </c>
      <c r="FI128" s="59">
        <f t="shared" si="77"/>
        <v>779.00856475934211</v>
      </c>
      <c r="FJ128" s="59">
        <f ca="1">AVERAGE(OFFSET($FI$3,0,0,'Données projet'!$E$16+1,1))-AVERAGE(OFFSET($H$3,0,0,'Données projet'!$E$16+1,1))</f>
        <v>199.60585215726968</v>
      </c>
      <c r="FK128" s="59">
        <f t="shared" si="102"/>
        <v>137.37366750114404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23.285446418174136</v>
      </c>
      <c r="FR128" s="21">
        <f>EXP(-LN(2)/25)*FR127+(1-EXP(-LN(2)/25))/(LN(2)/25)*Calculateur!FM128*Calculateur!FO128*VLOOKUP('Données projet'!$B$16,Paramètres!$A$1:$I$89,3,0)*0.475*44/12</f>
        <v>21.5784392498743</v>
      </c>
      <c r="FS128" s="21">
        <f>EXP(-LN(2)/2)*FS127+(1-EXP(-LN(2)/2))/(LN(2)/2)*FM128*FP128*VLOOKUP('Données projet'!$B$16,Paramètres!$A$1:$I$89,3,0)*0.475*44/12</f>
        <v>0.54219982094868435</v>
      </c>
      <c r="FT128" s="22">
        <f t="shared" si="78"/>
        <v>45.406085488997121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4.9084615384615375</v>
      </c>
      <c r="N129" s="13">
        <f>IF('Données projet'!$A$36&gt;35,N128+M129-V128,IF(A129&lt;'Données projet'!$A$36,$K$205^A129,IF(A129='Données projet'!$A$36,'Données projet'!$B$36,N128+M129-V128)))</f>
        <v>235.07307692307796</v>
      </c>
      <c r="O129" s="13">
        <f>N129*VLOOKUP('Données projet'!$B$9,Paramètres!$A$1:$I$89,3,0)*VLOOKUP('Données projet'!$B$9,Paramètres!$A$1:$I$89,5,0)</f>
        <v>110.01420000000049</v>
      </c>
      <c r="P129" s="13">
        <f t="shared" si="87"/>
        <v>29.334330178180249</v>
      </c>
      <c r="Q129" s="20">
        <f t="shared" si="107"/>
        <v>242.69869006033142</v>
      </c>
      <c r="R129" s="59">
        <f t="shared" si="55"/>
        <v>536.03202339366476</v>
      </c>
      <c r="S129" s="59">
        <f ca="1">AVERAGE(OFFSET($R$3,0,0,'Données projet'!$E$9+1,1))-AVERAGE(OFFSET($H$3,0,0,'Données projet'!$E$9+1,1))</f>
        <v>164.93438869099657</v>
      </c>
      <c r="T129" s="59">
        <f t="shared" si="88"/>
        <v>112.28641356594233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92.443915348612521</v>
      </c>
      <c r="AA129" s="21">
        <f>EXP(-LN(2)/25)*AA128+(1-EXP(-LN(2)/25))/(LN(2)/25)*Calculateur!V129*Calculateur!X129*VLOOKUP('Données projet'!$B$9,Paramètres!$A$1:$I$89,3,0)*0.475*44/12</f>
        <v>22.950689132895302</v>
      </c>
      <c r="AB129" s="21">
        <f>EXP(-LN(2)/2)*AB128+(1-EXP(-LN(2)/2))/(LN(2)/2)*V129*Y129*VLOOKUP('Données projet'!$B$9,Paramètres!$A$1:$I$89,3,0)*0.475*44/12</f>
        <v>2.5762515411695284</v>
      </c>
      <c r="AC129" s="22">
        <f t="shared" si="57"/>
        <v>117.97085602267735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273.81843612193632</v>
      </c>
      <c r="AO129" s="59">
        <f t="shared" si="90"/>
        <v>241.86405419073208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-6.3550942286383367E-14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271.42245454555501</v>
      </c>
      <c r="BJ129" s="59">
        <f t="shared" si="92"/>
        <v>362.63944425429077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55.553118708112045</v>
      </c>
      <c r="BQ129" s="21">
        <f>EXP(-LN(2)/25)*BQ128+(1-EXP(-LN(2)/25))/(LN(2)/25)*Calculateur!BL129*Calculateur!BN129*VLOOKUP('Données projet'!$B$11,Paramètres!$A$1:$I$89,3,0)*0.475*44/12</f>
        <v>8.0455400439944711</v>
      </c>
      <c r="BR129" s="21">
        <f>EXP(-LN(2)/2)*BR128+(1-EXP(-LN(2)/2))/(LN(2)/2)*BL129*BO129*VLOOKUP('Données projet'!$B$11,Paramètres!$A$1:$I$89,3,0)*0.475*44/12</f>
        <v>7.030230980448858E-10</v>
      </c>
      <c r="BS129" s="22">
        <f t="shared" si="63"/>
        <v>63.598658752809541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-3.1036506698001178E-14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154.35821558431712</v>
      </c>
      <c r="CE129" s="59">
        <f t="shared" si="94"/>
        <v>263.86720460501306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12.281243985047047</v>
      </c>
      <c r="CL129" s="21">
        <f>EXP(-LN(2)/25)*CL128+(1-EXP(-LN(2)/25))/(LN(2)/25)*Calculateur!CG129*Calculateur!CI129*VLOOKUP('Données projet'!$B$12,Paramètres!$A$1:$I$89,3,0)*0.475*44/12</f>
        <v>13.814280142517918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26.095524127564964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213</v>
      </c>
      <c r="CU129" s="17">
        <f>CT129*VLOOKUP('Données projet'!$B$13,Paramètres!$A$1:$I$89,3,0)*VLOOKUP('Données projet'!$B$13,Paramètres!$A$1:$I$89,5,0)</f>
        <v>169.46279999999999</v>
      </c>
      <c r="CV129" s="13">
        <f t="shared" si="95"/>
        <v>42.969686502194378</v>
      </c>
      <c r="CW129" s="20">
        <f t="shared" si="67"/>
        <v>369.9865806579885</v>
      </c>
      <c r="CX129" s="59">
        <f t="shared" si="68"/>
        <v>663.31991399132176</v>
      </c>
      <c r="CY129" s="59">
        <f ca="1">AVERAGE(OFFSET($CX$3,0,0,'Données projet'!$E$13+1,1))-AVERAGE(OFFSET($H$3,0,0,'Données projet'!$E$13+1,1))</f>
        <v>157.25319335691853</v>
      </c>
      <c r="CZ129" s="59">
        <f t="shared" si="96"/>
        <v>159.50903492442171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4.5359272709136524</v>
      </c>
      <c r="DG129" s="21">
        <f>EXP(-LN(2)/25)*DG128+(1-EXP(-LN(2)/25))/(LN(2)/25)*Calculateur!DB129*Calculateur!DD129*VLOOKUP('Données projet'!$B$13,Paramètres!$A$1:$I$89,3,0)*0.475*44/12</f>
        <v>2.4406656958051078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6.9765929667187603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227.99999999999994</v>
      </c>
      <c r="DP129" s="17">
        <f>DO129*VLOOKUP('Données projet'!$B$14,Paramètres!$A$1:$I$89,3,0)*VLOOKUP('Données projet'!$B$14,Paramètres!$A$1:$I$89,5,0)</f>
        <v>199.18079999999998</v>
      </c>
      <c r="DQ129" s="13">
        <f t="shared" si="97"/>
        <v>49.564089376413683</v>
      </c>
      <c r="DR129" s="20">
        <f t="shared" si="70"/>
        <v>433.23068233058711</v>
      </c>
      <c r="DS129" s="59">
        <f t="shared" si="71"/>
        <v>726.56401566392037</v>
      </c>
      <c r="DT129" s="59">
        <f ca="1">AVERAGE(OFFSET($DS$3,0,0,'Données projet'!$E$14+1,1))-AVERAGE(OFFSET($H$3,0,0,'Données projet'!$E$14+1,1))</f>
        <v>229.5312221178919</v>
      </c>
      <c r="DU129" s="59">
        <f t="shared" si="98"/>
        <v>218.1982095871906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11.426839225098858</v>
      </c>
      <c r="EB129" s="21">
        <f>EXP(-LN(2)/25)*EB128+(1-EXP(-LN(2)/25))/(LN(2)/25)*Calculateur!DW129*Calculateur!DY129*VLOOKUP('Données projet'!$B$14,Paramètres!$A$1:$I$89,3,0)*0.475*44/12</f>
        <v>7.0728246691452412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18.499663894244101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5.2446581196581219</v>
      </c>
      <c r="EJ129" s="12">
        <f>IF('Données projet'!$A$192&gt;35,EJ128+EI129-ER128,IF(A129&lt;'Données projet'!$A$192,$EG$205^A129,IF(A129='Données projet'!$A$192,'Données projet'!$B$192,EJ128+EI129-ER128)))</f>
        <v>235.37927350427304</v>
      </c>
      <c r="EK129" s="17">
        <f>EJ129*VLOOKUP('Données projet'!$B$15,Paramètres!$A$1:$I$89,3,0)*VLOOKUP('Données projet'!$B$15,Paramètres!$A$1:$I$89,5,0)</f>
        <v>212.97116666666628</v>
      </c>
      <c r="EL129" s="13">
        <f t="shared" si="99"/>
        <v>52.584328525271125</v>
      </c>
      <c r="EM129" s="20">
        <f t="shared" si="73"/>
        <v>462.50915412595759</v>
      </c>
      <c r="EN129" s="59">
        <f t="shared" si="74"/>
        <v>755.84248745929085</v>
      </c>
      <c r="EO129" s="59">
        <f ca="1">AVERAGE(OFFSET($EN$3,0,0,'Données projet'!$E$15+1,1))-AVERAGE(OFFSET($H$3,0,0,'Données projet'!$E$15+1,1))</f>
        <v>204.39656982394689</v>
      </c>
      <c r="EP129" s="59">
        <f t="shared" si="100"/>
        <v>134.95704640904546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41.813120008616458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41.813120008616458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5.3167735042735034</v>
      </c>
      <c r="FE129" s="12">
        <f>IF('Données projet'!$A$218&gt;35,FE128+FD129-FM128,IF(A129&lt;'Données projet'!$A$218,$FB$205^A129,IF(A129='Données projet'!$A$218,'Données projet'!$B$218,FE128+FD129-FM128)))</f>
        <v>266.26762820512852</v>
      </c>
      <c r="FF129" s="17">
        <f>FE129*VLOOKUP('Données projet'!$B$16,Paramètres!$A$1:$I$89,3,0)*VLOOKUP('Données projet'!$B$16,Paramètres!$A$1:$I$89,5,0)</f>
        <v>228.45762500000026</v>
      </c>
      <c r="FG129" s="13">
        <f t="shared" si="101"/>
        <v>55.949053509368802</v>
      </c>
      <c r="FH129" s="20">
        <f t="shared" si="76"/>
        <v>495.34163173715098</v>
      </c>
      <c r="FI129" s="59">
        <f t="shared" si="77"/>
        <v>788.67496507048429</v>
      </c>
      <c r="FJ129" s="59">
        <f ca="1">AVERAGE(OFFSET($FI$3,0,0,'Données projet'!$E$16+1,1))-AVERAGE(OFFSET($H$3,0,0,'Données projet'!$E$16+1,1))</f>
        <v>199.60585215726968</v>
      </c>
      <c r="FK129" s="59">
        <f t="shared" si="102"/>
        <v>137.37366750114404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22.828833016633652</v>
      </c>
      <c r="FR129" s="21">
        <f>EXP(-LN(2)/25)*FR128+(1-EXP(-LN(2)/25))/(LN(2)/25)*Calculateur!FM129*Calculateur!FO129*VLOOKUP('Données projet'!$B$16,Paramètres!$A$1:$I$89,3,0)*0.475*44/12</f>
        <v>20.988375693825684</v>
      </c>
      <c r="FS129" s="21">
        <f>EXP(-LN(2)/2)*FS128+(1-EXP(-LN(2)/2))/(LN(2)/2)*FM129*FP129*VLOOKUP('Données projet'!$B$16,Paramètres!$A$1:$I$89,3,0)*0.475*44/12</f>
        <v>0.38339317015094659</v>
      </c>
      <c r="FT129" s="22">
        <f t="shared" si="78"/>
        <v>44.200601880610286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4.9084615384615375</v>
      </c>
      <c r="N130" s="13">
        <f>IF('Données projet'!$A$36&gt;35,N129+M130-V129,IF(A130&lt;'Données projet'!$A$36,$K$205^A130,IF(A130='Données projet'!$A$36,'Données projet'!$B$36,N129+M130-V129)))</f>
        <v>239.98153846153951</v>
      </c>
      <c r="O130" s="13">
        <f>N130*VLOOKUP('Données projet'!$B$9,Paramètres!$A$1:$I$89,3,0)*VLOOKUP('Données projet'!$B$9,Paramètres!$A$1:$I$89,5,0)</f>
        <v>112.31136000000051</v>
      </c>
      <c r="P130" s="13">
        <f t="shared" si="87"/>
        <v>29.874898196104638</v>
      </c>
      <c r="Q130" s="20">
        <f t="shared" si="107"/>
        <v>247.64106635821645</v>
      </c>
      <c r="R130" s="59">
        <f t="shared" si="55"/>
        <v>540.97439969154971</v>
      </c>
      <c r="S130" s="59">
        <f ca="1">AVERAGE(OFFSET($R$3,0,0,'Données projet'!$E$9+1,1))-AVERAGE(OFFSET($H$3,0,0,'Données projet'!$E$9+1,1))</f>
        <v>164.93438869099657</v>
      </c>
      <c r="T130" s="59">
        <f t="shared" si="88"/>
        <v>112.28641356594233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90.631146553847017</v>
      </c>
      <c r="AA130" s="21">
        <f>EXP(-LN(2)/25)*AA129+(1-EXP(-LN(2)/25))/(LN(2)/25)*Calculateur!V130*Calculateur!X130*VLOOKUP('Données projet'!$B$9,Paramètres!$A$1:$I$89,3,0)*0.475*44/12</f>
        <v>22.323101331631992</v>
      </c>
      <c r="AB130" s="21">
        <f>EXP(-LN(2)/2)*AB129+(1-EXP(-LN(2)/2))/(LN(2)/2)*V130*Y130*VLOOKUP('Données projet'!$B$9,Paramètres!$A$1:$I$89,3,0)*0.475*44/12</f>
        <v>1.8216849348032675</v>
      </c>
      <c r="AC130" s="22">
        <f t="shared" si="57"/>
        <v>114.77593282028228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273.81843612193632</v>
      </c>
      <c r="AO130" s="59">
        <f t="shared" si="90"/>
        <v>241.86405419073208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-6.3550942286383367E-14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271.42245454555501</v>
      </c>
      <c r="BJ130" s="59">
        <f t="shared" si="92"/>
        <v>362.63944425429077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54.463755934302604</v>
      </c>
      <c r="BQ130" s="21">
        <f>EXP(-LN(2)/25)*BQ129+(1-EXP(-LN(2)/25))/(LN(2)/25)*Calculateur!BL130*Calculateur!BN130*VLOOKUP('Données projet'!$B$11,Paramètres!$A$1:$I$89,3,0)*0.475*44/12</f>
        <v>7.8255343283948795</v>
      </c>
      <c r="BR130" s="21">
        <f>EXP(-LN(2)/2)*BR129+(1-EXP(-LN(2)/2))/(LN(2)/2)*BL130*BO130*VLOOKUP('Données projet'!$B$11,Paramètres!$A$1:$I$89,3,0)*0.475*44/12</f>
        <v>4.9711239995831381E-10</v>
      </c>
      <c r="BS130" s="22">
        <f t="shared" si="63"/>
        <v>62.289290263194594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-3.1036506698001178E-14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154.35821558431712</v>
      </c>
      <c r="CE130" s="59">
        <f t="shared" si="94"/>
        <v>263.86720460501306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12.040416281319448</v>
      </c>
      <c r="CL130" s="21">
        <f>EXP(-LN(2)/25)*CL129+(1-EXP(-LN(2)/25))/(LN(2)/25)*Calculateur!CG130*Calculateur!CI130*VLOOKUP('Données projet'!$B$12,Paramètres!$A$1:$I$89,3,0)*0.475*44/12</f>
        <v>13.436527925559345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25.476944206878791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213</v>
      </c>
      <c r="CU130" s="17">
        <f>CT130*VLOOKUP('Données projet'!$B$13,Paramètres!$A$1:$I$89,3,0)*VLOOKUP('Données projet'!$B$13,Paramètres!$A$1:$I$89,5,0)</f>
        <v>169.46279999999999</v>
      </c>
      <c r="CV130" s="13">
        <f t="shared" si="95"/>
        <v>42.969686502194378</v>
      </c>
      <c r="CW130" s="20">
        <f t="shared" si="67"/>
        <v>369.9865806579885</v>
      </c>
      <c r="CX130" s="59">
        <f t="shared" si="68"/>
        <v>663.31991399132176</v>
      </c>
      <c r="CY130" s="59">
        <f ca="1">AVERAGE(OFFSET($CX$3,0,0,'Données projet'!$E$13+1,1))-AVERAGE(OFFSET($H$3,0,0,'Données projet'!$E$13+1,1))</f>
        <v>157.25319335691853</v>
      </c>
      <c r="CZ130" s="59">
        <f t="shared" si="96"/>
        <v>159.50903492442171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4.4469805037734877</v>
      </c>
      <c r="DG130" s="21">
        <f>EXP(-LN(2)/25)*DG129+(1-EXP(-LN(2)/25))/(LN(2)/25)*Calculateur!DB130*Calculateur!DD130*VLOOKUP('Données projet'!$B$13,Paramètres!$A$1:$I$89,3,0)*0.475*44/12</f>
        <v>2.3739255640042862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6.8209060677777735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227.99999999999994</v>
      </c>
      <c r="DP130" s="17">
        <f>DO130*VLOOKUP('Données projet'!$B$14,Paramètres!$A$1:$I$89,3,0)*VLOOKUP('Données projet'!$B$14,Paramètres!$A$1:$I$89,5,0)</f>
        <v>199.18079999999998</v>
      </c>
      <c r="DQ130" s="13">
        <f t="shared" si="97"/>
        <v>49.564089376413683</v>
      </c>
      <c r="DR130" s="20">
        <f t="shared" si="70"/>
        <v>433.23068233058711</v>
      </c>
      <c r="DS130" s="59">
        <f t="shared" si="71"/>
        <v>726.56401566392037</v>
      </c>
      <c r="DT130" s="59">
        <f ca="1">AVERAGE(OFFSET($DS$3,0,0,'Données projet'!$E$14+1,1))-AVERAGE(OFFSET($H$3,0,0,'Données projet'!$E$14+1,1))</f>
        <v>229.5312221178919</v>
      </c>
      <c r="DU130" s="59">
        <f t="shared" si="98"/>
        <v>218.1982095871906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11.202765877578397</v>
      </c>
      <c r="EB130" s="21">
        <f>EXP(-LN(2)/25)*EB129+(1-EXP(-LN(2)/25))/(LN(2)/25)*Calculateur!DW130*Calculateur!DY130*VLOOKUP('Données projet'!$B$14,Paramètres!$A$1:$I$89,3,0)*0.475*44/12</f>
        <v>6.8794179066237806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18.082183784202179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5.2446581196581219</v>
      </c>
      <c r="EJ130" s="12">
        <f>IF('Données projet'!$A$192&gt;35,EJ129+EI130-ER129,IF(A130&lt;'Données projet'!$A$192,$EG$205^A130,IF(A130='Données projet'!$A$192,'Données projet'!$B$192,EJ129+EI130-ER129)))</f>
        <v>240.62393162393116</v>
      </c>
      <c r="EK130" s="17">
        <f>EJ130*VLOOKUP('Données projet'!$B$15,Paramètres!$A$1:$I$89,3,0)*VLOOKUP('Données projet'!$B$15,Paramètres!$A$1:$I$89,5,0)</f>
        <v>217.7165333333329</v>
      </c>
      <c r="EL130" s="13">
        <f t="shared" si="99"/>
        <v>53.618284552972121</v>
      </c>
      <c r="EM130" s="20">
        <f t="shared" si="73"/>
        <v>472.57480781864791</v>
      </c>
      <c r="EN130" s="59">
        <f t="shared" si="74"/>
        <v>765.90814115198123</v>
      </c>
      <c r="EO130" s="59">
        <f ca="1">AVERAGE(OFFSET($EN$3,0,0,'Données projet'!$E$15+1,1))-AVERAGE(OFFSET($H$3,0,0,'Données projet'!$E$15+1,1))</f>
        <v>204.39656982394689</v>
      </c>
      <c r="EP130" s="59">
        <f t="shared" si="100"/>
        <v>134.95704640904546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40.993190228732438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40.993190228732438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5.3167735042735034</v>
      </c>
      <c r="FE130" s="12">
        <f>IF('Données projet'!$A$218&gt;35,FE129+FD130-FM129,IF(A130&lt;'Données projet'!$A$218,$FB$205^A130,IF(A130='Données projet'!$A$218,'Données projet'!$B$218,FE129+FD130-FM129)))</f>
        <v>271.58440170940202</v>
      </c>
      <c r="FF130" s="17">
        <f>FE130*VLOOKUP('Données projet'!$B$16,Paramètres!$A$1:$I$89,3,0)*VLOOKUP('Données projet'!$B$16,Paramètres!$A$1:$I$89,5,0)</f>
        <v>233.01941666666698</v>
      </c>
      <c r="FG130" s="13">
        <f t="shared" si="101"/>
        <v>56.935053608514373</v>
      </c>
      <c r="FH130" s="20">
        <f t="shared" si="76"/>
        <v>505.00403572927416</v>
      </c>
      <c r="FI130" s="59">
        <f t="shared" si="77"/>
        <v>798.33736906260742</v>
      </c>
      <c r="FJ130" s="59">
        <f ca="1">AVERAGE(OFFSET($FI$3,0,0,'Données projet'!$E$16+1,1))-AVERAGE(OFFSET($H$3,0,0,'Données projet'!$E$16+1,1))</f>
        <v>199.60585215726968</v>
      </c>
      <c r="FK130" s="59">
        <f t="shared" si="102"/>
        <v>137.37366750114404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22.381173525390704</v>
      </c>
      <c r="FR130" s="21">
        <f>EXP(-LN(2)/25)*FR129+(1-EXP(-LN(2)/25))/(LN(2)/25)*Calculateur!FM130*Calculateur!FO130*VLOOKUP('Données projet'!$B$16,Paramètres!$A$1:$I$89,3,0)*0.475*44/12</f>
        <v>20.414447456747315</v>
      </c>
      <c r="FS130" s="21">
        <f>EXP(-LN(2)/2)*FS129+(1-EXP(-LN(2)/2))/(LN(2)/2)*FM130*FP130*VLOOKUP('Données projet'!$B$16,Paramètres!$A$1:$I$89,3,0)*0.475*44/12</f>
        <v>0.27109991047434218</v>
      </c>
      <c r="FT130" s="22">
        <f t="shared" si="78"/>
        <v>43.066720892612359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4.9084615384615375</v>
      </c>
      <c r="N131" s="13">
        <f>IF('Données projet'!$A$36&gt;35,N130+M131-V130,IF(A131&lt;'Données projet'!$A$36,$K$205^A131,IF(A131='Données projet'!$A$36,'Données projet'!$B$36,N130+M131-V130)))</f>
        <v>244.89000000000107</v>
      </c>
      <c r="O131" s="13">
        <f>N131*VLOOKUP('Données projet'!$B$9,Paramètres!$A$1:$I$89,3,0)*VLOOKUP('Données projet'!$B$9,Paramètres!$A$1:$I$89,5,0)</f>
        <v>114.6085200000005</v>
      </c>
      <c r="P131" s="13">
        <f t="shared" si="87"/>
        <v>30.414180672775728</v>
      </c>
      <c r="Q131" s="20">
        <f t="shared" ref="Q131:Q153" si="108">(O131+P131)*0.475*44/12</f>
        <v>252.58120367175192</v>
      </c>
      <c r="R131" s="59">
        <f t="shared" ref="R131:R194" si="109">Q131+(I131+J131)*44/12</f>
        <v>545.91453700508521</v>
      </c>
      <c r="S131" s="59">
        <f ca="1">AVERAGE(OFFSET($R$3,0,0,'Données projet'!$E$9+1,1))-AVERAGE(OFFSET($H$3,0,0,'Données projet'!$E$9+1,1))</f>
        <v>164.93438869099657</v>
      </c>
      <c r="T131" s="59">
        <f t="shared" si="88"/>
        <v>112.28641356594233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88.85392504946708</v>
      </c>
      <c r="AA131" s="21">
        <f>EXP(-LN(2)/25)*AA130+(1-EXP(-LN(2)/25))/(LN(2)/25)*Calculateur!V131*Calculateur!X131*VLOOKUP('Données projet'!$B$9,Paramètres!$A$1:$I$89,3,0)*0.475*44/12</f>
        <v>21.712674951797638</v>
      </c>
      <c r="AB131" s="21">
        <f>EXP(-LN(2)/2)*AB130+(1-EXP(-LN(2)/2))/(LN(2)/2)*V131*Y131*VLOOKUP('Données projet'!$B$9,Paramètres!$A$1:$I$89,3,0)*0.475*44/12</f>
        <v>1.2881257705847642</v>
      </c>
      <c r="AC131" s="22">
        <f t="shared" si="57"/>
        <v>111.85472577184949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273.81843612193632</v>
      </c>
      <c r="AO131" s="59">
        <f t="shared" si="90"/>
        <v>241.86405419073208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-6.3550942286383367E-14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271.42245454555501</v>
      </c>
      <c r="BJ131" s="59">
        <f t="shared" si="92"/>
        <v>362.63944425429077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53.395754900041887</v>
      </c>
      <c r="BQ131" s="21">
        <f>EXP(-LN(2)/25)*BQ130+(1-EXP(-LN(2)/25))/(LN(2)/25)*Calculateur!BL131*Calculateur!BN131*VLOOKUP('Données projet'!$B$11,Paramètres!$A$1:$I$89,3,0)*0.475*44/12</f>
        <v>7.611544680657957</v>
      </c>
      <c r="BR131" s="21">
        <f>EXP(-LN(2)/2)*BR130+(1-EXP(-LN(2)/2))/(LN(2)/2)*BL131*BO131*VLOOKUP('Données projet'!$B$11,Paramètres!$A$1:$I$89,3,0)*0.475*44/12</f>
        <v>3.515115490224429E-10</v>
      </c>
      <c r="BS131" s="22">
        <f t="shared" si="63"/>
        <v>61.007299581051356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-3.1036506698001178E-14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154.35821558431712</v>
      </c>
      <c r="CE131" s="59">
        <f t="shared" si="94"/>
        <v>263.86720460501306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11.804311061971553</v>
      </c>
      <c r="CL131" s="21">
        <f>EXP(-LN(2)/25)*CL130+(1-EXP(-LN(2)/25))/(LN(2)/25)*Calculateur!CG131*Calculateur!CI131*VLOOKUP('Données projet'!$B$12,Paramètres!$A$1:$I$89,3,0)*0.475*44/12</f>
        <v>13.069105362838631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24.873416424810184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213</v>
      </c>
      <c r="CU131" s="17">
        <f>CT131*VLOOKUP('Données projet'!$B$13,Paramètres!$A$1:$I$89,3,0)*VLOOKUP('Données projet'!$B$13,Paramètres!$A$1:$I$89,5,0)</f>
        <v>169.46279999999999</v>
      </c>
      <c r="CV131" s="13">
        <f t="shared" si="95"/>
        <v>42.969686502194378</v>
      </c>
      <c r="CW131" s="20">
        <f t="shared" si="67"/>
        <v>369.9865806579885</v>
      </c>
      <c r="CX131" s="59">
        <f t="shared" si="68"/>
        <v>663.31991399132176</v>
      </c>
      <c r="CY131" s="59">
        <f ca="1">AVERAGE(OFFSET($CX$3,0,0,'Données projet'!$E$13+1,1))-AVERAGE(OFFSET($H$3,0,0,'Données projet'!$E$13+1,1))</f>
        <v>157.25319335691853</v>
      </c>
      <c r="CZ131" s="59">
        <f t="shared" si="96"/>
        <v>159.50903492442171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4.3597779284847711</v>
      </c>
      <c r="DG131" s="21">
        <f>EXP(-LN(2)/25)*DG130+(1-EXP(-LN(2)/25))/(LN(2)/25)*Calculateur!DB131*Calculateur!DD131*VLOOKUP('Données projet'!$B$13,Paramètres!$A$1:$I$89,3,0)*0.475*44/12</f>
        <v>2.3090104446172695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6.668788373102041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227.99999999999994</v>
      </c>
      <c r="DP131" s="17">
        <f>DO131*VLOOKUP('Données projet'!$B$14,Paramètres!$A$1:$I$89,3,0)*VLOOKUP('Données projet'!$B$14,Paramètres!$A$1:$I$89,5,0)</f>
        <v>199.18079999999998</v>
      </c>
      <c r="DQ131" s="13">
        <f t="shared" si="97"/>
        <v>49.564089376413683</v>
      </c>
      <c r="DR131" s="20">
        <f t="shared" si="70"/>
        <v>433.23068233058711</v>
      </c>
      <c r="DS131" s="59">
        <f t="shared" si="71"/>
        <v>726.56401566392037</v>
      </c>
      <c r="DT131" s="59">
        <f ca="1">AVERAGE(OFFSET($DS$3,0,0,'Données projet'!$E$14+1,1))-AVERAGE(OFFSET($H$3,0,0,'Données projet'!$E$14+1,1))</f>
        <v>229.5312221178919</v>
      </c>
      <c r="DU131" s="59">
        <f t="shared" si="98"/>
        <v>218.1982095871906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10.983086471731566</v>
      </c>
      <c r="EB131" s="21">
        <f>EXP(-LN(2)/25)*EB130+(1-EXP(-LN(2)/25))/(LN(2)/25)*Calculateur!DW131*Calculateur!DY131*VLOOKUP('Données projet'!$B$14,Paramètres!$A$1:$I$89,3,0)*0.475*44/12</f>
        <v>6.6912998621942892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17.674386333925856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5.2446581196581219</v>
      </c>
      <c r="EJ131" s="12">
        <f>IF('Données projet'!$A$192&gt;35,EJ130+EI131-ER130,IF(A131&lt;'Données projet'!$A$192,$EG$205^A131,IF(A131='Données projet'!$A$192,'Données projet'!$B$192,EJ130+EI131-ER130)))</f>
        <v>245.86858974358927</v>
      </c>
      <c r="EK131" s="17">
        <f>EJ131*VLOOKUP('Données projet'!$B$15,Paramètres!$A$1:$I$89,3,0)*VLOOKUP('Données projet'!$B$15,Paramètres!$A$1:$I$89,5,0)</f>
        <v>222.46189999999956</v>
      </c>
      <c r="EL131" s="13">
        <f t="shared" si="99"/>
        <v>54.649620474067063</v>
      </c>
      <c r="EM131" s="20">
        <f t="shared" si="73"/>
        <v>482.6358981589994</v>
      </c>
      <c r="EN131" s="59">
        <f t="shared" si="74"/>
        <v>775.96923149233271</v>
      </c>
      <c r="EO131" s="59">
        <f ca="1">AVERAGE(OFFSET($EN$3,0,0,'Données projet'!$E$15+1,1))-AVERAGE(OFFSET($H$3,0,0,'Données projet'!$E$15+1,1))</f>
        <v>204.39656982394689</v>
      </c>
      <c r="EP131" s="59">
        <f t="shared" si="100"/>
        <v>134.95704640904546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40.189338771724152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40.189338771724152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5.3167735042735034</v>
      </c>
      <c r="FE131" s="12">
        <f>IF('Données projet'!$A$218&gt;35,FE130+FD131-FM130,IF(A131&lt;'Données projet'!$A$218,$FB$205^A131,IF(A131='Données projet'!$A$218,'Données projet'!$B$218,FE130+FD131-FM130)))</f>
        <v>276.90117521367551</v>
      </c>
      <c r="FF131" s="17">
        <f>FE131*VLOOKUP('Données projet'!$B$16,Paramètres!$A$1:$I$89,3,0)*VLOOKUP('Données projet'!$B$16,Paramètres!$A$1:$I$89,5,0)</f>
        <v>237.58120833333365</v>
      </c>
      <c r="FG131" s="13">
        <f t="shared" si="101"/>
        <v>57.91880926832436</v>
      </c>
      <c r="FH131" s="20">
        <f t="shared" si="76"/>
        <v>514.66253065622095</v>
      </c>
      <c r="FI131" s="59">
        <f t="shared" si="77"/>
        <v>807.99586398955421</v>
      </c>
      <c r="FJ131" s="59">
        <f ca="1">AVERAGE(OFFSET($FI$3,0,0,'Données projet'!$E$16+1,1))-AVERAGE(OFFSET($H$3,0,0,'Données projet'!$E$16+1,1))</f>
        <v>199.60585215726968</v>
      </c>
      <c r="FK131" s="59">
        <f t="shared" si="102"/>
        <v>137.37366750114404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21.942292363725702</v>
      </c>
      <c r="FR131" s="21">
        <f>EXP(-LN(2)/25)*FR130+(1-EXP(-LN(2)/25))/(LN(2)/25)*Calculateur!FM131*Calculateur!FO131*VLOOKUP('Données projet'!$B$16,Paramètres!$A$1:$I$89,3,0)*0.475*44/12</f>
        <v>19.856213317493424</v>
      </c>
      <c r="FS131" s="21">
        <f>EXP(-LN(2)/2)*FS130+(1-EXP(-LN(2)/2))/(LN(2)/2)*FM131*FP131*VLOOKUP('Données projet'!$B$16,Paramètres!$A$1:$I$89,3,0)*0.475*44/12</f>
        <v>0.1916965850754733</v>
      </c>
      <c r="FT131" s="22">
        <f t="shared" si="78"/>
        <v>41.990202266294602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4.9084615384615375</v>
      </c>
      <c r="N132" s="13">
        <f>IF('Données projet'!$A$36&gt;35,N131+M132-V131,IF(A132&lt;'Données projet'!$A$36,$K$205^A132,IF(A132='Données projet'!$A$36,'Données projet'!$B$36,N131+M132-V131)))</f>
        <v>249.79846153846262</v>
      </c>
      <c r="O132" s="13">
        <f>N132*VLOOKUP('Données projet'!$B$9,Paramètres!$A$1:$I$89,3,0)*VLOOKUP('Données projet'!$B$9,Paramètres!$A$1:$I$89,5,0)</f>
        <v>116.90568000000052</v>
      </c>
      <c r="P132" s="13">
        <f t="shared" si="87"/>
        <v>30.952206344593481</v>
      </c>
      <c r="Q132" s="20">
        <f t="shared" si="108"/>
        <v>257.51915205016786</v>
      </c>
      <c r="R132" s="59">
        <f t="shared" si="109"/>
        <v>550.85248538350118</v>
      </c>
      <c r="S132" s="59">
        <f ca="1">AVERAGE(OFFSET($R$3,0,0,'Données projet'!$E$9+1,1))-AVERAGE(OFFSET($H$3,0,0,'Données projet'!$E$9+1,1))</f>
        <v>164.93438869099657</v>
      </c>
      <c r="T132" s="59">
        <f t="shared" si="88"/>
        <v>112.28641356594233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87.11155377478994</v>
      </c>
      <c r="AA132" s="21">
        <f>EXP(-LN(2)/25)*AA131+(1-EXP(-LN(2)/25))/(LN(2)/25)*Calculateur!V132*Calculateur!X132*VLOOKUP('Données projet'!$B$9,Paramètres!$A$1:$I$89,3,0)*0.475*44/12</f>
        <v>21.11894071342078</v>
      </c>
      <c r="AB132" s="21">
        <f>EXP(-LN(2)/2)*AB131+(1-EXP(-LN(2)/2))/(LN(2)/2)*V132*Y132*VLOOKUP('Données projet'!$B$9,Paramètres!$A$1:$I$89,3,0)*0.475*44/12</f>
        <v>0.91084246740163377</v>
      </c>
      <c r="AC132" s="22">
        <f t="shared" ref="AC132:AC153" si="111">SUM(Z132:AB132)</f>
        <v>109.14133695561236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273.81843612193632</v>
      </c>
      <c r="AO132" s="59">
        <f t="shared" si="90"/>
        <v>241.86405419073208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-6.3550942286383367E-14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271.42245454555501</v>
      </c>
      <c r="BJ132" s="59">
        <f t="shared" si="92"/>
        <v>362.63944425429077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52.348696714646714</v>
      </c>
      <c r="BQ132" s="21">
        <f>EXP(-LN(2)/25)*BQ131+(1-EXP(-LN(2)/25))/(LN(2)/25)*Calculateur!BL132*Calculateur!BN132*VLOOKUP('Données projet'!$B$11,Paramètres!$A$1:$I$89,3,0)*0.475*44/12</f>
        <v>7.4034065910916267</v>
      </c>
      <c r="BR132" s="21">
        <f>EXP(-LN(2)/2)*BR131+(1-EXP(-LN(2)/2))/(LN(2)/2)*BL132*BO132*VLOOKUP('Données projet'!$B$11,Paramètres!$A$1:$I$89,3,0)*0.475*44/12</f>
        <v>2.4855619997915691E-10</v>
      </c>
      <c r="BS132" s="22">
        <f t="shared" ref="BS132:BS153" si="117">SUM(BP132:BR132)</f>
        <v>59.752103305986893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-3.1036506698001178E-14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154.35821558431712</v>
      </c>
      <c r="CE132" s="59">
        <f t="shared" si="94"/>
        <v>263.86720460501306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11.572835721965106</v>
      </c>
      <c r="CL132" s="21">
        <f>EXP(-LN(2)/25)*CL131+(1-EXP(-LN(2)/25))/(LN(2)/25)*Calculateur!CG132*Calculateur!CI132*VLOOKUP('Données projet'!$B$12,Paramètres!$A$1:$I$89,3,0)*0.475*44/12</f>
        <v>12.711729989417426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24.284565711382534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213</v>
      </c>
      <c r="CU132" s="17">
        <f>CT132*VLOOKUP('Données projet'!$B$13,Paramètres!$A$1:$I$89,3,0)*VLOOKUP('Données projet'!$B$13,Paramètres!$A$1:$I$89,5,0)</f>
        <v>169.46279999999999</v>
      </c>
      <c r="CV132" s="13">
        <f t="shared" si="95"/>
        <v>42.969686502194378</v>
      </c>
      <c r="CW132" s="20">
        <f t="shared" ref="CW132:CW153" si="121">(CU132+CV132)*0.475*44/12</f>
        <v>369.9865806579885</v>
      </c>
      <c r="CX132" s="59">
        <f t="shared" ref="CX132:CX195" si="122">CW132+(CO132+CP132)*44/12</f>
        <v>663.31991399132176</v>
      </c>
      <c r="CY132" s="59">
        <f ca="1">AVERAGE(OFFSET($CX$3,0,0,'Données projet'!$E$13+1,1))-AVERAGE(OFFSET($H$3,0,0,'Données projet'!$E$13+1,1))</f>
        <v>157.25319335691853</v>
      </c>
      <c r="CZ132" s="59">
        <f t="shared" si="96"/>
        <v>159.50903492442171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4.2742853425091463</v>
      </c>
      <c r="DG132" s="21">
        <f>EXP(-LN(2)/25)*DG131+(1-EXP(-LN(2)/25))/(LN(2)/25)*Calculateur!DB132*Calculateur!DD132*VLOOKUP('Données projet'!$B$13,Paramètres!$A$1:$I$89,3,0)*0.475*44/12</f>
        <v>2.2458704325836281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6.5201557750927748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227.99999999999994</v>
      </c>
      <c r="DP132" s="17">
        <f>DO132*VLOOKUP('Données projet'!$B$14,Paramètres!$A$1:$I$89,3,0)*VLOOKUP('Données projet'!$B$14,Paramètres!$A$1:$I$89,5,0)</f>
        <v>199.18079999999998</v>
      </c>
      <c r="DQ132" s="13">
        <f t="shared" si="97"/>
        <v>49.564089376413683</v>
      </c>
      <c r="DR132" s="20">
        <f t="shared" ref="DR132:DR153" si="124">(DP132+DQ132)*0.475*44/12</f>
        <v>433.23068233058711</v>
      </c>
      <c r="DS132" s="59">
        <f t="shared" ref="DS132:DS195" si="125">DR132+(DJ132+DK132)*44/12</f>
        <v>726.56401566392037</v>
      </c>
      <c r="DT132" s="59">
        <f ca="1">AVERAGE(OFFSET($DS$3,0,0,'Données projet'!$E$14+1,1))-AVERAGE(OFFSET($H$3,0,0,'Données projet'!$E$14+1,1))</f>
        <v>229.5312221178919</v>
      </c>
      <c r="DU132" s="59">
        <f t="shared" si="98"/>
        <v>218.1982095871906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10.767714845042184</v>
      </c>
      <c r="EB132" s="21">
        <f>EXP(-LN(2)/25)*EB131+(1-EXP(-LN(2)/25))/(LN(2)/25)*Calculateur!DW132*Calculateur!DY132*VLOOKUP('Données projet'!$B$14,Paramètres!$A$1:$I$89,3,0)*0.475*44/12</f>
        <v>6.5083259155824198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17.276040760624603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5.2446581196581219</v>
      </c>
      <c r="EJ132" s="12">
        <f>IF('Données projet'!$A$192&gt;35,EJ131+EI132-ER131,IF(A132&lt;'Données projet'!$A$192,$EG$205^A132,IF(A132='Données projet'!$A$192,'Données projet'!$B$192,EJ131+EI132-ER131)))</f>
        <v>251.11324786324738</v>
      </c>
      <c r="EK132" s="17">
        <f>EJ132*VLOOKUP('Données projet'!$B$15,Paramètres!$A$1:$I$89,3,0)*VLOOKUP('Données projet'!$B$15,Paramètres!$A$1:$I$89,5,0)</f>
        <v>227.20726666666624</v>
      </c>
      <c r="EL132" s="13">
        <f t="shared" si="99"/>
        <v>55.678398616153615</v>
      </c>
      <c r="EM132" s="20">
        <f t="shared" ref="EM132:EM153" si="127">(EK132+EL132)*0.475*44/12</f>
        <v>492.69253370091127</v>
      </c>
      <c r="EN132" s="59">
        <f t="shared" ref="EN132:EN195" si="128">EM132+(EE132+EF132)*44/12</f>
        <v>786.02586703424458</v>
      </c>
      <c r="EO132" s="59">
        <f ca="1">AVERAGE(OFFSET($EN$3,0,0,'Données projet'!$E$15+1,1))-AVERAGE(OFFSET($H$3,0,0,'Données projet'!$E$15+1,1))</f>
        <v>204.39656982394689</v>
      </c>
      <c r="EP132" s="59">
        <f t="shared" si="100"/>
        <v>134.95704640904546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39.40125035148683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39.40125035148683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>
        <f>VLOOKUP(A132,'Données projet'!$A$217:$I$237,2,0)</f>
        <v>282.21794871794873</v>
      </c>
      <c r="FC132" s="12">
        <f>VLOOKUP(A132,'Données projet'!$A$217:$I$237,9,0)</f>
        <v>5.3167735042735034</v>
      </c>
      <c r="FD132" s="12">
        <f t="array" ref="FD132">INDEX(FC:FC,MIN(IF(ISNUMBER(FC132:FC328),ROW(FC132:FC328),"")))</f>
        <v>5.3167735042735034</v>
      </c>
      <c r="FE132" s="12">
        <f>IF('Données projet'!$A$218&gt;35,FE131+FD132-FM131,IF(A132&lt;'Données projet'!$A$218,$FB$205^A132,IF(A132='Données projet'!$A$218,'Données projet'!$B$218,FE131+FD132-FM131)))</f>
        <v>282.21794871794901</v>
      </c>
      <c r="FF132" s="17">
        <f>FE132*VLOOKUP('Données projet'!$B$16,Paramètres!$A$1:$I$89,3,0)*VLOOKUP('Données projet'!$B$16,Paramètres!$A$1:$I$89,5,0)</f>
        <v>242.14300000000028</v>
      </c>
      <c r="FG132" s="13">
        <f t="shared" si="101"/>
        <v>58.900368552771816</v>
      </c>
      <c r="FH132" s="20">
        <f t="shared" ref="FH132:FH153" si="130">(FF132+FG132)*0.475*44/12</f>
        <v>524.31720022941147</v>
      </c>
      <c r="FI132" s="59">
        <f t="shared" ref="FI132:FI195" si="131">FH132+(EZ132+FA132)*44/12</f>
        <v>817.65053356274484</v>
      </c>
      <c r="FJ132" s="59">
        <f ca="1">AVERAGE(OFFSET($FI$3,0,0,'Données projet'!$E$16+1,1))-AVERAGE(OFFSET($H$3,0,0,'Données projet'!$E$16+1,1))</f>
        <v>199.60585215726968</v>
      </c>
      <c r="FK132" s="59">
        <f t="shared" si="102"/>
        <v>137.37366750114404</v>
      </c>
      <c r="FL132" s="15">
        <f>IF(ISNA(VLOOKUP(A132,'Données projet'!$A$217:$I$237,3,0)),0,VLOOKUP(A132,'Données projet'!$A$217:$I$237,3,0))</f>
        <v>8</v>
      </c>
      <c r="FM132" s="15">
        <f>IF(ISNA(VLOOKUP(A132,'Données projet'!$A$217:$I$237,4,0)),0,VLOOKUP(A132,'Données projet'!$A$217:$I$237,4,0))</f>
        <v>100.84615384615384</v>
      </c>
      <c r="FN132" s="16">
        <f>IF(ISNA(VLOOKUP(A132,'Données projet'!$A$217:$I$237,5,0)),0%,VLOOKUP(A132,'Données projet'!$A$217:$I$237,5,0)*VLOOKUP('Données projet'!$B$16,Paramètres!$A$1:$I$89,7,0))</f>
        <v>0.26500000000000001</v>
      </c>
      <c r="FO132" s="16">
        <f>IF(ISNA(VLOOKUP(A132,'Données projet'!$A$217:$I$237,6,0)),0%,VLOOKUP(A132,'Données projet'!$A$217:$I$237,6,0)*VLOOKUP('Données projet'!$B$16,Paramètres!$A$1:$I$89,7,0))</f>
        <v>0.1855</v>
      </c>
      <c r="FP132" s="16">
        <f>IF(ISNA(VLOOKUP(A132,'Données projet'!$A$217:$I$237,7,0)),0%,VLOOKUP(A132,'Données projet'!$A$217:$I$237,7,0))</f>
        <v>0.1</v>
      </c>
      <c r="FQ132" s="21">
        <f>EXP(-LN(2)/35)*FQ131+(1-EXP(-LN(2)/35))/(LN(2)/35)*FM132*FN132*VLOOKUP('Données projet'!$B$16,Paramètres!$A$1:$I$89,3,0)*0.475*44/12</f>
        <v>46.859778859708911</v>
      </c>
      <c r="FR132" s="21">
        <f>EXP(-LN(2)/25)*FR131+(1-EXP(-LN(2)/25))/(LN(2)/25)*Calculateur!FM132*Calculateur!FO132*VLOOKUP('Données projet'!$B$16,Paramètres!$A$1:$I$89,3,0)*0.475*44/12</f>
        <v>36.9868144895635</v>
      </c>
      <c r="FS132" s="21">
        <f>EXP(-LN(2)/2)*FS131+(1-EXP(-LN(2)/2))/(LN(2)/2)*FM132*FP132*VLOOKUP('Données projet'!$B$16,Paramètres!$A$1:$I$89,3,0)*0.475*44/12</f>
        <v>8.2995109365517532</v>
      </c>
      <c r="FT132" s="22">
        <f t="shared" ref="FT132:FT153" si="132">SUM(FQ132:FS132)</f>
        <v>92.146104285824165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4.9084615384615375</v>
      </c>
      <c r="N133" s="13">
        <f>IF('Données projet'!$A$36&gt;35,N132+M133-V132,IF(A133&lt;'Données projet'!$A$36,$K$205^A133,IF(A133='Données projet'!$A$36,'Données projet'!$B$36,N132+M133-V132)))</f>
        <v>254.70692307692417</v>
      </c>
      <c r="O133" s="13">
        <f>N133*VLOOKUP('Données projet'!$B$9,Paramètres!$A$1:$I$89,3,0)*VLOOKUP('Données projet'!$B$9,Paramètres!$A$1:$I$89,5,0)</f>
        <v>119.20284000000051</v>
      </c>
      <c r="P133" s="13">
        <f t="shared" ref="P133:P196" si="141">EXP(-1.0587+0.8836*LN(O133)+0.284)</f>
        <v>31.489002754044087</v>
      </c>
      <c r="Q133" s="20">
        <f t="shared" si="108"/>
        <v>262.4549594632943</v>
      </c>
      <c r="R133" s="59">
        <f t="shared" si="109"/>
        <v>555.78829279662762</v>
      </c>
      <c r="S133" s="59">
        <f ca="1">AVERAGE(OFFSET($R$3,0,0,'Données projet'!$E$9+1,1))-AVERAGE(OFFSET($H$3,0,0,'Données projet'!$E$9+1,1))</f>
        <v>164.93438869099657</v>
      </c>
      <c r="T133" s="59">
        <f t="shared" ref="T133:T196" si="142">$T$3</f>
        <v>112.28641356594233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85.403349338067684</v>
      </c>
      <c r="AA133" s="21">
        <f>EXP(-LN(2)/25)*AA132+(1-EXP(-LN(2)/25))/(LN(2)/25)*Calculateur!V133*Calculateur!X133*VLOOKUP('Données projet'!$B$9,Paramètres!$A$1:$I$89,3,0)*0.475*44/12</f>
        <v>20.541442169015465</v>
      </c>
      <c r="AB133" s="21">
        <f>EXP(-LN(2)/2)*AB132+(1-EXP(-LN(2)/2))/(LN(2)/2)*V133*Y133*VLOOKUP('Données projet'!$B$9,Paramètres!$A$1:$I$89,3,0)*0.475*44/12</f>
        <v>0.64406288529238209</v>
      </c>
      <c r="AC133" s="22">
        <f t="shared" si="111"/>
        <v>106.58885439237554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273.81843612193632</v>
      </c>
      <c r="AO133" s="59">
        <f t="shared" ref="AO133:AO196" si="144">$AO$3</f>
        <v>241.86405419073208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-6.3550942286383367E-14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271.42245454555501</v>
      </c>
      <c r="BJ133" s="59">
        <f t="shared" ref="BJ133:BJ196" si="146">$BJ$3</f>
        <v>362.63944425429077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51.322170701624707</v>
      </c>
      <c r="BQ133" s="21">
        <f>EXP(-LN(2)/25)*BQ132+(1-EXP(-LN(2)/25))/(LN(2)/25)*Calculateur!BL133*Calculateur!BN133*VLOOKUP('Données projet'!$B$11,Paramètres!$A$1:$I$89,3,0)*0.475*44/12</f>
        <v>7.2009600485299945</v>
      </c>
      <c r="BR133" s="21">
        <f>EXP(-LN(2)/2)*BR132+(1-EXP(-LN(2)/2))/(LN(2)/2)*BL133*BO133*VLOOKUP('Données projet'!$B$11,Paramètres!$A$1:$I$89,3,0)*0.475*44/12</f>
        <v>1.7575577451122145E-10</v>
      </c>
      <c r="BS133" s="22">
        <f t="shared" si="117"/>
        <v>58.523130750330452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-3.1036506698001178E-14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154.35821558431712</v>
      </c>
      <c r="CE133" s="59">
        <f t="shared" ref="CE133:CE196" si="148">$CE$3</f>
        <v>263.86720460501306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11.345899472190169</v>
      </c>
      <c r="CL133" s="21">
        <f>EXP(-LN(2)/25)*CL132+(1-EXP(-LN(2)/25))/(LN(2)/25)*Calculateur!CG133*Calculateur!CI133*VLOOKUP('Données projet'!$B$12,Paramètres!$A$1:$I$89,3,0)*0.475*44/12</f>
        <v>12.36412706437598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23.710026536566147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213</v>
      </c>
      <c r="CU133" s="17">
        <f>CT133*VLOOKUP('Données projet'!$B$13,Paramètres!$A$1:$I$89,3,0)*VLOOKUP('Données projet'!$B$13,Paramètres!$A$1:$I$89,5,0)</f>
        <v>169.46279999999999</v>
      </c>
      <c r="CV133" s="13">
        <f t="shared" ref="CV133:CV153" si="149">EXP(-1.0587+0.8836*LN(CU133)+0.284)</f>
        <v>42.969686502194378</v>
      </c>
      <c r="CW133" s="20">
        <f t="shared" si="121"/>
        <v>369.9865806579885</v>
      </c>
      <c r="CX133" s="59">
        <f t="shared" si="122"/>
        <v>663.31991399132176</v>
      </c>
      <c r="CY133" s="59">
        <f ca="1">AVERAGE(OFFSET($CX$3,0,0,'Données projet'!$E$13+1,1))-AVERAGE(OFFSET($H$3,0,0,'Données projet'!$E$13+1,1))</f>
        <v>157.25319335691853</v>
      </c>
      <c r="CZ133" s="59">
        <f t="shared" ref="CZ133:CZ196" si="150">$CZ$3</f>
        <v>159.50903492442171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4.190469213999175</v>
      </c>
      <c r="DG133" s="21">
        <f>EXP(-LN(2)/25)*DG132+(1-EXP(-LN(2)/25))/(LN(2)/25)*Calculateur!DB133*Calculateur!DD133*VLOOKUP('Données projet'!$B$13,Paramètres!$A$1:$I$89,3,0)*0.475*44/12</f>
        <v>2.1844569874994355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6.3749262014986101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227.99999999999994</v>
      </c>
      <c r="DP133" s="17">
        <f>DO133*VLOOKUP('Données projet'!$B$14,Paramètres!$A$1:$I$89,3,0)*VLOOKUP('Données projet'!$B$14,Paramètres!$A$1:$I$89,5,0)</f>
        <v>199.18079999999998</v>
      </c>
      <c r="DQ133" s="13">
        <f t="shared" ref="DQ133:DQ153" si="151">EXP(-1.0587+0.8836*LN(DP133)+0.284)</f>
        <v>49.564089376413683</v>
      </c>
      <c r="DR133" s="20">
        <f t="shared" si="124"/>
        <v>433.23068233058711</v>
      </c>
      <c r="DS133" s="59">
        <f t="shared" si="125"/>
        <v>726.56401566392037</v>
      </c>
      <c r="DT133" s="59">
        <f ca="1">AVERAGE(OFFSET($DS$3,0,0,'Données projet'!$E$14+1,1))-AVERAGE(OFFSET($H$3,0,0,'Données projet'!$E$14+1,1))</f>
        <v>229.5312221178919</v>
      </c>
      <c r="DU133" s="59">
        <f t="shared" ref="DU133:DU196" si="152">$DU$3</f>
        <v>218.1982095871906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10.55656652458846</v>
      </c>
      <c r="EB133" s="21">
        <f>EXP(-LN(2)/25)*EB132+(1-EXP(-LN(2)/25))/(LN(2)/25)*Calculateur!DW133*Calculateur!DY133*VLOOKUP('Données projet'!$B$14,Paramètres!$A$1:$I$89,3,0)*0.475*44/12</f>
        <v>6.3303554011628336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16.886921925751295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5.2446581196581219</v>
      </c>
      <c r="EJ133" s="12">
        <f>IF('Données projet'!$A$192&gt;35,EJ132+EI133-ER132,IF(A133&lt;'Données projet'!$A$192,$EG$205^A133,IF(A133='Données projet'!$A$192,'Données projet'!$B$192,EJ132+EI133-ER132)))</f>
        <v>256.35790598290549</v>
      </c>
      <c r="EK133" s="17">
        <f>EJ133*VLOOKUP('Données projet'!$B$15,Paramètres!$A$1:$I$89,3,0)*VLOOKUP('Données projet'!$B$15,Paramètres!$A$1:$I$89,5,0)</f>
        <v>231.95263333333287</v>
      </c>
      <c r="EL133" s="13">
        <f t="shared" ref="EL133:EL153" si="153">EXP(-1.0587+0.8836*LN(EK133)+0.284)</f>
        <v>56.704678554548856</v>
      </c>
      <c r="EM133" s="20">
        <f t="shared" si="127"/>
        <v>502.74481820472732</v>
      </c>
      <c r="EN133" s="59">
        <f t="shared" si="128"/>
        <v>796.07815153806064</v>
      </c>
      <c r="EO133" s="59">
        <f ca="1">AVERAGE(OFFSET($EN$3,0,0,'Données projet'!$E$15+1,1))-AVERAGE(OFFSET($H$3,0,0,'Données projet'!$E$15+1,1))</f>
        <v>204.39656982394689</v>
      </c>
      <c r="EP133" s="59">
        <f t="shared" ref="EP133:EP196" si="154">$EP$3</f>
        <v>134.95704640904546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38.628615864483884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38.628615864483884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4.6269230769230774</v>
      </c>
      <c r="FE133" s="12">
        <f>IF('Données projet'!$A$218&gt;35,FE132+FD133-FM132,IF(A133&lt;'Données projet'!$A$218,$FB$205^A133,IF(A133='Données projet'!$A$218,'Données projet'!$B$218,FE132+FD133-FM132)))</f>
        <v>185.99871794871828</v>
      </c>
      <c r="FF133" s="17">
        <f>FE133*VLOOKUP('Données projet'!$B$16,Paramètres!$A$1:$I$89,3,0)*VLOOKUP('Données projet'!$B$16,Paramètres!$A$1:$I$89,5,0)</f>
        <v>159.5869000000003</v>
      </c>
      <c r="FG133" s="13">
        <f t="shared" ref="FG133:FG153" si="155">EXP(-1.0587+0.8836*LN(FF133)+0.284)</f>
        <v>40.749325534043393</v>
      </c>
      <c r="FH133" s="20">
        <f t="shared" si="130"/>
        <v>348.91892613845948</v>
      </c>
      <c r="FI133" s="59">
        <f t="shared" si="131"/>
        <v>642.25225947179274</v>
      </c>
      <c r="FJ133" s="59">
        <f ca="1">AVERAGE(OFFSET($FI$3,0,0,'Données projet'!$E$16+1,1))-AVERAGE(OFFSET($H$3,0,0,'Données projet'!$E$16+1,1))</f>
        <v>199.60585215726968</v>
      </c>
      <c r="FK133" s="59">
        <f t="shared" ref="FK133:FK196" si="156">$FK$3</f>
        <v>137.37366750114404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45.94088717791292</v>
      </c>
      <c r="FR133" s="21">
        <f>EXP(-LN(2)/25)*FR132+(1-EXP(-LN(2)/25))/(LN(2)/25)*Calculateur!FM133*Calculateur!FO133*VLOOKUP('Données projet'!$B$16,Paramètres!$A$1:$I$89,3,0)*0.475*44/12</f>
        <v>35.975408102294345</v>
      </c>
      <c r="FS133" s="21">
        <f>EXP(-LN(2)/2)*FS132+(1-EXP(-LN(2)/2))/(LN(2)/2)*FM133*FP133*VLOOKUP('Données projet'!$B$16,Paramètres!$A$1:$I$89,3,0)*0.475*44/12</f>
        <v>5.868640463767659</v>
      </c>
      <c r="FT133" s="22">
        <f t="shared" si="132"/>
        <v>87.784935743974927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259.61538461538458</v>
      </c>
      <c r="L134" s="12">
        <f>VLOOKUP(A134,'Données projet'!$A$35:$I$55,9,0)</f>
        <v>4.9084615384615375</v>
      </c>
      <c r="M134" s="12">
        <f t="array" ref="M134">INDEX(L:L,MIN(IF(ISNUMBER(L134:L330),ROW(L134:L330),"")))</f>
        <v>4.9084615384615375</v>
      </c>
      <c r="N134" s="13">
        <f>IF('Données projet'!$A$36&gt;35,N133+M134-V133,IF(A134&lt;'Données projet'!$A$36,$K$205^A134,IF(A134='Données projet'!$A$36,'Données projet'!$B$36,N133+M134-V133)))</f>
        <v>259.61538461538572</v>
      </c>
      <c r="O134" s="13">
        <f>N134*VLOOKUP('Données projet'!$B$9,Paramètres!$A$1:$I$89,3,0)*VLOOKUP('Données projet'!$B$9,Paramètres!$A$1:$I$89,5,0)</f>
        <v>121.50000000000051</v>
      </c>
      <c r="P134" s="13">
        <f t="shared" si="141"/>
        <v>32.024596321339168</v>
      </c>
      <c r="Q134" s="20">
        <f t="shared" si="108"/>
        <v>267.3886719263333</v>
      </c>
      <c r="R134" s="59">
        <f t="shared" si="109"/>
        <v>560.72200525966662</v>
      </c>
      <c r="S134" s="59">
        <f ca="1">AVERAGE(OFFSET($R$3,0,0,'Données projet'!$E$9+1,1))-AVERAGE(OFFSET($H$3,0,0,'Données projet'!$E$9+1,1))</f>
        <v>164.93438869099657</v>
      </c>
      <c r="T134" s="59">
        <f t="shared" si="142"/>
        <v>112.28641356594233</v>
      </c>
      <c r="U134" s="15">
        <f>IF(ISNA(VLOOKUP(A134,'Données projet'!$A$35:$I$55,3,0)),0,VLOOKUP(A134,'Données projet'!$A$35:$I$55,3,0))</f>
        <v>8</v>
      </c>
      <c r="V134" s="15">
        <f>IF(ISNA(VLOOKUP(A134,'Données projet'!$A$35:$I$55,4,0)),0,VLOOKUP(A134,'Données projet'!$A$35:$I$55,4,0))</f>
        <v>259.61538461538458</v>
      </c>
      <c r="W134" s="16">
        <f>IF(ISNA(VLOOKUP(A134,'Données projet'!$A$35:$I$55,5,0)),0%,VLOOKUP(A134,'Données projet'!$A$35:$I$55,5,0)*VLOOKUP('Données projet'!$B$9,Paramètres!$A$1:$I$89,7,0))</f>
        <v>0.38500000000000001</v>
      </c>
      <c r="X134" s="16">
        <f>IF(ISNA(VLOOKUP(A134,'Données projet'!$A$35:$I$55,6,0)),0%,VLOOKUP(A134,'Données projet'!$A$35:$I$55,6,0)*VLOOKUP('Données projet'!$B$9,Paramètres!$A$1:$I$89,7,0))</f>
        <v>9.240000000000001E-2</v>
      </c>
      <c r="Y134" s="16">
        <f>IF(ISNA(VLOOKUP(A134,'Données projet'!$A$35:$I$55,7,0)),0%,VLOOKUP(A134,'Données projet'!$A$35:$I$55,7,0))</f>
        <v>0.13200000000000001</v>
      </c>
      <c r="Z134" s="21">
        <f>EXP(-LN(2)/35)*Z133+(1-EXP(-LN(2)/35))/(LN(2)/35)*V134*W134*VLOOKUP('Données projet'!$B$9,Paramètres!$A$1:$I$89,3,0)*0.475*44/12</f>
        <v>145.78201056277081</v>
      </c>
      <c r="AA134" s="21">
        <f>EXP(-LN(2)/25)*AA133+(1-EXP(-LN(2)/25))/(LN(2)/25)*Calculateur!V134*Calculateur!X134*VLOOKUP('Données projet'!$B$9,Paramètres!$A$1:$I$89,3,0)*0.475*44/12</f>
        <v>34.813905206383581</v>
      </c>
      <c r="AB134" s="21">
        <f>EXP(-LN(2)/2)*AB133+(1-EXP(-LN(2)/2))/(LN(2)/2)*V134*Y134*VLOOKUP('Données projet'!$B$9,Paramètres!$A$1:$I$89,3,0)*0.475*44/12</f>
        <v>18.614162821430273</v>
      </c>
      <c r="AC134" s="22">
        <f t="shared" si="111"/>
        <v>199.21007859058466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273.81843612193632</v>
      </c>
      <c r="AO134" s="59">
        <f t="shared" si="144"/>
        <v>241.86405419073208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-6.3550942286383367E-14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271.42245454555501</v>
      </c>
      <c r="BJ134" s="59">
        <f t="shared" si="146"/>
        <v>362.63944425429077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50.315774237599015</v>
      </c>
      <c r="BQ134" s="21">
        <f>EXP(-LN(2)/25)*BQ133+(1-EXP(-LN(2)/25))/(LN(2)/25)*Calculateur!BL134*Calculateur!BN134*VLOOKUP('Données projet'!$B$11,Paramètres!$A$1:$I$89,3,0)*0.475*44/12</f>
        <v>7.0040494173209105</v>
      </c>
      <c r="BR134" s="21">
        <f>EXP(-LN(2)/2)*BR133+(1-EXP(-LN(2)/2))/(LN(2)/2)*BL134*BO134*VLOOKUP('Données projet'!$B$11,Paramètres!$A$1:$I$89,3,0)*0.475*44/12</f>
        <v>1.2427809998957845E-10</v>
      </c>
      <c r="BS134" s="22">
        <f t="shared" si="117"/>
        <v>57.31982365504421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-3.1036506698001178E-14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154.35821558431712</v>
      </c>
      <c r="CE134" s="59">
        <f t="shared" si="148"/>
        <v>263.86720460501306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11.123413303855873</v>
      </c>
      <c r="CL134" s="21">
        <f>EXP(-LN(2)/25)*CL133+(1-EXP(-LN(2)/25))/(LN(2)/25)*Calculateur!CG134*Calculateur!CI134*VLOOKUP('Données projet'!$B$12,Paramètres!$A$1:$I$89,3,0)*0.475*44/12</f>
        <v>12.026029359599436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23.149442663455311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213</v>
      </c>
      <c r="CU134" s="17">
        <f>CT134*VLOOKUP('Données projet'!$B$13,Paramètres!$A$1:$I$89,3,0)*VLOOKUP('Données projet'!$B$13,Paramètres!$A$1:$I$89,5,0)</f>
        <v>169.46279999999999</v>
      </c>
      <c r="CV134" s="13">
        <f t="shared" si="149"/>
        <v>42.969686502194378</v>
      </c>
      <c r="CW134" s="20">
        <f t="shared" si="121"/>
        <v>369.9865806579885</v>
      </c>
      <c r="CX134" s="59">
        <f t="shared" si="122"/>
        <v>663.31991399132176</v>
      </c>
      <c r="CY134" s="59">
        <f ca="1">AVERAGE(OFFSET($CX$3,0,0,'Données projet'!$E$13+1,1))-AVERAGE(OFFSET($H$3,0,0,'Données projet'!$E$13+1,1))</f>
        <v>157.25319335691853</v>
      </c>
      <c r="CZ134" s="59">
        <f t="shared" si="150"/>
        <v>159.50903492442171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4.1082966686464939</v>
      </c>
      <c r="DG134" s="21">
        <f>EXP(-LN(2)/25)*DG133+(1-EXP(-LN(2)/25))/(LN(2)/25)*Calculateur!DB134*Calculateur!DD134*VLOOKUP('Données projet'!$B$13,Paramètres!$A$1:$I$89,3,0)*0.475*44/12</f>
        <v>2.1247228963006632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6.2330195649471571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227.99999999999994</v>
      </c>
      <c r="DP134" s="17">
        <f>DO134*VLOOKUP('Données projet'!$B$14,Paramètres!$A$1:$I$89,3,0)*VLOOKUP('Données projet'!$B$14,Paramètres!$A$1:$I$89,5,0)</f>
        <v>199.18079999999998</v>
      </c>
      <c r="DQ134" s="13">
        <f t="shared" si="151"/>
        <v>49.564089376413683</v>
      </c>
      <c r="DR134" s="20">
        <f t="shared" si="124"/>
        <v>433.23068233058711</v>
      </c>
      <c r="DS134" s="59">
        <f t="shared" si="125"/>
        <v>726.56401566392037</v>
      </c>
      <c r="DT134" s="59">
        <f ca="1">AVERAGE(OFFSET($DS$3,0,0,'Données projet'!$E$14+1,1))-AVERAGE(OFFSET($H$3,0,0,'Données projet'!$E$14+1,1))</f>
        <v>229.5312221178919</v>
      </c>
      <c r="DU134" s="59">
        <f t="shared" si="152"/>
        <v>218.1982095871906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10.349558693911074</v>
      </c>
      <c r="EB134" s="21">
        <f>EXP(-LN(2)/25)*EB133+(1-EXP(-LN(2)/25))/(LN(2)/25)*Calculateur!DW134*Calculateur!DY134*VLOOKUP('Données projet'!$B$14,Paramètres!$A$1:$I$89,3,0)*0.475*44/12</f>
        <v>6.1572514998191137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16.506810193730189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5.2446581196581219</v>
      </c>
      <c r="EJ134" s="12">
        <f>IF('Données projet'!$A$192&gt;35,EJ133+EI134-ER133,IF(A134&lt;'Données projet'!$A$192,$EG$205^A134,IF(A134='Données projet'!$A$192,'Données projet'!$B$192,EJ133+EI134-ER133)))</f>
        <v>261.60256410256363</v>
      </c>
      <c r="EK134" s="17">
        <f>EJ134*VLOOKUP('Données projet'!$B$15,Paramètres!$A$1:$I$89,3,0)*VLOOKUP('Données projet'!$B$15,Paramètres!$A$1:$I$89,5,0)</f>
        <v>236.69799999999958</v>
      </c>
      <c r="EL134" s="13">
        <f t="shared" si="153"/>
        <v>57.728517287605179</v>
      </c>
      <c r="EM134" s="20">
        <f t="shared" si="127"/>
        <v>512.7928509425783</v>
      </c>
      <c r="EN134" s="59">
        <f t="shared" si="128"/>
        <v>806.12618427591156</v>
      </c>
      <c r="EO134" s="59">
        <f ca="1">AVERAGE(OFFSET($EN$3,0,0,'Données projet'!$E$15+1,1))-AVERAGE(OFFSET($H$3,0,0,'Données projet'!$E$15+1,1))</f>
        <v>204.39656982394689</v>
      </c>
      <c r="EP134" s="59">
        <f t="shared" si="154"/>
        <v>134.95704640904546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37.871132268510564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37.871132268510564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4.6269230769230774</v>
      </c>
      <c r="FE134" s="12">
        <f>IF('Données projet'!$A$218&gt;35,FE133+FD134-FM133,IF(A134&lt;'Données projet'!$A$218,$FB$205^A134,IF(A134='Données projet'!$A$218,'Données projet'!$B$218,FE133+FD134-FM133)))</f>
        <v>190.62564102564136</v>
      </c>
      <c r="FF134" s="17">
        <f>FE134*VLOOKUP('Données projet'!$B$16,Paramètres!$A$1:$I$89,3,0)*VLOOKUP('Données projet'!$B$16,Paramètres!$A$1:$I$89,5,0)</f>
        <v>163.55680000000029</v>
      </c>
      <c r="FG134" s="13">
        <f t="shared" si="155"/>
        <v>41.64373212677755</v>
      </c>
      <c r="FH134" s="20">
        <f t="shared" si="130"/>
        <v>357.39092678747141</v>
      </c>
      <c r="FI134" s="59">
        <f t="shared" si="131"/>
        <v>650.72426012080473</v>
      </c>
      <c r="FJ134" s="59">
        <f ca="1">AVERAGE(OFFSET($FI$3,0,0,'Données projet'!$E$16+1,1))-AVERAGE(OFFSET($H$3,0,0,'Données projet'!$E$16+1,1))</f>
        <v>199.60585215726968</v>
      </c>
      <c r="FK134" s="59">
        <f t="shared" si="156"/>
        <v>137.37366750114404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45.040014401528367</v>
      </c>
      <c r="FR134" s="21">
        <f>EXP(-LN(2)/25)*FR133+(1-EXP(-LN(2)/25))/(LN(2)/25)*Calculateur!FM134*Calculateur!FO134*VLOOKUP('Données projet'!$B$16,Paramètres!$A$1:$I$89,3,0)*0.475*44/12</f>
        <v>34.991658675872614</v>
      </c>
      <c r="FS134" s="21">
        <f>EXP(-LN(2)/2)*FS133+(1-EXP(-LN(2)/2))/(LN(2)/2)*FM134*FP134*VLOOKUP('Données projet'!$B$16,Paramètres!$A$1:$I$89,3,0)*0.475*44/12</f>
        <v>4.1497554682758775</v>
      </c>
      <c r="FT134" s="22">
        <f t="shared" si="132"/>
        <v>84.181428545676852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1.1368683772161603E-12</v>
      </c>
      <c r="O135" s="13">
        <f>N135*VLOOKUP('Données projet'!$B$9,Paramètres!$A$1:$I$89,3,0)*VLOOKUP('Données projet'!$B$9,Paramètres!$A$1:$I$89,5,0)</f>
        <v>5.3205440053716299E-13</v>
      </c>
      <c r="P135" s="13">
        <f t="shared" si="141"/>
        <v>6.579711042921201E-12</v>
      </c>
      <c r="Q135" s="20">
        <f t="shared" si="108"/>
        <v>1.2386324814023317E-11</v>
      </c>
      <c r="R135" s="59">
        <f t="shared" si="109"/>
        <v>293.33333333334571</v>
      </c>
      <c r="S135" s="59">
        <f ca="1">AVERAGE(OFFSET($R$3,0,0,'Données projet'!$E$9+1,1))-AVERAGE(OFFSET($H$3,0,0,'Données projet'!$E$9+1,1))</f>
        <v>164.93438869099657</v>
      </c>
      <c r="T135" s="59">
        <f t="shared" si="142"/>
        <v>112.28641356594233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142.92331425388136</v>
      </c>
      <c r="AA135" s="21">
        <f>EXP(-LN(2)/25)*AA134+(1-EXP(-LN(2)/25))/(LN(2)/25)*Calculateur!V135*Calculateur!X135*VLOOKUP('Données projet'!$B$9,Paramètres!$A$1:$I$89,3,0)*0.475*44/12</f>
        <v>33.861917137731318</v>
      </c>
      <c r="AB135" s="21">
        <f>EXP(-LN(2)/2)*AB134+(1-EXP(-LN(2)/2))/(LN(2)/2)*V135*Y135*VLOOKUP('Données projet'!$B$9,Paramètres!$A$1:$I$89,3,0)*0.475*44/12</f>
        <v>13.162200757143866</v>
      </c>
      <c r="AC135" s="22">
        <f t="shared" si="111"/>
        <v>189.94743214875655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273.81843612193632</v>
      </c>
      <c r="AO135" s="59">
        <f t="shared" si="144"/>
        <v>241.86405419073208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-6.3550942286383367E-14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271.42245454555501</v>
      </c>
      <c r="BJ135" s="59">
        <f t="shared" si="146"/>
        <v>362.63944425429077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49.329112594391638</v>
      </c>
      <c r="BQ135" s="21">
        <f>EXP(-LN(2)/25)*BQ134+(1-EXP(-LN(2)/25))/(LN(2)/25)*Calculateur!BL135*Calculateur!BN135*VLOOKUP('Données projet'!$B$11,Paramètres!$A$1:$I$89,3,0)*0.475*44/12</f>
        <v>6.8125233176773197</v>
      </c>
      <c r="BR135" s="21">
        <f>EXP(-LN(2)/2)*BR134+(1-EXP(-LN(2)/2))/(LN(2)/2)*BL135*BO135*VLOOKUP('Données projet'!$B$11,Paramètres!$A$1:$I$89,3,0)*0.475*44/12</f>
        <v>8.7877887255610725E-11</v>
      </c>
      <c r="BS135" s="22">
        <f t="shared" si="117"/>
        <v>56.141635912156836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-3.1036506698001178E-14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154.35821558431712</v>
      </c>
      <c r="CE135" s="59">
        <f t="shared" si="148"/>
        <v>263.86720460501306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10.90528995357945</v>
      </c>
      <c r="CL135" s="21">
        <f>EXP(-LN(2)/25)*CL134+(1-EXP(-LN(2)/25))/(LN(2)/25)*Calculateur!CG135*Calculateur!CI135*VLOOKUP('Données projet'!$B$12,Paramètres!$A$1:$I$89,3,0)*0.475*44/12</f>
        <v>11.697176954339792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22.602466907919244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213</v>
      </c>
      <c r="CU135" s="17">
        <f>CT135*VLOOKUP('Données projet'!$B$13,Paramètres!$A$1:$I$89,3,0)*VLOOKUP('Données projet'!$B$13,Paramètres!$A$1:$I$89,5,0)</f>
        <v>169.46279999999999</v>
      </c>
      <c r="CV135" s="13">
        <f t="shared" si="149"/>
        <v>42.969686502194378</v>
      </c>
      <c r="CW135" s="20">
        <f t="shared" si="121"/>
        <v>369.9865806579885</v>
      </c>
      <c r="CX135" s="59">
        <f t="shared" si="122"/>
        <v>663.31991399132176</v>
      </c>
      <c r="CY135" s="59">
        <f ca="1">AVERAGE(OFFSET($CX$3,0,0,'Données projet'!$E$13+1,1))-AVERAGE(OFFSET($H$3,0,0,'Données projet'!$E$13+1,1))</f>
        <v>157.25319335691853</v>
      </c>
      <c r="CZ135" s="59">
        <f t="shared" si="150"/>
        <v>159.50903492442171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4.0277354767878757</v>
      </c>
      <c r="DG135" s="21">
        <f>EXP(-LN(2)/25)*DG134+(1-EXP(-LN(2)/25))/(LN(2)/25)*Calculateur!DB135*Calculateur!DD135*VLOOKUP('Données projet'!$B$13,Paramètres!$A$1:$I$89,3,0)*0.475*44/12</f>
        <v>2.0666222369670004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6.0943577137548761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227.99999999999994</v>
      </c>
      <c r="DP135" s="17">
        <f>DO135*VLOOKUP('Données projet'!$B$14,Paramètres!$A$1:$I$89,3,0)*VLOOKUP('Données projet'!$B$14,Paramètres!$A$1:$I$89,5,0)</f>
        <v>199.18079999999998</v>
      </c>
      <c r="DQ135" s="13">
        <f t="shared" si="151"/>
        <v>49.564089376413683</v>
      </c>
      <c r="DR135" s="20">
        <f t="shared" si="124"/>
        <v>433.23068233058711</v>
      </c>
      <c r="DS135" s="59">
        <f t="shared" si="125"/>
        <v>726.56401566392037</v>
      </c>
      <c r="DT135" s="59">
        <f ca="1">AVERAGE(OFFSET($DS$3,0,0,'Données projet'!$E$14+1,1))-AVERAGE(OFFSET($H$3,0,0,'Données projet'!$E$14+1,1))</f>
        <v>229.5312221178919</v>
      </c>
      <c r="DU135" s="59">
        <f t="shared" si="152"/>
        <v>218.1982095871906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10.146610160530964</v>
      </c>
      <c r="EB135" s="21">
        <f>EXP(-LN(2)/25)*EB134+(1-EXP(-LN(2)/25))/(LN(2)/25)*Calculateur!DW135*Calculateur!DY135*VLOOKUP('Données projet'!$B$14,Paramètres!$A$1:$I$89,3,0)*0.475*44/12</f>
        <v>5.9888811337607759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16.135491294291739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5.2446581196581219</v>
      </c>
      <c r="EJ135" s="12">
        <f>IF('Données projet'!$A$192&gt;35,EJ134+EI135-ER134,IF(A135&lt;'Données projet'!$A$192,$EG$205^A135,IF(A135='Données projet'!$A$192,'Données projet'!$B$192,EJ134+EI135-ER134)))</f>
        <v>266.84722222222177</v>
      </c>
      <c r="EK135" s="17">
        <f>EJ135*VLOOKUP('Données projet'!$B$15,Paramètres!$A$1:$I$89,3,0)*VLOOKUP('Données projet'!$B$15,Paramètres!$A$1:$I$89,5,0)</f>
        <v>241.44336666666626</v>
      </c>
      <c r="EL135" s="13">
        <f t="shared" si="153"/>
        <v>58.749969397569316</v>
      </c>
      <c r="EM135" s="20">
        <f t="shared" si="127"/>
        <v>522.83672697854365</v>
      </c>
      <c r="EN135" s="59">
        <f t="shared" si="128"/>
        <v>816.17006031187702</v>
      </c>
      <c r="EO135" s="59">
        <f ca="1">AVERAGE(OFFSET($EN$3,0,0,'Données projet'!$E$15+1,1))-AVERAGE(OFFSET($H$3,0,0,'Données projet'!$E$15+1,1))</f>
        <v>204.39656982394689</v>
      </c>
      <c r="EP135" s="59">
        <f t="shared" si="154"/>
        <v>134.95704640904546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37.128502463834906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37.128502463834906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4.6269230769230774</v>
      </c>
      <c r="FE135" s="12">
        <f>IF('Données projet'!$A$218&gt;35,FE134+FD135-FM134,IF(A135&lt;'Données projet'!$A$218,$FB$205^A135,IF(A135='Données projet'!$A$218,'Données projet'!$B$218,FE134+FD135-FM134)))</f>
        <v>195.25256410256443</v>
      </c>
      <c r="FF135" s="17">
        <f>FE135*VLOOKUP('Données projet'!$B$16,Paramètres!$A$1:$I$89,3,0)*VLOOKUP('Données projet'!$B$16,Paramètres!$A$1:$I$89,5,0)</f>
        <v>167.52670000000032</v>
      </c>
      <c r="FG135" s="13">
        <f t="shared" si="155"/>
        <v>42.535615060673919</v>
      </c>
      <c r="FH135" s="20">
        <f t="shared" si="130"/>
        <v>365.85853206400765</v>
      </c>
      <c r="FI135" s="59">
        <f t="shared" si="131"/>
        <v>659.19186539734096</v>
      </c>
      <c r="FJ135" s="59">
        <f ca="1">AVERAGE(OFFSET($FI$3,0,0,'Données projet'!$E$16+1,1))-AVERAGE(OFFSET($H$3,0,0,'Données projet'!$E$16+1,1))</f>
        <v>199.60585215726968</v>
      </c>
      <c r="FK135" s="59">
        <f t="shared" si="156"/>
        <v>137.37366750114404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44.156807190810575</v>
      </c>
      <c r="FR135" s="21">
        <f>EXP(-LN(2)/25)*FR134+(1-EXP(-LN(2)/25))/(LN(2)/25)*Calculateur!FM135*Calculateur!FO135*VLOOKUP('Données projet'!$B$16,Paramètres!$A$1:$I$89,3,0)*0.475*44/12</f>
        <v>34.034809929249519</v>
      </c>
      <c r="FS135" s="21">
        <f>EXP(-LN(2)/2)*FS134+(1-EXP(-LN(2)/2))/(LN(2)/2)*FM135*FP135*VLOOKUP('Données projet'!$B$16,Paramètres!$A$1:$I$89,3,0)*0.475*44/12</f>
        <v>2.93432023188383</v>
      </c>
      <c r="FT135" s="22">
        <f t="shared" si="132"/>
        <v>81.125937351943932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1.1368683772161603E-12</v>
      </c>
      <c r="O136" s="13">
        <f>N136*VLOOKUP('Données projet'!$B$9,Paramètres!$A$1:$I$89,3,0)*VLOOKUP('Données projet'!$B$9,Paramètres!$A$1:$I$89,5,0)</f>
        <v>5.3205440053716299E-13</v>
      </c>
      <c r="P136" s="13">
        <f t="shared" si="141"/>
        <v>6.579711042921201E-12</v>
      </c>
      <c r="Q136" s="20">
        <f t="shared" si="108"/>
        <v>1.2386324814023317E-11</v>
      </c>
      <c r="R136" s="59">
        <f t="shared" si="109"/>
        <v>293.33333333334571</v>
      </c>
      <c r="S136" s="59">
        <f ca="1">AVERAGE(OFFSET($R$3,0,0,'Données projet'!$E$9+1,1))-AVERAGE(OFFSET($H$3,0,0,'Données projet'!$E$9+1,1))</f>
        <v>164.93438869099657</v>
      </c>
      <c r="T136" s="59">
        <f t="shared" si="142"/>
        <v>112.28641356594233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140.12067523597665</v>
      </c>
      <c r="AA136" s="21">
        <f>EXP(-LN(2)/25)*AA135+(1-EXP(-LN(2)/25))/(LN(2)/25)*Calculateur!V136*Calculateur!X136*VLOOKUP('Données projet'!$B$9,Paramètres!$A$1:$I$89,3,0)*0.475*44/12</f>
        <v>32.935961232879222</v>
      </c>
      <c r="AB136" s="21">
        <f>EXP(-LN(2)/2)*AB135+(1-EXP(-LN(2)/2))/(LN(2)/2)*V136*Y136*VLOOKUP('Données projet'!$B$9,Paramètres!$A$1:$I$89,3,0)*0.475*44/12</f>
        <v>9.3070814107151385</v>
      </c>
      <c r="AC136" s="22">
        <f t="shared" si="111"/>
        <v>182.363717879571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273.81843612193632</v>
      </c>
      <c r="AO136" s="59">
        <f t="shared" si="144"/>
        <v>241.86405419073208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-6.3550942286383367E-14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271.42245454555501</v>
      </c>
      <c r="BJ136" s="59">
        <f t="shared" si="146"/>
        <v>362.63944425429077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48.36179878420338</v>
      </c>
      <c r="BQ136" s="21">
        <f>EXP(-LN(2)/25)*BQ135+(1-EXP(-LN(2)/25))/(LN(2)/25)*Calculateur!BL136*Calculateur!BN136*VLOOKUP('Données projet'!$B$11,Paramètres!$A$1:$I$89,3,0)*0.475*44/12</f>
        <v>6.626234509300402</v>
      </c>
      <c r="BR136" s="21">
        <f>EXP(-LN(2)/2)*BR135+(1-EXP(-LN(2)/2))/(LN(2)/2)*BL136*BO136*VLOOKUP('Données projet'!$B$11,Paramètres!$A$1:$I$89,3,0)*0.475*44/12</f>
        <v>6.2139049994789226E-11</v>
      </c>
      <c r="BS136" s="22">
        <f t="shared" si="117"/>
        <v>54.98803329356592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-3.1036506698001178E-14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154.35821558431712</v>
      </c>
      <c r="CE136" s="59">
        <f t="shared" si="148"/>
        <v>263.86720460501306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10.691443869159841</v>
      </c>
      <c r="CL136" s="21">
        <f>EXP(-LN(2)/25)*CL135+(1-EXP(-LN(2)/25))/(LN(2)/25)*Calculateur!CG136*Calculateur!CI136*VLOOKUP('Données projet'!$B$12,Paramètres!$A$1:$I$89,3,0)*0.475*44/12</f>
        <v>11.377317035395569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22.068760904555411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213</v>
      </c>
      <c r="CU136" s="17">
        <f>CT136*VLOOKUP('Données projet'!$B$13,Paramètres!$A$1:$I$89,3,0)*VLOOKUP('Données projet'!$B$13,Paramètres!$A$1:$I$89,5,0)</f>
        <v>169.46279999999999</v>
      </c>
      <c r="CV136" s="13">
        <f t="shared" si="149"/>
        <v>42.969686502194378</v>
      </c>
      <c r="CW136" s="20">
        <f t="shared" si="121"/>
        <v>369.9865806579885</v>
      </c>
      <c r="CX136" s="59">
        <f t="shared" si="122"/>
        <v>663.31991399132176</v>
      </c>
      <c r="CY136" s="59">
        <f ca="1">AVERAGE(OFFSET($CX$3,0,0,'Données projet'!$E$13+1,1))-AVERAGE(OFFSET($H$3,0,0,'Données projet'!$E$13+1,1))</f>
        <v>157.25319335691853</v>
      </c>
      <c r="CZ136" s="59">
        <f t="shared" si="150"/>
        <v>159.50903492442171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3.9487540407641295</v>
      </c>
      <c r="DG136" s="21">
        <f>EXP(-LN(2)/25)*DG135+(1-EXP(-LN(2)/25))/(LN(2)/25)*Calculateur!DB136*Calculateur!DD136*VLOOKUP('Données projet'!$B$13,Paramètres!$A$1:$I$89,3,0)*0.475*44/12</f>
        <v>2.0101103432181975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5.958864383982327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227.99999999999994</v>
      </c>
      <c r="DP136" s="17">
        <f>DO136*VLOOKUP('Données projet'!$B$14,Paramètres!$A$1:$I$89,3,0)*VLOOKUP('Données projet'!$B$14,Paramètres!$A$1:$I$89,5,0)</f>
        <v>199.18079999999998</v>
      </c>
      <c r="DQ136" s="13">
        <f t="shared" si="151"/>
        <v>49.564089376413683</v>
      </c>
      <c r="DR136" s="20">
        <f t="shared" si="124"/>
        <v>433.23068233058711</v>
      </c>
      <c r="DS136" s="59">
        <f t="shared" si="125"/>
        <v>726.56401566392037</v>
      </c>
      <c r="DT136" s="59">
        <f ca="1">AVERAGE(OFFSET($DS$3,0,0,'Données projet'!$E$14+1,1))-AVERAGE(OFFSET($H$3,0,0,'Données projet'!$E$14+1,1))</f>
        <v>229.5312221178919</v>
      </c>
      <c r="DU136" s="59">
        <f t="shared" si="152"/>
        <v>218.1982095871906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9.9476413241040547</v>
      </c>
      <c r="EB136" s="21">
        <f>EXP(-LN(2)/25)*EB135+(1-EXP(-LN(2)/25))/(LN(2)/25)*Calculateur!DW136*Calculateur!DY136*VLOOKUP('Données projet'!$B$14,Paramètres!$A$1:$I$89,3,0)*0.475*44/12</f>
        <v>5.8251148642165163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15.772756188320571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5.2446581196581219</v>
      </c>
      <c r="EJ136" s="12">
        <f>IF('Données projet'!$A$192&gt;35,EJ135+EI136-ER135,IF(A136&lt;'Données projet'!$A$192,$EG$205^A136,IF(A136='Données projet'!$A$192,'Données projet'!$B$192,EJ135+EI136-ER135)))</f>
        <v>272.09188034187991</v>
      </c>
      <c r="EK136" s="17">
        <f>EJ136*VLOOKUP('Données projet'!$B$15,Paramètres!$A$1:$I$89,3,0)*VLOOKUP('Données projet'!$B$15,Paramètres!$A$1:$I$89,5,0)</f>
        <v>246.18873333333292</v>
      </c>
      <c r="EL136" s="13">
        <f t="shared" si="153"/>
        <v>59.769087198438612</v>
      </c>
      <c r="EM136" s="20">
        <f t="shared" si="127"/>
        <v>532.87653742616862</v>
      </c>
      <c r="EN136" s="59">
        <f t="shared" si="128"/>
        <v>826.20987075950188</v>
      </c>
      <c r="EO136" s="59">
        <f ca="1">AVERAGE(OFFSET($EN$3,0,0,'Données projet'!$E$15+1,1))-AVERAGE(OFFSET($H$3,0,0,'Données projet'!$E$15+1,1))</f>
        <v>204.39656982394689</v>
      </c>
      <c r="EP136" s="59">
        <f t="shared" si="154"/>
        <v>134.95704640904546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36.400435176669482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36.400435176669482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4.6269230769230774</v>
      </c>
      <c r="FE136" s="12">
        <f>IF('Données projet'!$A$218&gt;35,FE135+FD136-FM135,IF(A136&lt;'Données projet'!$A$218,$FB$205^A136,IF(A136='Données projet'!$A$218,'Données projet'!$B$218,FE135+FD136-FM135)))</f>
        <v>199.87948717948751</v>
      </c>
      <c r="FF136" s="17">
        <f>FE136*VLOOKUP('Données projet'!$B$16,Paramètres!$A$1:$I$89,3,0)*VLOOKUP('Données projet'!$B$16,Paramètres!$A$1:$I$89,5,0)</f>
        <v>171.49660000000031</v>
      </c>
      <c r="FG136" s="13">
        <f t="shared" si="155"/>
        <v>43.425041020917703</v>
      </c>
      <c r="FH136" s="20">
        <f t="shared" si="130"/>
        <v>374.32185811143216</v>
      </c>
      <c r="FI136" s="59">
        <f t="shared" si="131"/>
        <v>667.65519144476548</v>
      </c>
      <c r="FJ136" s="59">
        <f ca="1">AVERAGE(OFFSET($FI$3,0,0,'Données projet'!$E$16+1,1))-AVERAGE(OFFSET($H$3,0,0,'Données projet'!$E$16+1,1))</f>
        <v>199.60585215726968</v>
      </c>
      <c r="FK136" s="59">
        <f t="shared" si="156"/>
        <v>137.37366750114404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43.290919134791757</v>
      </c>
      <c r="FR136" s="21">
        <f>EXP(-LN(2)/25)*FR135+(1-EXP(-LN(2)/25))/(LN(2)/25)*Calculateur!FM136*Calculateur!FO136*VLOOKUP('Données projet'!$B$16,Paramètres!$A$1:$I$89,3,0)*0.475*44/12</f>
        <v>33.104126261921323</v>
      </c>
      <c r="FS136" s="21">
        <f>EXP(-LN(2)/2)*FS135+(1-EXP(-LN(2)/2))/(LN(2)/2)*FM136*FP136*VLOOKUP('Données projet'!$B$16,Paramètres!$A$1:$I$89,3,0)*0.475*44/12</f>
        <v>2.0748777341379387</v>
      </c>
      <c r="FT136" s="22">
        <f t="shared" si="132"/>
        <v>78.469923130851015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1.1368683772161603E-12</v>
      </c>
      <c r="O137" s="13">
        <f>N137*VLOOKUP('Données projet'!$B$9,Paramètres!$A$1:$I$89,3,0)*VLOOKUP('Données projet'!$B$9,Paramètres!$A$1:$I$89,5,0)</f>
        <v>5.3205440053716299E-13</v>
      </c>
      <c r="P137" s="13">
        <f t="shared" si="141"/>
        <v>6.579711042921201E-12</v>
      </c>
      <c r="Q137" s="20">
        <f t="shared" si="108"/>
        <v>1.2386324814023317E-11</v>
      </c>
      <c r="R137" s="59">
        <f t="shared" si="109"/>
        <v>293.33333333334571</v>
      </c>
      <c r="S137" s="59">
        <f ca="1">AVERAGE(OFFSET($R$3,0,0,'Données projet'!$E$9+1,1))-AVERAGE(OFFSET($H$3,0,0,'Données projet'!$E$9+1,1))</f>
        <v>164.93438869099657</v>
      </c>
      <c r="T137" s="59">
        <f t="shared" si="142"/>
        <v>112.28641356594233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137.37299425977204</v>
      </c>
      <c r="AA137" s="21">
        <f>EXP(-LN(2)/25)*AA136+(1-EXP(-LN(2)/25))/(LN(2)/25)*Calculateur!V137*Calculateur!X137*VLOOKUP('Données projet'!$B$9,Paramètres!$A$1:$I$89,3,0)*0.475*44/12</f>
        <v>32.035325640939213</v>
      </c>
      <c r="AB137" s="21">
        <f>EXP(-LN(2)/2)*AB136+(1-EXP(-LN(2)/2))/(LN(2)/2)*V137*Y137*VLOOKUP('Données projet'!$B$9,Paramètres!$A$1:$I$89,3,0)*0.475*44/12</f>
        <v>6.581100378571934</v>
      </c>
      <c r="AC137" s="22">
        <f t="shared" si="111"/>
        <v>175.98942027928319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273.81843612193632</v>
      </c>
      <c r="AO137" s="59">
        <f t="shared" si="144"/>
        <v>241.86405419073208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-6.3550942286383367E-14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271.42245454555501</v>
      </c>
      <c r="BJ137" s="59">
        <f t="shared" si="146"/>
        <v>362.63944425429077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47.413453407829749</v>
      </c>
      <c r="BQ137" s="21">
        <f>EXP(-LN(2)/25)*BQ136+(1-EXP(-LN(2)/25))/(LN(2)/25)*Calculateur!BL137*Calculateur!BN137*VLOOKUP('Données projet'!$B$11,Paramètres!$A$1:$I$89,3,0)*0.475*44/12</f>
        <v>6.4450397781850546</v>
      </c>
      <c r="BR137" s="21">
        <f>EXP(-LN(2)/2)*BR136+(1-EXP(-LN(2)/2))/(LN(2)/2)*BL137*BO137*VLOOKUP('Données projet'!$B$11,Paramètres!$A$1:$I$89,3,0)*0.475*44/12</f>
        <v>4.3938943627805363E-11</v>
      </c>
      <c r="BS137" s="22">
        <f t="shared" si="117"/>
        <v>53.858493186058745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-3.1036506698001178E-14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154.35821558431712</v>
      </c>
      <c r="CE137" s="59">
        <f t="shared" si="148"/>
        <v>263.86720460501306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10.481791176022467</v>
      </c>
      <c r="CL137" s="21">
        <f>EXP(-LN(2)/25)*CL136+(1-EXP(-LN(2)/25))/(LN(2)/25)*Calculateur!CG137*Calculateur!CI137*VLOOKUP('Données projet'!$B$12,Paramètres!$A$1:$I$89,3,0)*0.475*44/12</f>
        <v>11.066203702755578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21.547994878778045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213</v>
      </c>
      <c r="CU137" s="17">
        <f>CT137*VLOOKUP('Données projet'!$B$13,Paramètres!$A$1:$I$89,3,0)*VLOOKUP('Données projet'!$B$13,Paramètres!$A$1:$I$89,5,0)</f>
        <v>169.46279999999999</v>
      </c>
      <c r="CV137" s="13">
        <f t="shared" si="149"/>
        <v>42.969686502194378</v>
      </c>
      <c r="CW137" s="20">
        <f t="shared" si="121"/>
        <v>369.9865806579885</v>
      </c>
      <c r="CX137" s="59">
        <f t="shared" si="122"/>
        <v>663.31991399132176</v>
      </c>
      <c r="CY137" s="59">
        <f ca="1">AVERAGE(OFFSET($CX$3,0,0,'Données projet'!$E$13+1,1))-AVERAGE(OFFSET($H$3,0,0,'Données projet'!$E$13+1,1))</f>
        <v>157.25319335691853</v>
      </c>
      <c r="CZ137" s="59">
        <f t="shared" si="150"/>
        <v>159.50903492442171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3.8713213825268902</v>
      </c>
      <c r="DG137" s="21">
        <f>EXP(-LN(2)/25)*DG136+(1-EXP(-LN(2)/25))/(LN(2)/25)*Calculateur!DB137*Calculateur!DD137*VLOOKUP('Données projet'!$B$13,Paramètres!$A$1:$I$89,3,0)*0.475*44/12</f>
        <v>1.955143770175787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5.826465152702677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227.99999999999994</v>
      </c>
      <c r="DP137" s="17">
        <f>DO137*VLOOKUP('Données projet'!$B$14,Paramètres!$A$1:$I$89,3,0)*VLOOKUP('Données projet'!$B$14,Paramètres!$A$1:$I$89,5,0)</f>
        <v>199.18079999999998</v>
      </c>
      <c r="DQ137" s="13">
        <f t="shared" si="151"/>
        <v>49.564089376413683</v>
      </c>
      <c r="DR137" s="20">
        <f t="shared" si="124"/>
        <v>433.23068233058711</v>
      </c>
      <c r="DS137" s="59">
        <f t="shared" si="125"/>
        <v>726.56401566392037</v>
      </c>
      <c r="DT137" s="59">
        <f ca="1">AVERAGE(OFFSET($DS$3,0,0,'Données projet'!$E$14+1,1))-AVERAGE(OFFSET($H$3,0,0,'Données projet'!$E$14+1,1))</f>
        <v>229.5312221178919</v>
      </c>
      <c r="DU137" s="59">
        <f t="shared" si="152"/>
        <v>218.1982095871906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9.7525741452004695</v>
      </c>
      <c r="EB137" s="21">
        <f>EXP(-LN(2)/25)*EB136+(1-EXP(-LN(2)/25))/(LN(2)/25)*Calculateur!DW137*Calculateur!DY137*VLOOKUP('Données projet'!$B$14,Paramètres!$A$1:$I$89,3,0)*0.475*44/12</f>
        <v>5.6658267919250385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15.418400937125508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5.2446581196581219</v>
      </c>
      <c r="EJ137" s="12">
        <f>IF('Données projet'!$A$192&gt;35,EJ136+EI137-ER136,IF(A137&lt;'Données projet'!$A$192,$EG$205^A137,IF(A137='Données projet'!$A$192,'Données projet'!$B$192,EJ136+EI137-ER136)))</f>
        <v>277.33653846153805</v>
      </c>
      <c r="EK137" s="17">
        <f>EJ137*VLOOKUP('Données projet'!$B$15,Paramètres!$A$1:$I$89,3,0)*VLOOKUP('Données projet'!$B$15,Paramètres!$A$1:$I$89,5,0)</f>
        <v>250.9340999999996</v>
      </c>
      <c r="EL137" s="13">
        <f t="shared" si="153"/>
        <v>60.785920872094742</v>
      </c>
      <c r="EM137" s="20">
        <f t="shared" si="127"/>
        <v>542.91236968556427</v>
      </c>
      <c r="EN137" s="59">
        <f t="shared" si="128"/>
        <v>836.24570301889753</v>
      </c>
      <c r="EO137" s="59">
        <f ca="1">AVERAGE(OFFSET($EN$3,0,0,'Données projet'!$E$15+1,1))-AVERAGE(OFFSET($H$3,0,0,'Données projet'!$E$15+1,1))</f>
        <v>204.39656982394689</v>
      </c>
      <c r="EP137" s="59">
        <f t="shared" si="154"/>
        <v>134.95704640904546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35.686644844928182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35.686644844928182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>
        <f>VLOOKUP(A137,'Données projet'!$A$217:$I$237,2,0)</f>
        <v>204.50641025641028</v>
      </c>
      <c r="FC137" s="12">
        <f>VLOOKUP(A137,'Données projet'!$A$217:$I$237,9,0)</f>
        <v>4.6269230769230774</v>
      </c>
      <c r="FD137" s="12">
        <f t="array" ref="FD137">INDEX(FC:FC,MIN(IF(ISNUMBER(FC137:FC333),ROW(FC137:FC333),"")))</f>
        <v>4.6269230769230774</v>
      </c>
      <c r="FE137" s="12">
        <f>IF('Données projet'!$A$218&gt;35,FE136+FD137-FM136,IF(A137&lt;'Données projet'!$A$218,$FB$205^A137,IF(A137='Données projet'!$A$218,'Données projet'!$B$218,FE136+FD137-FM136)))</f>
        <v>204.50641025641059</v>
      </c>
      <c r="FF137" s="17">
        <f>FE137*VLOOKUP('Données projet'!$B$16,Paramètres!$A$1:$I$89,3,0)*VLOOKUP('Données projet'!$B$16,Paramètres!$A$1:$I$89,5,0)</f>
        <v>175.46650000000031</v>
      </c>
      <c r="FG137" s="13">
        <f t="shared" si="155"/>
        <v>44.312073429199465</v>
      </c>
      <c r="FH137" s="20">
        <f t="shared" si="130"/>
        <v>382.78101538918963</v>
      </c>
      <c r="FI137" s="59">
        <f t="shared" si="131"/>
        <v>676.11434872252289</v>
      </c>
      <c r="FJ137" s="59">
        <f ca="1">AVERAGE(OFFSET($FI$3,0,0,'Données projet'!$E$16+1,1))-AVERAGE(OFFSET($H$3,0,0,'Données projet'!$E$16+1,1))</f>
        <v>199.60585215726968</v>
      </c>
      <c r="FK137" s="59">
        <f t="shared" si="156"/>
        <v>137.37366750114404</v>
      </c>
      <c r="FL137" s="15">
        <f>IF(ISNA(VLOOKUP(A137,'Données projet'!$A$217:$I$237,3,0)),0,VLOOKUP(A137,'Données projet'!$A$217:$I$237,3,0))</f>
        <v>9</v>
      </c>
      <c r="FM137" s="15">
        <f>IF(ISNA(VLOOKUP(A137,'Données projet'!$A$217:$I$237,4,0)),0,VLOOKUP(A137,'Données projet'!$A$217:$I$237,4,0))</f>
        <v>72.544871794871796</v>
      </c>
      <c r="FN137" s="16">
        <f>IF(ISNA(VLOOKUP(A137,'Données projet'!$A$217:$I$237,5,0)),0%,VLOOKUP(A137,'Données projet'!$A$217:$I$237,5,0)*VLOOKUP('Données projet'!$B$16,Paramètres!$A$1:$I$89,7,0))</f>
        <v>0.26500000000000001</v>
      </c>
      <c r="FO137" s="16">
        <f>IF(ISNA(VLOOKUP(A137,'Données projet'!$A$217:$I$237,6,0)),0%,VLOOKUP(A137,'Données projet'!$A$217:$I$237,6,0)*VLOOKUP('Données projet'!$B$16,Paramètres!$A$1:$I$89,7,0))</f>
        <v>0.1855</v>
      </c>
      <c r="FP137" s="16">
        <f>IF(ISNA(VLOOKUP(A137,'Données projet'!$A$217:$I$237,7,0)),0%,VLOOKUP(A137,'Données projet'!$A$217:$I$237,7,0))</f>
        <v>0.1</v>
      </c>
      <c r="FQ137" s="21">
        <f>EXP(-LN(2)/35)*FQ136+(1-EXP(-LN(2)/35))/(LN(2)/35)*FM137*FN137*VLOOKUP('Données projet'!$B$16,Paramètres!$A$1:$I$89,3,0)*0.475*44/12</f>
        <v>60.676222191053583</v>
      </c>
      <c r="FR137" s="21">
        <f>EXP(-LN(2)/25)*FR136+(1-EXP(-LN(2)/25))/(LN(2)/25)*Calculateur!FM137*Calculateur!FO137*VLOOKUP('Données projet'!$B$16,Paramètres!$A$1:$I$89,3,0)*0.475*44/12</f>
        <v>44.912583764241099</v>
      </c>
      <c r="FS137" s="21">
        <f>EXP(-LN(2)/2)*FS136+(1-EXP(-LN(2)/2))/(LN(2)/2)*FM137*FP137*VLOOKUP('Données projet'!$B$16,Paramètres!$A$1:$I$89,3,0)*0.475*44/12</f>
        <v>7.3400018668659648</v>
      </c>
      <c r="FT137" s="22">
        <f t="shared" si="132"/>
        <v>112.92880782216064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1.1368683772161603E-12</v>
      </c>
      <c r="O138" s="13">
        <f>N138*VLOOKUP('Données projet'!$B$9,Paramètres!$A$1:$I$89,3,0)*VLOOKUP('Données projet'!$B$9,Paramètres!$A$1:$I$89,5,0)</f>
        <v>5.3205440053716299E-13</v>
      </c>
      <c r="P138" s="13">
        <f t="shared" si="141"/>
        <v>6.579711042921201E-12</v>
      </c>
      <c r="Q138" s="20">
        <f t="shared" si="108"/>
        <v>1.2386324814023317E-11</v>
      </c>
      <c r="R138" s="59">
        <f t="shared" si="109"/>
        <v>293.33333333334571</v>
      </c>
      <c r="S138" s="59">
        <f ca="1">AVERAGE(OFFSET($R$3,0,0,'Données projet'!$E$9+1,1))-AVERAGE(OFFSET($H$3,0,0,'Données projet'!$E$9+1,1))</f>
        <v>164.93438869099657</v>
      </c>
      <c r="T138" s="59">
        <f t="shared" si="142"/>
        <v>112.28641356594233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134.67919363159092</v>
      </c>
      <c r="AA138" s="21">
        <f>EXP(-LN(2)/25)*AA137+(1-EXP(-LN(2)/25))/(LN(2)/25)*Calculateur!V138*Calculateur!X138*VLOOKUP('Données projet'!$B$9,Paramètres!$A$1:$I$89,3,0)*0.475*44/12</f>
        <v>31.159317976623171</v>
      </c>
      <c r="AB138" s="21">
        <f>EXP(-LN(2)/2)*AB137+(1-EXP(-LN(2)/2))/(LN(2)/2)*V138*Y138*VLOOKUP('Données projet'!$B$9,Paramètres!$A$1:$I$89,3,0)*0.475*44/12</f>
        <v>4.6535407053575701</v>
      </c>
      <c r="AC138" s="22">
        <f t="shared" si="111"/>
        <v>170.49205231357166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273.81843612193632</v>
      </c>
      <c r="AO138" s="59">
        <f t="shared" si="144"/>
        <v>241.86405419073208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-6.3550942286383367E-14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271.42245454555501</v>
      </c>
      <c r="BJ138" s="59">
        <f t="shared" si="146"/>
        <v>362.63944425429077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46.48370450585324</v>
      </c>
      <c r="BQ138" s="21">
        <f>EXP(-LN(2)/25)*BQ137+(1-EXP(-LN(2)/25))/(LN(2)/25)*Calculateur!BL138*Calculateur!BN138*VLOOKUP('Données projet'!$B$11,Paramètres!$A$1:$I$89,3,0)*0.475*44/12</f>
        <v>6.2687998265206728</v>
      </c>
      <c r="BR138" s="21">
        <f>EXP(-LN(2)/2)*BR137+(1-EXP(-LN(2)/2))/(LN(2)/2)*BL138*BO138*VLOOKUP('Données projet'!$B$11,Paramètres!$A$1:$I$89,3,0)*0.475*44/12</f>
        <v>3.1069524997394613E-11</v>
      </c>
      <c r="BS138" s="22">
        <f t="shared" si="117"/>
        <v>52.752504332404982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-3.1036506698001178E-14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154.35821558431712</v>
      </c>
      <c r="CE138" s="59">
        <f t="shared" si="148"/>
        <v>263.86720460501306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10.276249644322002</v>
      </c>
      <c r="CL138" s="21">
        <f>EXP(-LN(2)/25)*CL137+(1-EXP(-LN(2)/25))/(LN(2)/25)*Calculateur!CG138*Calculateur!CI138*VLOOKUP('Données projet'!$B$12,Paramètres!$A$1:$I$89,3,0)*0.475*44/12</f>
        <v>10.763597780557365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21.039847424879369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213</v>
      </c>
      <c r="CU138" s="17">
        <f>CT138*VLOOKUP('Données projet'!$B$13,Paramètres!$A$1:$I$89,3,0)*VLOOKUP('Données projet'!$B$13,Paramètres!$A$1:$I$89,5,0)</f>
        <v>169.46279999999999</v>
      </c>
      <c r="CV138" s="13">
        <f t="shared" si="149"/>
        <v>42.969686502194378</v>
      </c>
      <c r="CW138" s="20">
        <f t="shared" si="121"/>
        <v>369.9865806579885</v>
      </c>
      <c r="CX138" s="59">
        <f t="shared" si="122"/>
        <v>663.31991399132176</v>
      </c>
      <c r="CY138" s="59">
        <f ca="1">AVERAGE(OFFSET($CX$3,0,0,'Données projet'!$E$13+1,1))-AVERAGE(OFFSET($H$3,0,0,'Données projet'!$E$13+1,1))</f>
        <v>157.25319335691853</v>
      </c>
      <c r="CZ138" s="59">
        <f t="shared" si="150"/>
        <v>159.50903492442171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3.795407131488425</v>
      </c>
      <c r="DG138" s="21">
        <f>EXP(-LN(2)/25)*DG137+(1-EXP(-LN(2)/25))/(LN(2)/25)*Calculateur!DB138*Calculateur!DD138*VLOOKUP('Données projet'!$B$13,Paramètres!$A$1:$I$89,3,0)*0.475*44/12</f>
        <v>1.9016802609637877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5.6970873924522127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227.99999999999994</v>
      </c>
      <c r="DP138" s="17">
        <f>DO138*VLOOKUP('Données projet'!$B$14,Paramètres!$A$1:$I$89,3,0)*VLOOKUP('Données projet'!$B$14,Paramètres!$A$1:$I$89,5,0)</f>
        <v>199.18079999999998</v>
      </c>
      <c r="DQ138" s="13">
        <f t="shared" si="151"/>
        <v>49.564089376413683</v>
      </c>
      <c r="DR138" s="20">
        <f t="shared" si="124"/>
        <v>433.23068233058711</v>
      </c>
      <c r="DS138" s="59">
        <f t="shared" si="125"/>
        <v>726.56401566392037</v>
      </c>
      <c r="DT138" s="59">
        <f ca="1">AVERAGE(OFFSET($DS$3,0,0,'Données projet'!$E$14+1,1))-AVERAGE(OFFSET($H$3,0,0,'Données projet'!$E$14+1,1))</f>
        <v>229.5312221178919</v>
      </c>
      <c r="DU138" s="59">
        <f t="shared" si="152"/>
        <v>218.1982095871906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9.5613321146959525</v>
      </c>
      <c r="EB138" s="21">
        <f>EXP(-LN(2)/25)*EB137+(1-EXP(-LN(2)/25))/(LN(2)/25)*Calculateur!DW138*Calculateur!DY138*VLOOKUP('Données projet'!$B$14,Paramètres!$A$1:$I$89,3,0)*0.475*44/12</f>
        <v>5.5108944603469663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15.072226575042919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5.2446581196581219</v>
      </c>
      <c r="EJ138" s="12">
        <f>IF('Données projet'!$A$192&gt;35,EJ137+EI138-ER137,IF(A138&lt;'Données projet'!$A$192,$EG$205^A138,IF(A138='Données projet'!$A$192,'Données projet'!$B$192,EJ137+EI138-ER137)))</f>
        <v>282.5811965811962</v>
      </c>
      <c r="EK138" s="17">
        <f>EJ138*VLOOKUP('Données projet'!$B$15,Paramètres!$A$1:$I$89,3,0)*VLOOKUP('Données projet'!$B$15,Paramètres!$A$1:$I$89,5,0)</f>
        <v>255.67946666666631</v>
      </c>
      <c r="EL138" s="13">
        <f t="shared" si="153"/>
        <v>61.800518593848722</v>
      </c>
      <c r="EM138" s="20">
        <f t="shared" si="127"/>
        <v>552.94430766206358</v>
      </c>
      <c r="EN138" s="59">
        <f t="shared" si="128"/>
        <v>846.27764099539695</v>
      </c>
      <c r="EO138" s="59">
        <f ca="1">AVERAGE(OFFSET($EN$3,0,0,'Données projet'!$E$15+1,1))-AVERAGE(OFFSET($H$3,0,0,'Données projet'!$E$15+1,1))</f>
        <v>204.39656982394689</v>
      </c>
      <c r="EP138" s="59">
        <f t="shared" si="154"/>
        <v>134.95704640904546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34.986851506223211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34.986851506223211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3.7307692307692206</v>
      </c>
      <c r="FE138" s="12">
        <f>IF('Données projet'!$A$218&gt;35,FE137+FD138-FM137,IF(A138&lt;'Données projet'!$A$218,$FB$205^A138,IF(A138='Données projet'!$A$218,'Données projet'!$B$218,FE137+FD138-FM137)))</f>
        <v>135.69230769230802</v>
      </c>
      <c r="FF138" s="17">
        <f>FE138*VLOOKUP('Données projet'!$B$16,Paramètres!$A$1:$I$89,3,0)*VLOOKUP('Données projet'!$B$16,Paramètres!$A$1:$I$89,5,0)</f>
        <v>116.42400000000029</v>
      </c>
      <c r="FG138" s="13">
        <f t="shared" si="155"/>
        <v>30.839493188275863</v>
      </c>
      <c r="FH138" s="20">
        <f t="shared" si="130"/>
        <v>256.48391730291434</v>
      </c>
      <c r="FI138" s="59">
        <f t="shared" si="131"/>
        <v>549.81725063624765</v>
      </c>
      <c r="FJ138" s="59">
        <f ca="1">AVERAGE(OFFSET($FI$3,0,0,'Données projet'!$E$16+1,1))-AVERAGE(OFFSET($H$3,0,0,'Données projet'!$E$16+1,1))</f>
        <v>199.60585215726968</v>
      </c>
      <c r="FK138" s="59">
        <f t="shared" si="156"/>
        <v>137.37366750114404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59.486398482728241</v>
      </c>
      <c r="FR138" s="21">
        <f>EXP(-LN(2)/25)*FR137+(1-EXP(-LN(2)/25))/(LN(2)/25)*Calculateur!FM138*Calculateur!FO138*VLOOKUP('Données projet'!$B$16,Paramètres!$A$1:$I$89,3,0)*0.475*44/12</f>
        <v>43.684446799357794</v>
      </c>
      <c r="FS138" s="21">
        <f>EXP(-LN(2)/2)*FS137+(1-EXP(-LN(2)/2))/(LN(2)/2)*FM138*FP138*VLOOKUP('Données projet'!$B$16,Paramètres!$A$1:$I$89,3,0)*0.475*44/12</f>
        <v>5.1901650939828423</v>
      </c>
      <c r="FT138" s="22">
        <f t="shared" si="132"/>
        <v>108.36101037606888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1.1368683772161603E-12</v>
      </c>
      <c r="O139" s="13">
        <f>N139*VLOOKUP('Données projet'!$B$9,Paramètres!$A$1:$I$89,3,0)*VLOOKUP('Données projet'!$B$9,Paramètres!$A$1:$I$89,5,0)</f>
        <v>5.3205440053716299E-13</v>
      </c>
      <c r="P139" s="13">
        <f t="shared" si="141"/>
        <v>6.579711042921201E-12</v>
      </c>
      <c r="Q139" s="20">
        <f t="shared" si="108"/>
        <v>1.2386324814023317E-11</v>
      </c>
      <c r="R139" s="59">
        <f t="shared" si="109"/>
        <v>293.33333333334571</v>
      </c>
      <c r="S139" s="59">
        <f ca="1">AVERAGE(OFFSET($R$3,0,0,'Données projet'!$E$9+1,1))-AVERAGE(OFFSET($H$3,0,0,'Données projet'!$E$9+1,1))</f>
        <v>164.93438869099657</v>
      </c>
      <c r="T139" s="59">
        <f t="shared" si="142"/>
        <v>112.28641356594233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132.03821679067227</v>
      </c>
      <c r="AA139" s="21">
        <f>EXP(-LN(2)/25)*AA138+(1-EXP(-LN(2)/25))/(LN(2)/25)*Calculateur!V139*Calculateur!X139*VLOOKUP('Données projet'!$B$9,Paramètres!$A$1:$I$89,3,0)*0.475*44/12</f>
        <v>30.307264787955095</v>
      </c>
      <c r="AB139" s="21">
        <f>EXP(-LN(2)/2)*AB138+(1-EXP(-LN(2)/2))/(LN(2)/2)*V139*Y139*VLOOKUP('Données projet'!$B$9,Paramètres!$A$1:$I$89,3,0)*0.475*44/12</f>
        <v>3.2905501892859674</v>
      </c>
      <c r="AC139" s="22">
        <f t="shared" si="111"/>
        <v>165.63603176791332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273.81843612193632</v>
      </c>
      <c r="AO139" s="59">
        <f t="shared" si="144"/>
        <v>241.86405419073208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-6.3550942286383367E-14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271.42245454555501</v>
      </c>
      <c r="BJ139" s="59">
        <f t="shared" si="146"/>
        <v>362.63944425429077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45.572187412753649</v>
      </c>
      <c r="BQ139" s="21">
        <f>EXP(-LN(2)/25)*BQ138+(1-EXP(-LN(2)/25))/(LN(2)/25)*Calculateur!BL139*Calculateur!BN139*VLOOKUP('Données projet'!$B$11,Paramètres!$A$1:$I$89,3,0)*0.475*44/12</f>
        <v>6.09737916560261</v>
      </c>
      <c r="BR139" s="21">
        <f>EXP(-LN(2)/2)*BR138+(1-EXP(-LN(2)/2))/(LN(2)/2)*BL139*BO139*VLOOKUP('Données projet'!$B$11,Paramètres!$A$1:$I$89,3,0)*0.475*44/12</f>
        <v>2.1969471813902681E-11</v>
      </c>
      <c r="BS139" s="22">
        <f t="shared" si="117"/>
        <v>51.66956657837823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-3.1036506698001178E-14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154.35821558431712</v>
      </c>
      <c r="CE139" s="59">
        <f t="shared" si="148"/>
        <v>263.86720460501306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10.074738656690228</v>
      </c>
      <c r="CL139" s="21">
        <f>EXP(-LN(2)/25)*CL138+(1-EXP(-LN(2)/25))/(LN(2)/25)*Calculateur!CG139*Calculateur!CI139*VLOOKUP('Données projet'!$B$12,Paramètres!$A$1:$I$89,3,0)*0.475*44/12</f>
        <v>10.469266633215017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20.544005289905243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213</v>
      </c>
      <c r="CU139" s="17">
        <f>CT139*VLOOKUP('Données projet'!$B$13,Paramètres!$A$1:$I$89,3,0)*VLOOKUP('Données projet'!$B$13,Paramètres!$A$1:$I$89,5,0)</f>
        <v>169.46279999999999</v>
      </c>
      <c r="CV139" s="13">
        <f t="shared" si="149"/>
        <v>42.969686502194378</v>
      </c>
      <c r="CW139" s="20">
        <f t="shared" si="121"/>
        <v>369.9865806579885</v>
      </c>
      <c r="CX139" s="59">
        <f t="shared" si="122"/>
        <v>663.31991399132176</v>
      </c>
      <c r="CY139" s="59">
        <f ca="1">AVERAGE(OFFSET($CX$3,0,0,'Données projet'!$E$13+1,1))-AVERAGE(OFFSET($H$3,0,0,'Données projet'!$E$13+1,1))</f>
        <v>157.25319335691853</v>
      </c>
      <c r="CZ139" s="59">
        <f t="shared" si="150"/>
        <v>159.50903492442171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3.7209815126097028</v>
      </c>
      <c r="DG139" s="21">
        <f>EXP(-LN(2)/25)*DG138+(1-EXP(-LN(2)/25))/(LN(2)/25)*Calculateur!DB139*Calculateur!DD139*VLOOKUP('Données projet'!$B$13,Paramètres!$A$1:$I$89,3,0)*0.475*44/12</f>
        <v>1.8496787142227145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5.570660226832417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227.99999999999994</v>
      </c>
      <c r="DP139" s="17">
        <f>DO139*VLOOKUP('Données projet'!$B$14,Paramètres!$A$1:$I$89,3,0)*VLOOKUP('Données projet'!$B$14,Paramètres!$A$1:$I$89,5,0)</f>
        <v>199.18079999999998</v>
      </c>
      <c r="DQ139" s="13">
        <f t="shared" si="151"/>
        <v>49.564089376413683</v>
      </c>
      <c r="DR139" s="20">
        <f t="shared" si="124"/>
        <v>433.23068233058711</v>
      </c>
      <c r="DS139" s="59">
        <f t="shared" si="125"/>
        <v>726.56401566392037</v>
      </c>
      <c r="DT139" s="59">
        <f ca="1">AVERAGE(OFFSET($DS$3,0,0,'Données projet'!$E$14+1,1))-AVERAGE(OFFSET($H$3,0,0,'Données projet'!$E$14+1,1))</f>
        <v>229.5312221178919</v>
      </c>
      <c r="DU139" s="59">
        <f t="shared" si="152"/>
        <v>218.1982095871906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9.3738402237635086</v>
      </c>
      <c r="EB139" s="21">
        <f>EXP(-LN(2)/25)*EB138+(1-EXP(-LN(2)/25))/(LN(2)/25)*Calculateur!DW139*Calculateur!DY139*VLOOKUP('Données projet'!$B$14,Paramètres!$A$1:$I$89,3,0)*0.475*44/12</f>
        <v>5.3601987615234341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14.734038985286944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5.2446581196581219</v>
      </c>
      <c r="EJ139" s="12">
        <f>IF('Données projet'!$A$192&gt;35,EJ138+EI139-ER138,IF(A139&lt;'Données projet'!$A$192,$EG$205^A139,IF(A139='Données projet'!$A$192,'Données projet'!$B$192,EJ138+EI139-ER138)))</f>
        <v>287.82585470085434</v>
      </c>
      <c r="EK139" s="17">
        <f>EJ139*VLOOKUP('Données projet'!$B$15,Paramètres!$A$1:$I$89,3,0)*VLOOKUP('Données projet'!$B$15,Paramètres!$A$1:$I$89,5,0)</f>
        <v>260.42483333333297</v>
      </c>
      <c r="EL139" s="13">
        <f t="shared" si="153"/>
        <v>62.81292664840214</v>
      </c>
      <c r="EM139" s="20">
        <f t="shared" si="127"/>
        <v>562.97243196818863</v>
      </c>
      <c r="EN139" s="59">
        <f t="shared" si="128"/>
        <v>856.30576530152189</v>
      </c>
      <c r="EO139" s="59">
        <f ca="1">AVERAGE(OFFSET($EN$3,0,0,'Données projet'!$E$15+1,1))-AVERAGE(OFFSET($H$3,0,0,'Données projet'!$E$15+1,1))</f>
        <v>204.39656982394689</v>
      </c>
      <c r="EP139" s="59">
        <f t="shared" si="154"/>
        <v>134.95704640904546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34.300780688058452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34.300780688058452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3.7307692307692206</v>
      </c>
      <c r="FE139" s="12">
        <f>IF('Données projet'!$A$218&gt;35,FE138+FD139-FM138,IF(A139&lt;'Données projet'!$A$218,$FB$205^A139,IF(A139='Données projet'!$A$218,'Données projet'!$B$218,FE138+FD139-FM138)))</f>
        <v>139.42307692307725</v>
      </c>
      <c r="FF139" s="17">
        <f>FE139*VLOOKUP('Données projet'!$B$16,Paramètres!$A$1:$I$89,3,0)*VLOOKUP('Données projet'!$B$16,Paramètres!$A$1:$I$89,5,0)</f>
        <v>119.62500000000028</v>
      </c>
      <c r="FG139" s="13">
        <f t="shared" si="155"/>
        <v>31.587520776533864</v>
      </c>
      <c r="FH139" s="20">
        <f t="shared" si="130"/>
        <v>263.36180701913031</v>
      </c>
      <c r="FI139" s="59">
        <f t="shared" si="131"/>
        <v>556.69514035246357</v>
      </c>
      <c r="FJ139" s="59">
        <f ca="1">AVERAGE(OFFSET($FI$3,0,0,'Données projet'!$E$16+1,1))-AVERAGE(OFFSET($H$3,0,0,'Données projet'!$E$16+1,1))</f>
        <v>199.60585215726968</v>
      </c>
      <c r="FK139" s="59">
        <f t="shared" si="156"/>
        <v>137.37366750114404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58.319906491602353</v>
      </c>
      <c r="FR139" s="21">
        <f>EXP(-LN(2)/25)*FR138+(1-EXP(-LN(2)/25))/(LN(2)/25)*Calculateur!FM139*Calculateur!FO139*VLOOKUP('Données projet'!$B$16,Paramètres!$A$1:$I$89,3,0)*0.475*44/12</f>
        <v>42.489893304364138</v>
      </c>
      <c r="FS139" s="21">
        <f>EXP(-LN(2)/2)*FS138+(1-EXP(-LN(2)/2))/(LN(2)/2)*FM139*FP139*VLOOKUP('Données projet'!$B$16,Paramètres!$A$1:$I$89,3,0)*0.475*44/12</f>
        <v>3.6700009334329828</v>
      </c>
      <c r="FT139" s="22">
        <f t="shared" si="132"/>
        <v>104.47980072939947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1.1368683772161603E-12</v>
      </c>
      <c r="O140" s="13">
        <f>N140*VLOOKUP('Données projet'!$B$9,Paramètres!$A$1:$I$89,3,0)*VLOOKUP('Données projet'!$B$9,Paramètres!$A$1:$I$89,5,0)</f>
        <v>5.3205440053716299E-13</v>
      </c>
      <c r="P140" s="13">
        <f t="shared" si="141"/>
        <v>6.579711042921201E-12</v>
      </c>
      <c r="Q140" s="20">
        <f t="shared" si="108"/>
        <v>1.2386324814023317E-11</v>
      </c>
      <c r="R140" s="59">
        <f t="shared" si="109"/>
        <v>293.33333333334571</v>
      </c>
      <c r="S140" s="59">
        <f ca="1">AVERAGE(OFFSET($R$3,0,0,'Données projet'!$E$9+1,1))-AVERAGE(OFFSET($H$3,0,0,'Données projet'!$E$9+1,1))</f>
        <v>164.93438869099657</v>
      </c>
      <c r="T140" s="59">
        <f t="shared" si="142"/>
        <v>112.28641356594233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129.44902789476723</v>
      </c>
      <c r="AA140" s="21">
        <f>EXP(-LN(2)/25)*AA139+(1-EXP(-LN(2)/25))/(LN(2)/25)*Calculateur!V140*Calculateur!X140*VLOOKUP('Données projet'!$B$9,Paramètres!$A$1:$I$89,3,0)*0.475*44/12</f>
        <v>29.478511038538677</v>
      </c>
      <c r="AB140" s="21">
        <f>EXP(-LN(2)/2)*AB139+(1-EXP(-LN(2)/2))/(LN(2)/2)*V140*Y140*VLOOKUP('Données projet'!$B$9,Paramètres!$A$1:$I$89,3,0)*0.475*44/12</f>
        <v>2.3267703526787851</v>
      </c>
      <c r="AC140" s="22">
        <f t="shared" si="111"/>
        <v>161.25430928598468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273.81843612193632</v>
      </c>
      <c r="AO140" s="59">
        <f t="shared" si="144"/>
        <v>241.86405419073208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-6.3550942286383367E-14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271.42245454555501</v>
      </c>
      <c r="BJ140" s="59">
        <f t="shared" si="146"/>
        <v>362.63944425429077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44.678544613879218</v>
      </c>
      <c r="BQ140" s="21">
        <f>EXP(-LN(2)/25)*BQ139+(1-EXP(-LN(2)/25))/(LN(2)/25)*Calculateur!BL140*Calculateur!BN140*VLOOKUP('Données projet'!$B$11,Paramètres!$A$1:$I$89,3,0)*0.475*44/12</f>
        <v>5.9306460116719721</v>
      </c>
      <c r="BR140" s="21">
        <f>EXP(-LN(2)/2)*BR139+(1-EXP(-LN(2)/2))/(LN(2)/2)*BL140*BO140*VLOOKUP('Données projet'!$B$11,Paramètres!$A$1:$I$89,3,0)*0.475*44/12</f>
        <v>1.5534762498697307E-11</v>
      </c>
      <c r="BS140" s="22">
        <f t="shared" si="117"/>
        <v>50.609190625566725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-3.1036506698001178E-14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154.35821558431712</v>
      </c>
      <c r="CE140" s="59">
        <f t="shared" si="148"/>
        <v>263.86720460501306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9.8771791766163464</v>
      </c>
      <c r="CL140" s="21">
        <f>EXP(-LN(2)/25)*CL139+(1-EXP(-LN(2)/25))/(LN(2)/25)*Calculateur!CG140*Calculateur!CI140*VLOOKUP('Données projet'!$B$12,Paramètres!$A$1:$I$89,3,0)*0.475*44/12</f>
        <v>10.182983986574948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20.060163163191294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213</v>
      </c>
      <c r="CU140" s="17">
        <f>CT140*VLOOKUP('Données projet'!$B$13,Paramètres!$A$1:$I$89,3,0)*VLOOKUP('Données projet'!$B$13,Paramètres!$A$1:$I$89,5,0)</f>
        <v>169.46279999999999</v>
      </c>
      <c r="CV140" s="13">
        <f t="shared" si="149"/>
        <v>42.969686502194378</v>
      </c>
      <c r="CW140" s="20">
        <f t="shared" si="121"/>
        <v>369.9865806579885</v>
      </c>
      <c r="CX140" s="59">
        <f t="shared" si="122"/>
        <v>663.31991399132176</v>
      </c>
      <c r="CY140" s="59">
        <f ca="1">AVERAGE(OFFSET($CX$3,0,0,'Données projet'!$E$13+1,1))-AVERAGE(OFFSET($H$3,0,0,'Données projet'!$E$13+1,1))</f>
        <v>157.25319335691853</v>
      </c>
      <c r="CZ140" s="59">
        <f t="shared" si="150"/>
        <v>159.50903492442171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3.6480153347220474</v>
      </c>
      <c r="DG140" s="21">
        <f>EXP(-LN(2)/25)*DG139+(1-EXP(-LN(2)/25))/(LN(2)/25)*Calculateur!DB140*Calculateur!DD140*VLOOKUP('Données projet'!$B$13,Paramètres!$A$1:$I$89,3,0)*0.475*44/12</f>
        <v>1.7990991525119182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5.4471144872339661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227.99999999999994</v>
      </c>
      <c r="DP140" s="17">
        <f>DO140*VLOOKUP('Données projet'!$B$14,Paramètres!$A$1:$I$89,3,0)*VLOOKUP('Données projet'!$B$14,Paramètres!$A$1:$I$89,5,0)</f>
        <v>199.18079999999998</v>
      </c>
      <c r="DQ140" s="13">
        <f t="shared" si="151"/>
        <v>49.564089376413683</v>
      </c>
      <c r="DR140" s="20">
        <f t="shared" si="124"/>
        <v>433.23068233058711</v>
      </c>
      <c r="DS140" s="59">
        <f t="shared" si="125"/>
        <v>726.56401566392037</v>
      </c>
      <c r="DT140" s="59">
        <f ca="1">AVERAGE(OFFSET($DS$3,0,0,'Données projet'!$E$14+1,1))-AVERAGE(OFFSET($H$3,0,0,'Données projet'!$E$14+1,1))</f>
        <v>229.5312221178919</v>
      </c>
      <c r="DU140" s="59">
        <f t="shared" si="152"/>
        <v>218.1982095871906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9.1900249344534881</v>
      </c>
      <c r="EB140" s="21">
        <f>EXP(-LN(2)/25)*EB139+(1-EXP(-LN(2)/25))/(LN(2)/25)*Calculateur!DW140*Calculateur!DY140*VLOOKUP('Données projet'!$B$14,Paramètres!$A$1:$I$89,3,0)*0.475*44/12</f>
        <v>5.213623844508974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14.403648778962463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>
        <f>VLOOKUP(A140,'Données projet'!$A$191:$I$211,2,0)</f>
        <v>293.07051282051282</v>
      </c>
      <c r="EH140" s="12">
        <f>VLOOKUP(A140,'Données projet'!$A$191:$I$211,9,0)</f>
        <v>5.2446581196581219</v>
      </c>
      <c r="EI140" s="12">
        <f t="array" ref="EI140">INDEX(EH:EH,MIN(IF(ISNUMBER(EH140:EH336),ROW(EH140:EH336),"")))</f>
        <v>5.2446581196581219</v>
      </c>
      <c r="EJ140" s="12">
        <f>IF('Données projet'!$A$192&gt;35,EJ139+EI140-ER139,IF(A140&lt;'Données projet'!$A$192,$EG$205^A140,IF(A140='Données projet'!$A$192,'Données projet'!$B$192,EJ139+EI140-ER139)))</f>
        <v>293.07051282051248</v>
      </c>
      <c r="EK140" s="17">
        <f>EJ140*VLOOKUP('Données projet'!$B$15,Paramètres!$A$1:$I$89,3,0)*VLOOKUP('Données projet'!$B$15,Paramètres!$A$1:$I$89,5,0)</f>
        <v>265.17019999999968</v>
      </c>
      <c r="EL140" s="13">
        <f t="shared" si="153"/>
        <v>63.823189537116463</v>
      </c>
      <c r="EM140" s="20">
        <f t="shared" si="127"/>
        <v>572.9968201104773</v>
      </c>
      <c r="EN140" s="59">
        <f t="shared" si="128"/>
        <v>866.33015344381056</v>
      </c>
      <c r="EO140" s="59">
        <f ca="1">AVERAGE(OFFSET($EN$3,0,0,'Données projet'!$E$15+1,1))-AVERAGE(OFFSET($H$3,0,0,'Données projet'!$E$15+1,1))</f>
        <v>204.39656982394689</v>
      </c>
      <c r="EP140" s="59">
        <f t="shared" si="154"/>
        <v>134.95704640904546</v>
      </c>
      <c r="EQ140" s="15">
        <f>IF(ISNA(VLOOKUP(A140,'Données projet'!$A$191:$I$211,3,0)),0,VLOOKUP(A140,'Données projet'!$A$191:$I$211,3,0))</f>
        <v>11</v>
      </c>
      <c r="ER140" s="15">
        <f>IF(ISNA(VLOOKUP(A140,'Données projet'!$A$191:$I$211,4,0)),0,VLOOKUP(A140,'Données projet'!$A$191:$I$211,4,0))</f>
        <v>51.160256410256409</v>
      </c>
      <c r="ES140" s="16">
        <f>IF(ISNA(VLOOKUP(A140,'Données projet'!$A$191:$I$211,5,0)),0%,VLOOKUP(A140,'Données projet'!$A$191:$I$211,5,0)*VLOOKUP('Données projet'!$B$15,Paramètres!$A$1:$I$89,7,0))</f>
        <v>0.30099999999999999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49.030936135301836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49.030936135301836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3.7307692307692206</v>
      </c>
      <c r="FE140" s="12">
        <f>IF('Données projet'!$A$218&gt;35,FE139+FD140-FM139,IF(A140&lt;'Données projet'!$A$218,$FB$205^A140,IF(A140='Données projet'!$A$218,'Données projet'!$B$218,FE139+FD140-FM139)))</f>
        <v>143.15384615384647</v>
      </c>
      <c r="FF140" s="17">
        <f>FE140*VLOOKUP('Données projet'!$B$16,Paramètres!$A$1:$I$89,3,0)*VLOOKUP('Données projet'!$B$16,Paramètres!$A$1:$I$89,5,0)</f>
        <v>122.82600000000029</v>
      </c>
      <c r="FG140" s="13">
        <f t="shared" si="155"/>
        <v>32.333221811971079</v>
      </c>
      <c r="FH140" s="20">
        <f t="shared" si="130"/>
        <v>270.23564465585014</v>
      </c>
      <c r="FI140" s="59">
        <f t="shared" si="131"/>
        <v>563.5689779891834</v>
      </c>
      <c r="FJ140" s="59">
        <f ca="1">AVERAGE(OFFSET($FI$3,0,0,'Données projet'!$E$16+1,1))-AVERAGE(OFFSET($H$3,0,0,'Données projet'!$E$16+1,1))</f>
        <v>199.60585215726968</v>
      </c>
      <c r="FK140" s="59">
        <f t="shared" si="156"/>
        <v>137.37366750114404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57.176288696932581</v>
      </c>
      <c r="FR140" s="21">
        <f>EXP(-LN(2)/25)*FR139+(1-EXP(-LN(2)/25))/(LN(2)/25)*Calculateur!FM140*Calculateur!FO140*VLOOKUP('Données projet'!$B$16,Paramètres!$A$1:$I$89,3,0)*0.475*44/12</f>
        <v>41.328004937509924</v>
      </c>
      <c r="FS140" s="21">
        <f>EXP(-LN(2)/2)*FS139+(1-EXP(-LN(2)/2))/(LN(2)/2)*FM140*FP140*VLOOKUP('Données projet'!$B$16,Paramètres!$A$1:$I$89,3,0)*0.475*44/12</f>
        <v>2.5950825469914216</v>
      </c>
      <c r="FT140" s="22">
        <f t="shared" si="132"/>
        <v>101.09937618143393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1.1368683772161603E-12</v>
      </c>
      <c r="O141" s="13">
        <f>N141*VLOOKUP('Données projet'!$B$9,Paramètres!$A$1:$I$89,3,0)*VLOOKUP('Données projet'!$B$9,Paramètres!$A$1:$I$89,5,0)</f>
        <v>5.3205440053716299E-13</v>
      </c>
      <c r="P141" s="13">
        <f t="shared" si="141"/>
        <v>6.579711042921201E-12</v>
      </c>
      <c r="Q141" s="20">
        <f t="shared" si="108"/>
        <v>1.2386324814023317E-11</v>
      </c>
      <c r="R141" s="59">
        <f t="shared" si="109"/>
        <v>293.33333333334571</v>
      </c>
      <c r="S141" s="59">
        <f ca="1">AVERAGE(OFFSET($R$3,0,0,'Données projet'!$E$9+1,1))-AVERAGE(OFFSET($H$3,0,0,'Données projet'!$E$9+1,1))</f>
        <v>164.93438869099657</v>
      </c>
      <c r="T141" s="59">
        <f t="shared" si="142"/>
        <v>112.28641356594233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126.91061141386159</v>
      </c>
      <c r="AA141" s="21">
        <f>EXP(-LN(2)/25)*AA140+(1-EXP(-LN(2)/25))/(LN(2)/25)*Calculateur!V141*Calculateur!X141*VLOOKUP('Données projet'!$B$9,Paramètres!$A$1:$I$89,3,0)*0.475*44/12</f>
        <v>28.672419603982316</v>
      </c>
      <c r="AB141" s="21">
        <f>EXP(-LN(2)/2)*AB140+(1-EXP(-LN(2)/2))/(LN(2)/2)*V141*Y141*VLOOKUP('Données projet'!$B$9,Paramètres!$A$1:$I$89,3,0)*0.475*44/12</f>
        <v>1.6452750946429837</v>
      </c>
      <c r="AC141" s="22">
        <f t="shared" si="111"/>
        <v>157.22830611248688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273.81843612193632</v>
      </c>
      <c r="AO141" s="59">
        <f t="shared" si="144"/>
        <v>241.86405419073208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-6.3550942286383367E-14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271.42245454555501</v>
      </c>
      <c r="BJ141" s="59">
        <f t="shared" si="146"/>
        <v>362.63944425429077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43.802425605222425</v>
      </c>
      <c r="BQ141" s="21">
        <f>EXP(-LN(2)/25)*BQ140+(1-EXP(-LN(2)/25))/(LN(2)/25)*Calculateur!BL141*Calculateur!BN141*VLOOKUP('Données projet'!$B$11,Paramètres!$A$1:$I$89,3,0)*0.475*44/12</f>
        <v>5.7684721846036826</v>
      </c>
      <c r="BR141" s="21">
        <f>EXP(-LN(2)/2)*BR140+(1-EXP(-LN(2)/2))/(LN(2)/2)*BL141*BO141*VLOOKUP('Données projet'!$B$11,Paramètres!$A$1:$I$89,3,0)*0.475*44/12</f>
        <v>1.0984735906951341E-11</v>
      </c>
      <c r="BS141" s="22">
        <f t="shared" si="117"/>
        <v>49.57089778983709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-3.1036506698001178E-14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154.35821558431712</v>
      </c>
      <c r="CE141" s="59">
        <f t="shared" si="148"/>
        <v>263.86720460501306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9.6834937174473286</v>
      </c>
      <c r="CL141" s="21">
        <f>EXP(-LN(2)/25)*CL140+(1-EXP(-LN(2)/25))/(LN(2)/25)*Calculateur!CG141*Calculateur!CI141*VLOOKUP('Données projet'!$B$12,Paramètres!$A$1:$I$89,3,0)*0.475*44/12</f>
        <v>9.9045297539622013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19.588023471409528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213</v>
      </c>
      <c r="CU141" s="17">
        <f>CT141*VLOOKUP('Données projet'!$B$13,Paramètres!$A$1:$I$89,3,0)*VLOOKUP('Données projet'!$B$13,Paramètres!$A$1:$I$89,5,0)</f>
        <v>169.46279999999999</v>
      </c>
      <c r="CV141" s="13">
        <f t="shared" si="149"/>
        <v>42.969686502194378</v>
      </c>
      <c r="CW141" s="20">
        <f t="shared" si="121"/>
        <v>369.9865806579885</v>
      </c>
      <c r="CX141" s="59">
        <f t="shared" si="122"/>
        <v>663.31991399132176</v>
      </c>
      <c r="CY141" s="59">
        <f ca="1">AVERAGE(OFFSET($CX$3,0,0,'Données projet'!$E$13+1,1))-AVERAGE(OFFSET($H$3,0,0,'Données projet'!$E$13+1,1))</f>
        <v>157.25319335691853</v>
      </c>
      <c r="CZ141" s="59">
        <f t="shared" si="150"/>
        <v>159.50903492442171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3.5764799790777948</v>
      </c>
      <c r="DG141" s="21">
        <f>EXP(-LN(2)/25)*DG140+(1-EXP(-LN(2)/25))/(LN(2)/25)*Calculateur!DB141*Calculateur!DD141*VLOOKUP('Données projet'!$B$13,Paramètres!$A$1:$I$89,3,0)*0.475*44/12</f>
        <v>1.7499026915759672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5.3263826706537625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227.99999999999994</v>
      </c>
      <c r="DP141" s="17">
        <f>DO141*VLOOKUP('Données projet'!$B$14,Paramètres!$A$1:$I$89,3,0)*VLOOKUP('Données projet'!$B$14,Paramètres!$A$1:$I$89,5,0)</f>
        <v>199.18079999999998</v>
      </c>
      <c r="DQ141" s="13">
        <f t="shared" si="151"/>
        <v>49.564089376413683</v>
      </c>
      <c r="DR141" s="20">
        <f t="shared" si="124"/>
        <v>433.23068233058711</v>
      </c>
      <c r="DS141" s="59">
        <f t="shared" si="125"/>
        <v>726.56401566392037</v>
      </c>
      <c r="DT141" s="59">
        <f ca="1">AVERAGE(OFFSET($DS$3,0,0,'Données projet'!$E$14+1,1))-AVERAGE(OFFSET($H$3,0,0,'Données projet'!$E$14+1,1))</f>
        <v>229.5312221178919</v>
      </c>
      <c r="DU141" s="59">
        <f t="shared" si="152"/>
        <v>218.1982095871906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9.0098141508505822</v>
      </c>
      <c r="EB141" s="21">
        <f>EXP(-LN(2)/25)*EB140+(1-EXP(-LN(2)/25))/(LN(2)/25)*Calculateur!DW141*Calculateur!DY141*VLOOKUP('Données projet'!$B$14,Paramètres!$A$1:$I$89,3,0)*0.475*44/12</f>
        <v>5.0710570263083143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14.080871177158897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5.1063034188034209</v>
      </c>
      <c r="EJ141" s="12">
        <f>IF('Données projet'!$A$192&gt;35,EJ140+EI141-ER140,IF(A141&lt;'Données projet'!$A$192,$EG$205^A141,IF(A141='Données projet'!$A$192,'Données projet'!$B$192,EJ140+EI141-ER140)))</f>
        <v>247.01655982905947</v>
      </c>
      <c r="EK141" s="17">
        <f>EJ141*VLOOKUP('Données projet'!$B$15,Paramètres!$A$1:$I$89,3,0)*VLOOKUP('Données projet'!$B$15,Paramètres!$A$1:$I$89,5,0)</f>
        <v>223.500583333333</v>
      </c>
      <c r="EL141" s="13">
        <f t="shared" si="153"/>
        <v>54.875019768659023</v>
      </c>
      <c r="EM141" s="20">
        <f t="shared" si="127"/>
        <v>484.83750873596932</v>
      </c>
      <c r="EN141" s="59">
        <f t="shared" si="128"/>
        <v>778.17084206930258</v>
      </c>
      <c r="EO141" s="59">
        <f ca="1">AVERAGE(OFFSET($EN$3,0,0,'Données projet'!$E$15+1,1))-AVERAGE(OFFSET($H$3,0,0,'Données projet'!$E$15+1,1))</f>
        <v>204.39656982394689</v>
      </c>
      <c r="EP141" s="59">
        <f t="shared" si="154"/>
        <v>134.95704640904546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48.069469383606645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48.069469383606645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3.7307692307692206</v>
      </c>
      <c r="FE141" s="12">
        <f>IF('Données projet'!$A$218&gt;35,FE140+FD141-FM140,IF(A141&lt;'Données projet'!$A$218,$FB$205^A141,IF(A141='Données projet'!$A$218,'Données projet'!$B$218,FE140+FD141-FM140)))</f>
        <v>146.8846153846157</v>
      </c>
      <c r="FF141" s="17">
        <f>FE141*VLOOKUP('Données projet'!$B$16,Paramètres!$A$1:$I$89,3,0)*VLOOKUP('Données projet'!$B$16,Paramètres!$A$1:$I$89,5,0)</f>
        <v>126.02700000000029</v>
      </c>
      <c r="FG141" s="13">
        <f t="shared" si="155"/>
        <v>33.076663898070173</v>
      </c>
      <c r="FH141" s="20">
        <f t="shared" si="130"/>
        <v>277.10554795580606</v>
      </c>
      <c r="FI141" s="59">
        <f t="shared" si="131"/>
        <v>570.43888128913932</v>
      </c>
      <c r="FJ141" s="59">
        <f ca="1">AVERAGE(OFFSET($FI$3,0,0,'Données projet'!$E$16+1,1))-AVERAGE(OFFSET($H$3,0,0,'Données projet'!$E$16+1,1))</f>
        <v>199.60585215726968</v>
      </c>
      <c r="FK141" s="59">
        <f t="shared" si="156"/>
        <v>137.37366750114404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56.055096549678311</v>
      </c>
      <c r="FR141" s="21">
        <f>EXP(-LN(2)/25)*FR140+(1-EXP(-LN(2)/25))/(LN(2)/25)*Calculateur!FM141*Calculateur!FO141*VLOOKUP('Données projet'!$B$16,Paramètres!$A$1:$I$89,3,0)*0.475*44/12</f>
        <v>40.197888469148388</v>
      </c>
      <c r="FS141" s="21">
        <f>EXP(-LN(2)/2)*FS140+(1-EXP(-LN(2)/2))/(LN(2)/2)*FM141*FP141*VLOOKUP('Données projet'!$B$16,Paramètres!$A$1:$I$89,3,0)*0.475*44/12</f>
        <v>1.8350004667164916</v>
      </c>
      <c r="FT141" s="22">
        <f t="shared" si="132"/>
        <v>98.0879854855432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1.1368683772161603E-12</v>
      </c>
      <c r="O142" s="13">
        <f>N142*VLOOKUP('Données projet'!$B$9,Paramètres!$A$1:$I$89,3,0)*VLOOKUP('Données projet'!$B$9,Paramètres!$A$1:$I$89,5,0)</f>
        <v>5.3205440053716299E-13</v>
      </c>
      <c r="P142" s="13">
        <f t="shared" si="141"/>
        <v>6.579711042921201E-12</v>
      </c>
      <c r="Q142" s="20">
        <f t="shared" si="108"/>
        <v>1.2386324814023317E-11</v>
      </c>
      <c r="R142" s="59">
        <f t="shared" si="109"/>
        <v>293.33333333334571</v>
      </c>
      <c r="S142" s="59">
        <f ca="1">AVERAGE(OFFSET($R$3,0,0,'Données projet'!$E$9+1,1))-AVERAGE(OFFSET($H$3,0,0,'Données projet'!$E$9+1,1))</f>
        <v>164.93438869099657</v>
      </c>
      <c r="T142" s="59">
        <f t="shared" si="142"/>
        <v>112.28641356594233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124.42197173186534</v>
      </c>
      <c r="AA142" s="21">
        <f>EXP(-LN(2)/25)*AA141+(1-EXP(-LN(2)/25))/(LN(2)/25)*Calculateur!V142*Calculateur!X142*VLOOKUP('Données projet'!$B$9,Paramètres!$A$1:$I$89,3,0)*0.475*44/12</f>
        <v>27.888370782094405</v>
      </c>
      <c r="AB142" s="21">
        <f>EXP(-LN(2)/2)*AB141+(1-EXP(-LN(2)/2))/(LN(2)/2)*V142*Y142*VLOOKUP('Données projet'!$B$9,Paramètres!$A$1:$I$89,3,0)*0.475*44/12</f>
        <v>1.1633851763393925</v>
      </c>
      <c r="AC142" s="22">
        <f t="shared" si="111"/>
        <v>153.47372769029914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273.81843612193632</v>
      </c>
      <c r="AO142" s="59">
        <f t="shared" si="144"/>
        <v>241.86405419073208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-6.3550942286383367E-14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271.42245454555501</v>
      </c>
      <c r="BJ142" s="59">
        <f t="shared" si="146"/>
        <v>362.63944425429077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42.943486755945564</v>
      </c>
      <c r="BQ142" s="21">
        <f>EXP(-LN(2)/25)*BQ141+(1-EXP(-LN(2)/25))/(LN(2)/25)*Calculateur!BL142*Calculateur!BN142*VLOOKUP('Données projet'!$B$11,Paramètres!$A$1:$I$89,3,0)*0.475*44/12</f>
        <v>5.6107330093649264</v>
      </c>
      <c r="BR142" s="21">
        <f>EXP(-LN(2)/2)*BR141+(1-EXP(-LN(2)/2))/(LN(2)/2)*BL142*BO142*VLOOKUP('Données projet'!$B$11,Paramètres!$A$1:$I$89,3,0)*0.475*44/12</f>
        <v>7.7673812493486533E-12</v>
      </c>
      <c r="BS142" s="22">
        <f t="shared" si="117"/>
        <v>48.554219765318258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-3.1036506698001178E-14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154.35821558431712</v>
      </c>
      <c r="CE142" s="59">
        <f t="shared" si="148"/>
        <v>263.86720460501306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9.4936063119961513</v>
      </c>
      <c r="CL142" s="21">
        <f>EXP(-LN(2)/25)*CL141+(1-EXP(-LN(2)/25))/(LN(2)/25)*Calculateur!CG142*Calculateur!CI142*VLOOKUP('Données projet'!$B$12,Paramètres!$A$1:$I$89,3,0)*0.475*44/12</f>
        <v>9.6336898669835218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19.127296178979673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213</v>
      </c>
      <c r="CU142" s="17">
        <f>CT142*VLOOKUP('Données projet'!$B$13,Paramètres!$A$1:$I$89,3,0)*VLOOKUP('Données projet'!$B$13,Paramètres!$A$1:$I$89,5,0)</f>
        <v>169.46279999999999</v>
      </c>
      <c r="CV142" s="13">
        <f t="shared" si="149"/>
        <v>42.969686502194378</v>
      </c>
      <c r="CW142" s="20">
        <f t="shared" si="121"/>
        <v>369.9865806579885</v>
      </c>
      <c r="CX142" s="59">
        <f t="shared" si="122"/>
        <v>663.31991399132176</v>
      </c>
      <c r="CY142" s="59">
        <f ca="1">AVERAGE(OFFSET($CX$3,0,0,'Données projet'!$E$13+1,1))-AVERAGE(OFFSET($H$3,0,0,'Données projet'!$E$13+1,1))</f>
        <v>157.25319335691853</v>
      </c>
      <c r="CZ142" s="59">
        <f t="shared" si="150"/>
        <v>159.50903492442171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3.5063473881254676</v>
      </c>
      <c r="DG142" s="21">
        <f>EXP(-LN(2)/25)*DG141+(1-EXP(-LN(2)/25))/(LN(2)/25)*Calculateur!DB142*Calculateur!DD142*VLOOKUP('Données projet'!$B$13,Paramètres!$A$1:$I$89,3,0)*0.475*44/12</f>
        <v>1.7020515104514393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5.208398898576907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227.99999999999994</v>
      </c>
      <c r="DP142" s="17">
        <f>DO142*VLOOKUP('Données projet'!$B$14,Paramètres!$A$1:$I$89,3,0)*VLOOKUP('Données projet'!$B$14,Paramètres!$A$1:$I$89,5,0)</f>
        <v>199.18079999999998</v>
      </c>
      <c r="DQ142" s="13">
        <f t="shared" si="151"/>
        <v>49.564089376413683</v>
      </c>
      <c r="DR142" s="20">
        <f t="shared" si="124"/>
        <v>433.23068233058711</v>
      </c>
      <c r="DS142" s="59">
        <f t="shared" si="125"/>
        <v>726.56401566392037</v>
      </c>
      <c r="DT142" s="59">
        <f ca="1">AVERAGE(OFFSET($DS$3,0,0,'Données projet'!$E$14+1,1))-AVERAGE(OFFSET($H$3,0,0,'Données projet'!$E$14+1,1))</f>
        <v>229.5312221178919</v>
      </c>
      <c r="DU142" s="59">
        <f t="shared" si="152"/>
        <v>218.1982095871906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8.8331371907964051</v>
      </c>
      <c r="EB142" s="21">
        <f>EXP(-LN(2)/25)*EB141+(1-EXP(-LN(2)/25))/(LN(2)/25)*Calculateur!DW142*Calculateur!DY142*VLOOKUP('Données projet'!$B$14,Paramètres!$A$1:$I$89,3,0)*0.475*44/12</f>
        <v>4.9323887052486146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13.76552589604502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5.1063034188034209</v>
      </c>
      <c r="EJ142" s="12">
        <f>IF('Données projet'!$A$192&gt;35,EJ141+EI142-ER141,IF(A142&lt;'Données projet'!$A$192,$EG$205^A142,IF(A142='Données projet'!$A$192,'Données projet'!$B$192,EJ141+EI142-ER141)))</f>
        <v>252.12286324786288</v>
      </c>
      <c r="EK142" s="17">
        <f>EJ142*VLOOKUP('Données projet'!$B$15,Paramètres!$A$1:$I$89,3,0)*VLOOKUP('Données projet'!$B$15,Paramètres!$A$1:$I$89,5,0)</f>
        <v>228.12076666666633</v>
      </c>
      <c r="EL142" s="13">
        <f t="shared" si="153"/>
        <v>55.876153534759418</v>
      </c>
      <c r="EM142" s="20">
        <f t="shared" si="127"/>
        <v>494.62796935081639</v>
      </c>
      <c r="EN142" s="59">
        <f t="shared" si="128"/>
        <v>787.9613026841497</v>
      </c>
      <c r="EO142" s="59">
        <f ca="1">AVERAGE(OFFSET($EN$3,0,0,'Données projet'!$E$15+1,1))-AVERAGE(OFFSET($H$3,0,0,'Données projet'!$E$15+1,1))</f>
        <v>204.39656982394689</v>
      </c>
      <c r="EP142" s="59">
        <f t="shared" si="154"/>
        <v>134.95704640904546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47.126856408475383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47.126856408475383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>
        <f>VLOOKUP(A142,'Données projet'!$A$217:$I$237,2,0)</f>
        <v>150.61538461538458</v>
      </c>
      <c r="FC142" s="12">
        <f>VLOOKUP(A142,'Données projet'!$A$217:$I$237,9,0)</f>
        <v>3.7307692307692206</v>
      </c>
      <c r="FD142" s="12">
        <f t="array" ref="FD142">INDEX(FC:FC,MIN(IF(ISNUMBER(FC142:FC338),ROW(FC142:FC338),"")))</f>
        <v>3.7307692307692206</v>
      </c>
      <c r="FE142" s="12">
        <f>IF('Données projet'!$A$218&gt;35,FE141+FD142-FM141,IF(A142&lt;'Données projet'!$A$218,$FB$205^A142,IF(A142='Données projet'!$A$218,'Données projet'!$B$218,FE141+FD142-FM141)))</f>
        <v>150.61538461538493</v>
      </c>
      <c r="FF142" s="17">
        <f>FE142*VLOOKUP('Données projet'!$B$16,Paramètres!$A$1:$I$89,3,0)*VLOOKUP('Données projet'!$B$16,Paramètres!$A$1:$I$89,5,0)</f>
        <v>129.22800000000029</v>
      </c>
      <c r="FG142" s="13">
        <f t="shared" si="155"/>
        <v>33.817911008470269</v>
      </c>
      <c r="FH142" s="20">
        <f t="shared" si="130"/>
        <v>283.9716283397529</v>
      </c>
      <c r="FI142" s="59">
        <f t="shared" si="131"/>
        <v>577.30496167308615</v>
      </c>
      <c r="FJ142" s="59">
        <f ca="1">AVERAGE(OFFSET($FI$3,0,0,'Données projet'!$E$16+1,1))-AVERAGE(OFFSET($H$3,0,0,'Données projet'!$E$16+1,1))</f>
        <v>199.60585215726968</v>
      </c>
      <c r="FK142" s="59">
        <f t="shared" si="156"/>
        <v>137.37366750114404</v>
      </c>
      <c r="FL142" s="15">
        <f>IF(ISNA(VLOOKUP(A142,'Données projet'!$A$217:$I$237,3,0)),0,VLOOKUP(A142,'Données projet'!$A$217:$I$237,3,0))</f>
        <v>10</v>
      </c>
      <c r="FM142" s="15">
        <f>IF(ISNA(VLOOKUP(A142,'Données projet'!$A$217:$I$237,4,0)),0,VLOOKUP(A142,'Données projet'!$A$217:$I$237,4,0))</f>
        <v>61.948717948717949</v>
      </c>
      <c r="FN142" s="16">
        <f>IF(ISNA(VLOOKUP(A142,'Données projet'!$A$217:$I$237,5,0)),0%,VLOOKUP(A142,'Données projet'!$A$217:$I$237,5,0)*VLOOKUP('Données projet'!$B$16,Paramètres!$A$1:$I$89,7,0))</f>
        <v>0.318</v>
      </c>
      <c r="FO142" s="16">
        <f>IF(ISNA(VLOOKUP(A142,'Données projet'!$A$217:$I$237,6,0)),0%,VLOOKUP(A142,'Données projet'!$A$217:$I$237,6,0)*VLOOKUP('Données projet'!$B$16,Paramètres!$A$1:$I$89,7,0))</f>
        <v>0.1855</v>
      </c>
      <c r="FP142" s="16">
        <f>IF(ISNA(VLOOKUP(A142,'Données projet'!$A$217:$I$237,7,0)),0%,VLOOKUP(A142,'Données projet'!$A$217:$I$237,7,0))</f>
        <v>0.05</v>
      </c>
      <c r="FQ142" s="21">
        <f>EXP(-LN(2)/35)*FQ141+(1-EXP(-LN(2)/35))/(LN(2)/35)*FM142*FN142*VLOOKUP('Données projet'!$B$16,Paramètres!$A$1:$I$89,3,0)*0.475*44/12</f>
        <v>73.640922089485457</v>
      </c>
      <c r="FR142" s="21">
        <f>EXP(-LN(2)/25)*FR141+(1-EXP(-LN(2)/25))/(LN(2)/25)*Calculateur!FM142*Calculateur!FO142*VLOOKUP('Données projet'!$B$16,Paramètres!$A$1:$I$89,3,0)*0.475*44/12</f>
        <v>49.955361088571628</v>
      </c>
      <c r="FS142" s="21">
        <f>EXP(-LN(2)/2)*FS141+(1-EXP(-LN(2)/2))/(LN(2)/2)*FM142*FP142*VLOOKUP('Données projet'!$B$16,Paramètres!$A$1:$I$89,3,0)*0.475*44/12</f>
        <v>3.8050584017509905</v>
      </c>
      <c r="FT142" s="22">
        <f t="shared" si="132"/>
        <v>127.40134157980808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1.1368683772161603E-12</v>
      </c>
      <c r="O143" s="13">
        <f>N143*VLOOKUP('Données projet'!$B$9,Paramètres!$A$1:$I$89,3,0)*VLOOKUP('Données projet'!$B$9,Paramètres!$A$1:$I$89,5,0)</f>
        <v>5.3205440053716299E-13</v>
      </c>
      <c r="P143" s="13">
        <f t="shared" si="141"/>
        <v>6.579711042921201E-12</v>
      </c>
      <c r="Q143" s="20">
        <f t="shared" si="108"/>
        <v>1.2386324814023317E-11</v>
      </c>
      <c r="R143" s="59">
        <f t="shared" si="109"/>
        <v>293.33333333334571</v>
      </c>
      <c r="S143" s="59">
        <f ca="1">AVERAGE(OFFSET($R$3,0,0,'Données projet'!$E$9+1,1))-AVERAGE(OFFSET($H$3,0,0,'Données projet'!$E$9+1,1))</f>
        <v>164.93438869099657</v>
      </c>
      <c r="T143" s="59">
        <f t="shared" si="142"/>
        <v>112.28641356594233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121.9821327561127</v>
      </c>
      <c r="AA143" s="21">
        <f>EXP(-LN(2)/25)*AA142+(1-EXP(-LN(2)/25))/(LN(2)/25)*Calculateur!V143*Calculateur!X143*VLOOKUP('Données projet'!$B$9,Paramètres!$A$1:$I$89,3,0)*0.475*44/12</f>
        <v>27.125761816472355</v>
      </c>
      <c r="AB143" s="21">
        <f>EXP(-LN(2)/2)*AB142+(1-EXP(-LN(2)/2))/(LN(2)/2)*V143*Y143*VLOOKUP('Données projet'!$B$9,Paramètres!$A$1:$I$89,3,0)*0.475*44/12</f>
        <v>0.82263754732149186</v>
      </c>
      <c r="AC143" s="22">
        <f t="shared" si="111"/>
        <v>149.93053211990656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273.81843612193632</v>
      </c>
      <c r="AO143" s="59">
        <f t="shared" si="144"/>
        <v>241.86405419073208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-6.3550942286383367E-14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271.42245454555501</v>
      </c>
      <c r="BJ143" s="59">
        <f t="shared" si="146"/>
        <v>362.63944425429077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42.101391173602053</v>
      </c>
      <c r="BQ143" s="21">
        <f>EXP(-LN(2)/25)*BQ142+(1-EXP(-LN(2)/25))/(LN(2)/25)*Calculateur!BL143*Calculateur!BN143*VLOOKUP('Données projet'!$B$11,Paramètres!$A$1:$I$89,3,0)*0.475*44/12</f>
        <v>5.4573072201682171</v>
      </c>
      <c r="BR143" s="21">
        <f>EXP(-LN(2)/2)*BR142+(1-EXP(-LN(2)/2))/(LN(2)/2)*BL143*BO143*VLOOKUP('Données projet'!$B$11,Paramètres!$A$1:$I$89,3,0)*0.475*44/12</f>
        <v>5.4923679534756703E-12</v>
      </c>
      <c r="BS143" s="22">
        <f t="shared" si="117"/>
        <v>47.558698393775764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-3.1036506698001178E-14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154.35821558431712</v>
      </c>
      <c r="CE143" s="59">
        <f t="shared" si="148"/>
        <v>263.86720460501306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9.3074424827459907</v>
      </c>
      <c r="CL143" s="21">
        <f>EXP(-LN(2)/25)*CL142+(1-EXP(-LN(2)/25))/(LN(2)/25)*Calculateur!CG143*Calculateur!CI143*VLOOKUP('Données projet'!$B$12,Paramètres!$A$1:$I$89,3,0)*0.475*44/12</f>
        <v>9.3702561109571256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18.677698593703116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213</v>
      </c>
      <c r="CU143" s="17">
        <f>CT143*VLOOKUP('Données projet'!$B$13,Paramètres!$A$1:$I$89,3,0)*VLOOKUP('Données projet'!$B$13,Paramètres!$A$1:$I$89,5,0)</f>
        <v>169.46279999999999</v>
      </c>
      <c r="CV143" s="13">
        <f t="shared" si="149"/>
        <v>42.969686502194378</v>
      </c>
      <c r="CW143" s="20">
        <f t="shared" si="121"/>
        <v>369.9865806579885</v>
      </c>
      <c r="CX143" s="59">
        <f t="shared" si="122"/>
        <v>663.31991399132176</v>
      </c>
      <c r="CY143" s="59">
        <f ca="1">AVERAGE(OFFSET($CX$3,0,0,'Données projet'!$E$13+1,1))-AVERAGE(OFFSET($H$3,0,0,'Données projet'!$E$13+1,1))</f>
        <v>157.25319335691853</v>
      </c>
      <c r="CZ143" s="59">
        <f t="shared" si="150"/>
        <v>159.50903492442171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3.4375900545050588</v>
      </c>
      <c r="DG143" s="21">
        <f>EXP(-LN(2)/25)*DG142+(1-EXP(-LN(2)/25))/(LN(2)/25)*Calculateur!DB143*Calculateur!DD143*VLOOKUP('Données projet'!$B$13,Paramètres!$A$1:$I$89,3,0)*0.475*44/12</f>
        <v>1.6555088223911458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5.0930988768962049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227.99999999999994</v>
      </c>
      <c r="DP143" s="17">
        <f>DO143*VLOOKUP('Données projet'!$B$14,Paramètres!$A$1:$I$89,3,0)*VLOOKUP('Données projet'!$B$14,Paramètres!$A$1:$I$89,5,0)</f>
        <v>199.18079999999998</v>
      </c>
      <c r="DQ143" s="13">
        <f t="shared" si="151"/>
        <v>49.564089376413683</v>
      </c>
      <c r="DR143" s="20">
        <f t="shared" si="124"/>
        <v>433.23068233058711</v>
      </c>
      <c r="DS143" s="59">
        <f t="shared" si="125"/>
        <v>726.56401566392037</v>
      </c>
      <c r="DT143" s="59">
        <f ca="1">AVERAGE(OFFSET($DS$3,0,0,'Données projet'!$E$14+1,1))-AVERAGE(OFFSET($H$3,0,0,'Données projet'!$E$14+1,1))</f>
        <v>229.5312221178919</v>
      </c>
      <c r="DU143" s="59">
        <f t="shared" si="152"/>
        <v>218.1982095871906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8.6599247581665839</v>
      </c>
      <c r="EB143" s="21">
        <f>EXP(-LN(2)/25)*EB142+(1-EXP(-LN(2)/25))/(LN(2)/25)*Calculateur!DW143*Calculateur!DY143*VLOOKUP('Données projet'!$B$14,Paramètres!$A$1:$I$89,3,0)*0.475*44/12</f>
        <v>4.7975122767205427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13.457437034887127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5.1063034188034209</v>
      </c>
      <c r="EJ143" s="12">
        <f>IF('Données projet'!$A$192&gt;35,EJ142+EI143-ER142,IF(A143&lt;'Données projet'!$A$192,$EG$205^A143,IF(A143='Données projet'!$A$192,'Données projet'!$B$192,EJ142+EI143-ER142)))</f>
        <v>257.22916666666629</v>
      </c>
      <c r="EK143" s="17">
        <f>EJ143*VLOOKUP('Données projet'!$B$15,Paramètres!$A$1:$I$89,3,0)*VLOOKUP('Données projet'!$B$15,Paramètres!$A$1:$I$89,5,0)</f>
        <v>232.74094999999966</v>
      </c>
      <c r="EL143" s="13">
        <f t="shared" si="153"/>
        <v>56.874929761004168</v>
      </c>
      <c r="EM143" s="20">
        <f t="shared" si="127"/>
        <v>504.41432391708167</v>
      </c>
      <c r="EN143" s="59">
        <f t="shared" si="128"/>
        <v>797.74765725041493</v>
      </c>
      <c r="EO143" s="59">
        <f ca="1">AVERAGE(OFFSET($EN$3,0,0,'Données projet'!$E$15+1,1))-AVERAGE(OFFSET($H$3,0,0,'Données projet'!$E$15+1,1))</f>
        <v>204.39656982394689</v>
      </c>
      <c r="EP143" s="59">
        <f t="shared" si="154"/>
        <v>134.95704640904546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46.202727498849299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46.202727498849299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2.8012820512820618</v>
      </c>
      <c r="FE143" s="12">
        <f>IF('Données projet'!$A$218&gt;35,FE142+FD143-FM142,IF(A143&lt;'Données projet'!$A$218,$FB$205^A143,IF(A143='Données projet'!$A$218,'Données projet'!$B$218,FE142+FD143-FM142)))</f>
        <v>91.467948717949042</v>
      </c>
      <c r="FF143" s="17">
        <f>FE143*VLOOKUP('Données projet'!$B$16,Paramètres!$A$1:$I$89,3,0)*VLOOKUP('Données projet'!$B$16,Paramètres!$A$1:$I$89,5,0)</f>
        <v>78.479500000000286</v>
      </c>
      <c r="FG143" s="13">
        <f t="shared" si="155"/>
        <v>21.764999797133981</v>
      </c>
      <c r="FH143" s="20">
        <f t="shared" si="130"/>
        <v>174.59250381334218</v>
      </c>
      <c r="FI143" s="59">
        <f t="shared" si="131"/>
        <v>467.92583714667546</v>
      </c>
      <c r="FJ143" s="59">
        <f ca="1">AVERAGE(OFFSET($FI$3,0,0,'Données projet'!$E$16+1,1))-AVERAGE(OFFSET($H$3,0,0,'Données projet'!$E$16+1,1))</f>
        <v>199.60585215726968</v>
      </c>
      <c r="FK143" s="59">
        <f t="shared" si="156"/>
        <v>137.37366750114404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72.196868523837978</v>
      </c>
      <c r="FR143" s="21">
        <f>EXP(-LN(2)/25)*FR142+(1-EXP(-LN(2)/25))/(LN(2)/25)*Calculateur!FM143*Calculateur!FO143*VLOOKUP('Données projet'!$B$16,Paramètres!$A$1:$I$89,3,0)*0.475*44/12</f>
        <v>48.589329112566375</v>
      </c>
      <c r="FS143" s="21">
        <f>EXP(-LN(2)/2)*FS142+(1-EXP(-LN(2)/2))/(LN(2)/2)*FM143*FP143*VLOOKUP('Données projet'!$B$16,Paramètres!$A$1:$I$89,3,0)*0.475*44/12</f>
        <v>2.6905825986889722</v>
      </c>
      <c r="FT143" s="22">
        <f t="shared" si="132"/>
        <v>123.47678023509333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1.1368683772161603E-12</v>
      </c>
      <c r="O144" s="13">
        <f>N144*VLOOKUP('Données projet'!$B$9,Paramètres!$A$1:$I$89,3,0)*VLOOKUP('Données projet'!$B$9,Paramètres!$A$1:$I$89,5,0)</f>
        <v>5.3205440053716299E-13</v>
      </c>
      <c r="P144" s="13">
        <f t="shared" si="141"/>
        <v>6.579711042921201E-12</v>
      </c>
      <c r="Q144" s="20">
        <f t="shared" si="108"/>
        <v>1.2386324814023317E-11</v>
      </c>
      <c r="R144" s="59">
        <f t="shared" si="109"/>
        <v>293.33333333334571</v>
      </c>
      <c r="S144" s="59">
        <f ca="1">AVERAGE(OFFSET($R$3,0,0,'Données projet'!$E$9+1,1))-AVERAGE(OFFSET($H$3,0,0,'Données projet'!$E$9+1,1))</f>
        <v>164.93438869099657</v>
      </c>
      <c r="T144" s="59">
        <f t="shared" si="142"/>
        <v>112.28641356594233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119.59013753451976</v>
      </c>
      <c r="AA144" s="21">
        <f>EXP(-LN(2)/25)*AA143+(1-EXP(-LN(2)/25))/(LN(2)/25)*Calculateur!V144*Calculateur!X144*VLOOKUP('Données projet'!$B$9,Paramètres!$A$1:$I$89,3,0)*0.475*44/12</f>
        <v>26.384006433119101</v>
      </c>
      <c r="AB144" s="21">
        <f>EXP(-LN(2)/2)*AB143+(1-EXP(-LN(2)/2))/(LN(2)/2)*V144*Y144*VLOOKUP('Données projet'!$B$9,Paramètres!$A$1:$I$89,3,0)*0.475*44/12</f>
        <v>0.58169258816969627</v>
      </c>
      <c r="AC144" s="22">
        <f t="shared" si="111"/>
        <v>146.55583655580855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273.81843612193632</v>
      </c>
      <c r="AO144" s="59">
        <f t="shared" si="144"/>
        <v>241.86405419073208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-6.3550942286383367E-14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271.42245454555501</v>
      </c>
      <c r="BJ144" s="59">
        <f t="shared" si="146"/>
        <v>362.63944425429077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41.275808572000713</v>
      </c>
      <c r="BQ144" s="21">
        <f>EXP(-LN(2)/25)*BQ143+(1-EXP(-LN(2)/25))/(LN(2)/25)*Calculateur!BL144*Calculateur!BN144*VLOOKUP('Données projet'!$B$11,Paramètres!$A$1:$I$89,3,0)*0.475*44/12</f>
        <v>5.3080768672454033</v>
      </c>
      <c r="BR144" s="21">
        <f>EXP(-LN(2)/2)*BR143+(1-EXP(-LN(2)/2))/(LN(2)/2)*BL144*BO144*VLOOKUP('Données projet'!$B$11,Paramètres!$A$1:$I$89,3,0)*0.475*44/12</f>
        <v>3.8836906246743267E-12</v>
      </c>
      <c r="BS144" s="22">
        <f t="shared" si="117"/>
        <v>46.583885439250004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-3.1036506698001178E-14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154.35821558431712</v>
      </c>
      <c r="CE144" s="59">
        <f t="shared" si="148"/>
        <v>263.86720460501306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9.1249292126387012</v>
      </c>
      <c r="CL144" s="21">
        <f>EXP(-LN(2)/25)*CL143+(1-EXP(-LN(2)/25))/(LN(2)/25)*Calculateur!CG144*Calculateur!CI144*VLOOKUP('Données projet'!$B$12,Paramètres!$A$1:$I$89,3,0)*0.475*44/12</f>
        <v>9.11402596484265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18.238955177481351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213</v>
      </c>
      <c r="CU144" s="17">
        <f>CT144*VLOOKUP('Données projet'!$B$13,Paramètres!$A$1:$I$89,3,0)*VLOOKUP('Données projet'!$B$13,Paramètres!$A$1:$I$89,5,0)</f>
        <v>169.46279999999999</v>
      </c>
      <c r="CV144" s="13">
        <f t="shared" si="149"/>
        <v>42.969686502194378</v>
      </c>
      <c r="CW144" s="20">
        <f t="shared" si="121"/>
        <v>369.9865806579885</v>
      </c>
      <c r="CX144" s="59">
        <f t="shared" si="122"/>
        <v>663.31991399132176</v>
      </c>
      <c r="CY144" s="59">
        <f ca="1">AVERAGE(OFFSET($CX$3,0,0,'Données projet'!$E$13+1,1))-AVERAGE(OFFSET($H$3,0,0,'Données projet'!$E$13+1,1))</f>
        <v>157.25319335691853</v>
      </c>
      <c r="CZ144" s="59">
        <f t="shared" si="150"/>
        <v>159.50903492442171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3.3701810102591137</v>
      </c>
      <c r="DG144" s="21">
        <f>EXP(-LN(2)/25)*DG143+(1-EXP(-LN(2)/25))/(LN(2)/25)*Calculateur!DB144*Calculateur!DD144*VLOOKUP('Données projet'!$B$13,Paramètres!$A$1:$I$89,3,0)*0.475*44/12</f>
        <v>1.6102388465834347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4.9804198568425484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227.99999999999994</v>
      </c>
      <c r="DP144" s="17">
        <f>DO144*VLOOKUP('Données projet'!$B$14,Paramètres!$A$1:$I$89,3,0)*VLOOKUP('Données projet'!$B$14,Paramètres!$A$1:$I$89,5,0)</f>
        <v>199.18079999999998</v>
      </c>
      <c r="DQ144" s="13">
        <f t="shared" si="151"/>
        <v>49.564089376413683</v>
      </c>
      <c r="DR144" s="20">
        <f t="shared" si="124"/>
        <v>433.23068233058711</v>
      </c>
      <c r="DS144" s="59">
        <f t="shared" si="125"/>
        <v>726.56401566392037</v>
      </c>
      <c r="DT144" s="59">
        <f ca="1">AVERAGE(OFFSET($DS$3,0,0,'Données projet'!$E$14+1,1))-AVERAGE(OFFSET($H$3,0,0,'Données projet'!$E$14+1,1))</f>
        <v>229.5312221178919</v>
      </c>
      <c r="DU144" s="59">
        <f t="shared" si="152"/>
        <v>218.1982095871906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8.4901089156914828</v>
      </c>
      <c r="EB144" s="21">
        <f>EXP(-LN(2)/25)*EB143+(1-EXP(-LN(2)/25))/(LN(2)/25)*Calculateur!DW144*Calculateur!DY144*VLOOKUP('Données projet'!$B$14,Paramètres!$A$1:$I$89,3,0)*0.475*44/12</f>
        <v>4.6663240512234134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13.156432966914895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5.1063034188034209</v>
      </c>
      <c r="EJ144" s="12">
        <f>IF('Données projet'!$A$192&gt;35,EJ143+EI144-ER143,IF(A144&lt;'Données projet'!$A$192,$EG$205^A144,IF(A144='Données projet'!$A$192,'Données projet'!$B$192,EJ143+EI144-ER143)))</f>
        <v>262.33547008546969</v>
      </c>
      <c r="EK144" s="17">
        <f>EJ144*VLOOKUP('Données projet'!$B$15,Paramètres!$A$1:$I$89,3,0)*VLOOKUP('Données projet'!$B$15,Paramètres!$A$1:$I$89,5,0)</f>
        <v>237.36113333333296</v>
      </c>
      <c r="EL144" s="13">
        <f t="shared" si="153"/>
        <v>57.871400641465833</v>
      </c>
      <c r="EM144" s="20">
        <f t="shared" si="127"/>
        <v>514.19666333944122</v>
      </c>
      <c r="EN144" s="59">
        <f t="shared" si="128"/>
        <v>807.52999667277459</v>
      </c>
      <c r="EO144" s="59">
        <f ca="1">AVERAGE(OFFSET($EN$3,0,0,'Données projet'!$E$15+1,1))-AVERAGE(OFFSET($H$3,0,0,'Données projet'!$E$15+1,1))</f>
        <v>204.39656982394689</v>
      </c>
      <c r="EP144" s="59">
        <f t="shared" si="154"/>
        <v>134.95704640904546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45.296720193478009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45.296720193478009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2.8012820512820618</v>
      </c>
      <c r="FE144" s="12">
        <f>IF('Données projet'!$A$218&gt;35,FE143+FD144-FM143,IF(A144&lt;'Données projet'!$A$218,$FB$205^A144,IF(A144='Données projet'!$A$218,'Données projet'!$B$218,FE143+FD144-FM143)))</f>
        <v>94.2692307692311</v>
      </c>
      <c r="FF144" s="17">
        <f>FE144*VLOOKUP('Données projet'!$B$16,Paramètres!$A$1:$I$89,3,0)*VLOOKUP('Données projet'!$B$16,Paramètres!$A$1:$I$89,5,0)</f>
        <v>80.883000000000294</v>
      </c>
      <c r="FG144" s="13">
        <f t="shared" si="155"/>
        <v>22.352944096310175</v>
      </c>
      <c r="FH144" s="20">
        <f t="shared" si="130"/>
        <v>179.80260263440741</v>
      </c>
      <c r="FI144" s="59">
        <f t="shared" si="131"/>
        <v>473.13593596774069</v>
      </c>
      <c r="FJ144" s="59">
        <f ca="1">AVERAGE(OFFSET($FI$3,0,0,'Données projet'!$E$16+1,1))-AVERAGE(OFFSET($H$3,0,0,'Données projet'!$E$16+1,1))</f>
        <v>199.60585215726968</v>
      </c>
      <c r="FK144" s="59">
        <f t="shared" si="156"/>
        <v>137.37366750114404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70.78113196782715</v>
      </c>
      <c r="FR144" s="21">
        <f>EXP(-LN(2)/25)*FR143+(1-EXP(-LN(2)/25))/(LN(2)/25)*Calculateur!FM144*Calculateur!FO144*VLOOKUP('Données projet'!$B$16,Paramètres!$A$1:$I$89,3,0)*0.475*44/12</f>
        <v>47.26065135278148</v>
      </c>
      <c r="FS144" s="21">
        <f>EXP(-LN(2)/2)*FS143+(1-EXP(-LN(2)/2))/(LN(2)/2)*FM144*FP144*VLOOKUP('Données projet'!$B$16,Paramètres!$A$1:$I$89,3,0)*0.475*44/12</f>
        <v>1.9025292008754957</v>
      </c>
      <c r="FT144" s="22">
        <f t="shared" si="132"/>
        <v>119.94431252148412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1.1368683772161603E-12</v>
      </c>
      <c r="O145" s="13">
        <f>N145*VLOOKUP('Données projet'!$B$9,Paramètres!$A$1:$I$89,3,0)*VLOOKUP('Données projet'!$B$9,Paramètres!$A$1:$I$89,5,0)</f>
        <v>5.3205440053716299E-13</v>
      </c>
      <c r="P145" s="13">
        <f t="shared" si="141"/>
        <v>6.579711042921201E-12</v>
      </c>
      <c r="Q145" s="20">
        <f t="shared" si="108"/>
        <v>1.2386324814023317E-11</v>
      </c>
      <c r="R145" s="59">
        <f t="shared" si="109"/>
        <v>293.33333333334571</v>
      </c>
      <c r="S145" s="59">
        <f ca="1">AVERAGE(OFFSET($R$3,0,0,'Données projet'!$E$9+1,1))-AVERAGE(OFFSET($H$3,0,0,'Données projet'!$E$9+1,1))</f>
        <v>164.93438869099657</v>
      </c>
      <c r="T145" s="59">
        <f t="shared" si="142"/>
        <v>112.28641356594233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117.24504788024922</v>
      </c>
      <c r="AA145" s="21">
        <f>EXP(-LN(2)/25)*AA144+(1-EXP(-LN(2)/25))/(LN(2)/25)*Calculateur!V145*Calculateur!X145*VLOOKUP('Données projet'!$B$9,Paramètres!$A$1:$I$89,3,0)*0.475*44/12</f>
        <v>25.662534389730862</v>
      </c>
      <c r="AB145" s="21">
        <f>EXP(-LN(2)/2)*AB144+(1-EXP(-LN(2)/2))/(LN(2)/2)*V145*Y145*VLOOKUP('Données projet'!$B$9,Paramètres!$A$1:$I$89,3,0)*0.475*44/12</f>
        <v>0.41131877366074593</v>
      </c>
      <c r="AC145" s="22">
        <f t="shared" si="111"/>
        <v>143.31890104364084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273.81843612193632</v>
      </c>
      <c r="AO145" s="59">
        <f t="shared" si="144"/>
        <v>241.86405419073208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-6.3550942286383367E-14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271.42245454555501</v>
      </c>
      <c r="BJ145" s="59">
        <f t="shared" si="146"/>
        <v>362.63944425429077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40.466415141661109</v>
      </c>
      <c r="BQ145" s="21">
        <f>EXP(-LN(2)/25)*BQ144+(1-EXP(-LN(2)/25))/(LN(2)/25)*Calculateur!BL145*Calculateur!BN145*VLOOKUP('Données projet'!$B$11,Paramètres!$A$1:$I$89,3,0)*0.475*44/12</f>
        <v>5.1629272261709467</v>
      </c>
      <c r="BR145" s="21">
        <f>EXP(-LN(2)/2)*BR144+(1-EXP(-LN(2)/2))/(LN(2)/2)*BL145*BO145*VLOOKUP('Données projet'!$B$11,Paramètres!$A$1:$I$89,3,0)*0.475*44/12</f>
        <v>2.7461839767378352E-12</v>
      </c>
      <c r="BS145" s="22">
        <f t="shared" si="117"/>
        <v>45.629342367834795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-3.1036506698001178E-14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154.35821558431712</v>
      </c>
      <c r="CE145" s="59">
        <f t="shared" si="148"/>
        <v>263.86720460501306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8.9459949164361134</v>
      </c>
      <c r="CL145" s="21">
        <f>EXP(-LN(2)/25)*CL144+(1-EXP(-LN(2)/25))/(LN(2)/25)*Calculateur!CG145*Calculateur!CI145*VLOOKUP('Données projet'!$B$12,Paramètres!$A$1:$I$89,3,0)*0.475*44/12</f>
        <v>8.8648024455482322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17.810797361984346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213</v>
      </c>
      <c r="CU145" s="17">
        <f>CT145*VLOOKUP('Données projet'!$B$13,Paramètres!$A$1:$I$89,3,0)*VLOOKUP('Données projet'!$B$13,Paramètres!$A$1:$I$89,5,0)</f>
        <v>169.46279999999999</v>
      </c>
      <c r="CV145" s="13">
        <f t="shared" si="149"/>
        <v>42.969686502194378</v>
      </c>
      <c r="CW145" s="20">
        <f t="shared" si="121"/>
        <v>369.9865806579885</v>
      </c>
      <c r="CX145" s="59">
        <f t="shared" si="122"/>
        <v>663.31991399132176</v>
      </c>
      <c r="CY145" s="59">
        <f ca="1">AVERAGE(OFFSET($CX$3,0,0,'Données projet'!$E$13+1,1))-AVERAGE(OFFSET($H$3,0,0,'Données projet'!$E$13+1,1))</f>
        <v>157.25319335691853</v>
      </c>
      <c r="CZ145" s="59">
        <f t="shared" si="150"/>
        <v>159.50903492442171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3.3040938162553743</v>
      </c>
      <c r="DG145" s="21">
        <f>EXP(-LN(2)/25)*DG144+(1-EXP(-LN(2)/25))/(LN(2)/25)*Calculateur!DB145*Calculateur!DD145*VLOOKUP('Données projet'!$B$13,Paramètres!$A$1:$I$89,3,0)*0.475*44/12</f>
        <v>1.5662067806448301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4.8703005969002042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227.99999999999994</v>
      </c>
      <c r="DP145" s="17">
        <f>DO145*VLOOKUP('Données projet'!$B$14,Paramètres!$A$1:$I$89,3,0)*VLOOKUP('Données projet'!$B$14,Paramètres!$A$1:$I$89,5,0)</f>
        <v>199.18079999999998</v>
      </c>
      <c r="DQ145" s="13">
        <f t="shared" si="151"/>
        <v>49.564089376413683</v>
      </c>
      <c r="DR145" s="20">
        <f t="shared" si="124"/>
        <v>433.23068233058711</v>
      </c>
      <c r="DS145" s="59">
        <f t="shared" si="125"/>
        <v>726.56401566392037</v>
      </c>
      <c r="DT145" s="59">
        <f ca="1">AVERAGE(OFFSET($DS$3,0,0,'Données projet'!$E$14+1,1))-AVERAGE(OFFSET($H$3,0,0,'Données projet'!$E$14+1,1))</f>
        <v>229.5312221178919</v>
      </c>
      <c r="DU145" s="59">
        <f t="shared" si="152"/>
        <v>218.1982095871906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8.3236230583098809</v>
      </c>
      <c r="EB145" s="21">
        <f>EXP(-LN(2)/25)*EB144+(1-EXP(-LN(2)/25))/(LN(2)/25)*Calculateur!DW145*Calculateur!DY145*VLOOKUP('Données projet'!$B$14,Paramètres!$A$1:$I$89,3,0)*0.475*44/12</f>
        <v>4.5387231746513921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12.862346232961272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5.1063034188034209</v>
      </c>
      <c r="EJ145" s="12">
        <f>IF('Données projet'!$A$192&gt;35,EJ144+EI145-ER144,IF(A145&lt;'Données projet'!$A$192,$EG$205^A145,IF(A145='Données projet'!$A$192,'Données projet'!$B$192,EJ144+EI145-ER144)))</f>
        <v>267.4417735042731</v>
      </c>
      <c r="EK145" s="17">
        <f>EJ145*VLOOKUP('Données projet'!$B$15,Paramètres!$A$1:$I$89,3,0)*VLOOKUP('Données projet'!$B$15,Paramètres!$A$1:$I$89,5,0)</f>
        <v>241.98131666666632</v>
      </c>
      <c r="EL145" s="13">
        <f t="shared" si="153"/>
        <v>58.865616222095206</v>
      </c>
      <c r="EM145" s="20">
        <f t="shared" si="127"/>
        <v>523.97507478125954</v>
      </c>
      <c r="EN145" s="59">
        <f t="shared" si="128"/>
        <v>817.30840811459279</v>
      </c>
      <c r="EO145" s="59">
        <f ca="1">AVERAGE(OFFSET($EN$3,0,0,'Données projet'!$E$15+1,1))-AVERAGE(OFFSET($H$3,0,0,'Données projet'!$E$15+1,1))</f>
        <v>204.39656982394689</v>
      </c>
      <c r="EP145" s="59">
        <f t="shared" si="154"/>
        <v>134.95704640904546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44.408479138755162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44.408479138755162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2.8012820512820618</v>
      </c>
      <c r="FE145" s="12">
        <f>IF('Données projet'!$A$218&gt;35,FE144+FD145-FM144,IF(A145&lt;'Données projet'!$A$218,$FB$205^A145,IF(A145='Données projet'!$A$218,'Données projet'!$B$218,FE144+FD145-FM144)))</f>
        <v>97.070512820513159</v>
      </c>
      <c r="FF145" s="17">
        <f>FE145*VLOOKUP('Données projet'!$B$16,Paramètres!$A$1:$I$89,3,0)*VLOOKUP('Données projet'!$B$16,Paramètres!$A$1:$I$89,5,0)</f>
        <v>83.286500000000302</v>
      </c>
      <c r="FG145" s="13">
        <f t="shared" si="155"/>
        <v>22.938857943611868</v>
      </c>
      <c r="FH145" s="20">
        <f t="shared" si="130"/>
        <v>185.00916508512452</v>
      </c>
      <c r="FI145" s="59">
        <f t="shared" si="131"/>
        <v>478.34249841845781</v>
      </c>
      <c r="FJ145" s="59">
        <f ca="1">AVERAGE(OFFSET($FI$3,0,0,'Données projet'!$E$16+1,1))-AVERAGE(OFFSET($H$3,0,0,'Données projet'!$E$16+1,1))</f>
        <v>199.60585215726968</v>
      </c>
      <c r="FK145" s="59">
        <f t="shared" si="156"/>
        <v>137.37366750114404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69.393157142165663</v>
      </c>
      <c r="FR145" s="21">
        <f>EXP(-LN(2)/25)*FR144+(1-EXP(-LN(2)/25))/(LN(2)/25)*Calculateur!FM145*Calculateur!FO145*VLOOKUP('Données projet'!$B$16,Paramètres!$A$1:$I$89,3,0)*0.475*44/12</f>
        <v>45.968306356210029</v>
      </c>
      <c r="FS145" s="21">
        <f>EXP(-LN(2)/2)*FS144+(1-EXP(-LN(2)/2))/(LN(2)/2)*FM145*FP145*VLOOKUP('Données projet'!$B$16,Paramètres!$A$1:$I$89,3,0)*0.475*44/12</f>
        <v>1.3452912993444863</v>
      </c>
      <c r="FT145" s="22">
        <f t="shared" si="132"/>
        <v>116.70675479772017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1.1368683772161603E-12</v>
      </c>
      <c r="O146" s="13">
        <f>N146*VLOOKUP('Données projet'!$B$9,Paramètres!$A$1:$I$89,3,0)*VLOOKUP('Données projet'!$B$9,Paramètres!$A$1:$I$89,5,0)</f>
        <v>5.3205440053716299E-13</v>
      </c>
      <c r="P146" s="13">
        <f t="shared" si="141"/>
        <v>6.579711042921201E-12</v>
      </c>
      <c r="Q146" s="20">
        <f t="shared" si="108"/>
        <v>1.2386324814023317E-11</v>
      </c>
      <c r="R146" s="59">
        <f t="shared" si="109"/>
        <v>293.33333333334571</v>
      </c>
      <c r="S146" s="59">
        <f ca="1">AVERAGE(OFFSET($R$3,0,0,'Données projet'!$E$9+1,1))-AVERAGE(OFFSET($H$3,0,0,'Données projet'!$E$9+1,1))</f>
        <v>164.93438869099657</v>
      </c>
      <c r="T146" s="59">
        <f t="shared" si="142"/>
        <v>112.28641356594233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114.94594400373548</v>
      </c>
      <c r="AA146" s="21">
        <f>EXP(-LN(2)/25)*AA145+(1-EXP(-LN(2)/25))/(LN(2)/25)*Calculateur!V146*Calculateur!X146*VLOOKUP('Données projet'!$B$9,Paramètres!$A$1:$I$89,3,0)*0.475*44/12</f>
        <v>24.96079103730964</v>
      </c>
      <c r="AB146" s="21">
        <f>EXP(-LN(2)/2)*AB145+(1-EXP(-LN(2)/2))/(LN(2)/2)*V146*Y146*VLOOKUP('Données projet'!$B$9,Paramètres!$A$1:$I$89,3,0)*0.475*44/12</f>
        <v>0.29084629408484813</v>
      </c>
      <c r="AC146" s="22">
        <f t="shared" si="111"/>
        <v>140.19758133512997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273.81843612193632</v>
      </c>
      <c r="AO146" s="59">
        <f t="shared" si="144"/>
        <v>241.86405419073208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-6.3550942286383367E-14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271.42245454555501</v>
      </c>
      <c r="BJ146" s="59">
        <f t="shared" si="146"/>
        <v>362.63944425429077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39.672893422809217</v>
      </c>
      <c r="BQ146" s="21">
        <f>EXP(-LN(2)/25)*BQ145+(1-EXP(-LN(2)/25))/(LN(2)/25)*Calculateur!BL146*Calculateur!BN146*VLOOKUP('Données projet'!$B$11,Paramètres!$A$1:$I$89,3,0)*0.475*44/12</f>
        <v>5.0217467096647592</v>
      </c>
      <c r="BR146" s="21">
        <f>EXP(-LN(2)/2)*BR145+(1-EXP(-LN(2)/2))/(LN(2)/2)*BL146*BO146*VLOOKUP('Données projet'!$B$11,Paramètres!$A$1:$I$89,3,0)*0.475*44/12</f>
        <v>1.9418453123371633E-12</v>
      </c>
      <c r="BS146" s="22">
        <f t="shared" si="117"/>
        <v>44.694640132475918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-3.1036506698001178E-14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154.35821558431712</v>
      </c>
      <c r="CE146" s="59">
        <f t="shared" si="148"/>
        <v>263.86720460501306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8.7705694126429137</v>
      </c>
      <c r="CL146" s="21">
        <f>EXP(-LN(2)/25)*CL145+(1-EXP(-LN(2)/25))/(LN(2)/25)*Calculateur!CG146*Calculateur!CI146*VLOOKUP('Données projet'!$B$12,Paramètres!$A$1:$I$89,3,0)*0.475*44/12</f>
        <v>8.6223939564950154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17.392963369137931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213</v>
      </c>
      <c r="CU146" s="17">
        <f>CT146*VLOOKUP('Données projet'!$B$13,Paramètres!$A$1:$I$89,3,0)*VLOOKUP('Données projet'!$B$13,Paramètres!$A$1:$I$89,5,0)</f>
        <v>169.46279999999999</v>
      </c>
      <c r="CV146" s="13">
        <f t="shared" si="149"/>
        <v>42.969686502194378</v>
      </c>
      <c r="CW146" s="20">
        <f t="shared" si="121"/>
        <v>369.9865806579885</v>
      </c>
      <c r="CX146" s="59">
        <f t="shared" si="122"/>
        <v>663.31991399132176</v>
      </c>
      <c r="CY146" s="59">
        <f ca="1">AVERAGE(OFFSET($CX$3,0,0,'Données projet'!$E$13+1,1))-AVERAGE(OFFSET($H$3,0,0,'Données projet'!$E$13+1,1))</f>
        <v>157.25319335691853</v>
      </c>
      <c r="CZ146" s="59">
        <f t="shared" si="150"/>
        <v>159.50903492442171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3.2393025518168401</v>
      </c>
      <c r="DG146" s="21">
        <f>EXP(-LN(2)/25)*DG145+(1-EXP(-LN(2)/25))/(LN(2)/25)*Calculateur!DB146*Calculateur!DD146*VLOOKUP('Données projet'!$B$13,Paramètres!$A$1:$I$89,3,0)*0.475*44/12</f>
        <v>1.5233787738648623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4.7626813256817027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227.99999999999994</v>
      </c>
      <c r="DP146" s="17">
        <f>DO146*VLOOKUP('Données projet'!$B$14,Paramètres!$A$1:$I$89,3,0)*VLOOKUP('Données projet'!$B$14,Paramètres!$A$1:$I$89,5,0)</f>
        <v>199.18079999999998</v>
      </c>
      <c r="DQ146" s="13">
        <f t="shared" si="151"/>
        <v>49.564089376413683</v>
      </c>
      <c r="DR146" s="20">
        <f t="shared" si="124"/>
        <v>433.23068233058711</v>
      </c>
      <c r="DS146" s="59">
        <f t="shared" si="125"/>
        <v>726.56401566392037</v>
      </c>
      <c r="DT146" s="59">
        <f ca="1">AVERAGE(OFFSET($DS$3,0,0,'Données projet'!$E$14+1,1))-AVERAGE(OFFSET($H$3,0,0,'Données projet'!$E$14+1,1))</f>
        <v>229.5312221178919</v>
      </c>
      <c r="DU146" s="59">
        <f t="shared" si="152"/>
        <v>218.1982095871906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8.160401887045186</v>
      </c>
      <c r="EB146" s="21">
        <f>EXP(-LN(2)/25)*EB145+(1-EXP(-LN(2)/25))/(LN(2)/25)*Calculateur!DW146*Calculateur!DY146*VLOOKUP('Données projet'!$B$14,Paramètres!$A$1:$I$89,3,0)*0.475*44/12</f>
        <v>4.4146115507594716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12.575013437804657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5.1063034188034209</v>
      </c>
      <c r="EJ146" s="12">
        <f>IF('Données projet'!$A$192&gt;35,EJ145+EI146-ER145,IF(A146&lt;'Données projet'!$A$192,$EG$205^A146,IF(A146='Données projet'!$A$192,'Données projet'!$B$192,EJ145+EI146-ER145)))</f>
        <v>272.54807692307651</v>
      </c>
      <c r="EK146" s="17">
        <f>EJ146*VLOOKUP('Données projet'!$B$15,Paramètres!$A$1:$I$89,3,0)*VLOOKUP('Données projet'!$B$15,Paramètres!$A$1:$I$89,5,0)</f>
        <v>246.60149999999962</v>
      </c>
      <c r="EL146" s="13">
        <f t="shared" si="153"/>
        <v>59.857624528428133</v>
      </c>
      <c r="EM146" s="20">
        <f t="shared" si="127"/>
        <v>533.74964188701165</v>
      </c>
      <c r="EN146" s="59">
        <f t="shared" si="128"/>
        <v>827.08297522034491</v>
      </c>
      <c r="EO146" s="59">
        <f ca="1">AVERAGE(OFFSET($EN$3,0,0,'Données projet'!$E$15+1,1))-AVERAGE(OFFSET($H$3,0,0,'Données projet'!$E$15+1,1))</f>
        <v>204.39656982394689</v>
      </c>
      <c r="EP146" s="59">
        <f t="shared" si="154"/>
        <v>134.95704640904546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43.537655949341875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43.537655949341875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>
        <f>VLOOKUP(A146,'Données projet'!$A$217:$I$237,2,0)</f>
        <v>99.871794871794876</v>
      </c>
      <c r="FC146" s="12">
        <f>VLOOKUP(A146,'Données projet'!$A$217:$I$237,9,0)</f>
        <v>2.8012820512820618</v>
      </c>
      <c r="FD146" s="12">
        <f t="array" ref="FD146">INDEX(FC:FC,MIN(IF(ISNUMBER(FC146:FC342),ROW(FC146:FC342),"")))</f>
        <v>2.8012820512820618</v>
      </c>
      <c r="FE146" s="12">
        <f>IF('Données projet'!$A$218&gt;35,FE145+FD146-FM145,IF(A146&lt;'Données projet'!$A$218,$FB$205^A146,IF(A146='Données projet'!$A$218,'Données projet'!$B$218,FE145+FD146-FM145)))</f>
        <v>99.871794871795217</v>
      </c>
      <c r="FF146" s="17">
        <f>FE146*VLOOKUP('Données projet'!$B$16,Paramètres!$A$1:$I$89,3,0)*VLOOKUP('Données projet'!$B$16,Paramètres!$A$1:$I$89,5,0)</f>
        <v>85.69000000000031</v>
      </c>
      <c r="FG146" s="13">
        <f t="shared" si="155"/>
        <v>23.522806663377192</v>
      </c>
      <c r="FH146" s="20">
        <f t="shared" si="130"/>
        <v>190.21230493871579</v>
      </c>
      <c r="FI146" s="59">
        <f t="shared" si="131"/>
        <v>483.54563827204913</v>
      </c>
      <c r="FJ146" s="59">
        <f ca="1">AVERAGE(OFFSET($FI$3,0,0,'Données projet'!$E$16+1,1))-AVERAGE(OFFSET($H$3,0,0,'Données projet'!$E$16+1,1))</f>
        <v>199.60585215726968</v>
      </c>
      <c r="FK146" s="59">
        <f t="shared" si="156"/>
        <v>137.37366750114404</v>
      </c>
      <c r="FL146" s="15">
        <f>IF(ISNA(VLOOKUP(A146,'Données projet'!$A$217:$I$237,3,0)),0,VLOOKUP(A146,'Données projet'!$A$217:$I$237,3,0))</f>
        <v>11</v>
      </c>
      <c r="FM146" s="15">
        <f>IF(ISNA(VLOOKUP(A146,'Données projet'!$A$217:$I$237,4,0)),0,VLOOKUP(A146,'Données projet'!$A$217:$I$237,4,0))</f>
        <v>99.871794871794876</v>
      </c>
      <c r="FN146" s="16">
        <f>IF(ISNA(VLOOKUP(A146,'Données projet'!$A$217:$I$237,5,0)),0%,VLOOKUP(A146,'Données projet'!$A$217:$I$237,5,0)*VLOOKUP('Données projet'!$B$16,Paramètres!$A$1:$I$89,7,0))</f>
        <v>0.318</v>
      </c>
      <c r="FO146" s="16">
        <f>IF(ISNA(VLOOKUP(A146,'Données projet'!$A$217:$I$237,6,0)),0%,VLOOKUP(A146,'Données projet'!$A$217:$I$237,6,0)*VLOOKUP('Données projet'!$B$16,Paramètres!$A$1:$I$89,7,0))</f>
        <v>0.1855</v>
      </c>
      <c r="FP146" s="16">
        <f>IF(ISNA(VLOOKUP(A146,'Données projet'!$A$217:$I$237,7,0)),0%,VLOOKUP(A146,'Données projet'!$A$217:$I$237,7,0))</f>
        <v>0.05</v>
      </c>
      <c r="FQ146" s="21">
        <f>EXP(-LN(2)/35)*FQ145+(1-EXP(-LN(2)/35))/(LN(2)/35)*FM146*FN146*VLOOKUP('Données projet'!$B$16,Paramètres!$A$1:$I$89,3,0)*0.475*44/12</f>
        <v>98.15582632570711</v>
      </c>
      <c r="FR146" s="21">
        <f>EXP(-LN(2)/25)*FR145+(1-EXP(-LN(2)/25))/(LN(2)/25)*Calculateur!FM146*Calculateur!FO146*VLOOKUP('Données projet'!$B$16,Paramètres!$A$1:$I$89,3,0)*0.475*44/12</f>
        <v>62.214111836956967</v>
      </c>
      <c r="FS146" s="21">
        <f>EXP(-LN(2)/2)*FS145+(1-EXP(-LN(2)/2))/(LN(2)/2)*FM146*FP146*VLOOKUP('Données projet'!$B$16,Paramètres!$A$1:$I$89,3,0)*0.475*44/12</f>
        <v>4.9938056660645342</v>
      </c>
      <c r="FT146" s="22">
        <f t="shared" si="132"/>
        <v>165.36374382872862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1.1368683772161603E-12</v>
      </c>
      <c r="O147" s="13">
        <f>N147*VLOOKUP('Données projet'!$B$9,Paramètres!$A$1:$I$89,3,0)*VLOOKUP('Données projet'!$B$9,Paramètres!$A$1:$I$89,5,0)</f>
        <v>5.3205440053716299E-13</v>
      </c>
      <c r="P147" s="13">
        <f t="shared" si="141"/>
        <v>6.579711042921201E-12</v>
      </c>
      <c r="Q147" s="20">
        <f t="shared" si="108"/>
        <v>1.2386324814023317E-11</v>
      </c>
      <c r="R147" s="59">
        <f t="shared" si="109"/>
        <v>293.33333333334571</v>
      </c>
      <c r="S147" s="59">
        <f ca="1">AVERAGE(OFFSET($R$3,0,0,'Données projet'!$E$9+1,1))-AVERAGE(OFFSET($H$3,0,0,'Données projet'!$E$9+1,1))</f>
        <v>164.93438869099657</v>
      </c>
      <c r="T147" s="59">
        <f t="shared" si="142"/>
        <v>112.28641356594233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112.69192415192526</v>
      </c>
      <c r="AA147" s="21">
        <f>EXP(-LN(2)/25)*AA146+(1-EXP(-LN(2)/25))/(LN(2)/25)*Calculateur!V147*Calculateur!X147*VLOOKUP('Données projet'!$B$9,Paramètres!$A$1:$I$89,3,0)*0.475*44/12</f>
        <v>24.278236893763456</v>
      </c>
      <c r="AB147" s="21">
        <f>EXP(-LN(2)/2)*AB146+(1-EXP(-LN(2)/2))/(LN(2)/2)*V147*Y147*VLOOKUP('Données projet'!$B$9,Paramètres!$A$1:$I$89,3,0)*0.475*44/12</f>
        <v>0.20565938683037296</v>
      </c>
      <c r="AC147" s="22">
        <f t="shared" si="111"/>
        <v>137.17582043251909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273.81843612193632</v>
      </c>
      <c r="AO147" s="59">
        <f t="shared" si="144"/>
        <v>241.86405419073208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-6.3550942286383367E-14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271.42245454555501</v>
      </c>
      <c r="BJ147" s="59">
        <f t="shared" si="146"/>
        <v>362.63944425429077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38.894932180863556</v>
      </c>
      <c r="BQ147" s="21">
        <f>EXP(-LN(2)/25)*BQ146+(1-EXP(-LN(2)/25))/(LN(2)/25)*Calculateur!BL147*Calculateur!BN147*VLOOKUP('Données projet'!$B$11,Paramètres!$A$1:$I$89,3,0)*0.475*44/12</f>
        <v>4.8844267818067939</v>
      </c>
      <c r="BR147" s="21">
        <f>EXP(-LN(2)/2)*BR146+(1-EXP(-LN(2)/2))/(LN(2)/2)*BL147*BO147*VLOOKUP('Données projet'!$B$11,Paramètres!$A$1:$I$89,3,0)*0.475*44/12</f>
        <v>1.3730919883689176E-12</v>
      </c>
      <c r="BS147" s="22">
        <f t="shared" si="117"/>
        <v>43.779358962671722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-3.1036506698001178E-14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154.35821558431712</v>
      </c>
      <c r="CE147" s="59">
        <f t="shared" si="148"/>
        <v>263.86720460501306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8.5985838959801075</v>
      </c>
      <c r="CL147" s="21">
        <f>EXP(-LN(2)/25)*CL146+(1-EXP(-LN(2)/25))/(LN(2)/25)*Calculateur!CG147*Calculateur!CI147*VLOOKUP('Données projet'!$B$12,Paramètres!$A$1:$I$89,3,0)*0.475*44/12</f>
        <v>8.3866141403226671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16.985198036302776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213</v>
      </c>
      <c r="CU147" s="17">
        <f>CT147*VLOOKUP('Données projet'!$B$13,Paramètres!$A$1:$I$89,3,0)*VLOOKUP('Données projet'!$B$13,Paramètres!$A$1:$I$89,5,0)</f>
        <v>169.46279999999999</v>
      </c>
      <c r="CV147" s="13">
        <f t="shared" si="149"/>
        <v>42.969686502194378</v>
      </c>
      <c r="CW147" s="20">
        <f t="shared" si="121"/>
        <v>369.9865806579885</v>
      </c>
      <c r="CX147" s="59">
        <f t="shared" si="122"/>
        <v>663.31991399132176</v>
      </c>
      <c r="CY147" s="59">
        <f ca="1">AVERAGE(OFFSET($CX$3,0,0,'Données projet'!$E$13+1,1))-AVERAGE(OFFSET($H$3,0,0,'Données projet'!$E$13+1,1))</f>
        <v>157.25319335691853</v>
      </c>
      <c r="CZ147" s="59">
        <f t="shared" si="150"/>
        <v>159.50903492442171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3.1757818045551764</v>
      </c>
      <c r="DG147" s="21">
        <f>EXP(-LN(2)/25)*DG146+(1-EXP(-LN(2)/25))/(LN(2)/25)*Calculateur!DB147*Calculateur!DD147*VLOOKUP('Données projet'!$B$13,Paramètres!$A$1:$I$89,3,0)*0.475*44/12</f>
        <v>1.4817219011825196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4.657503705737696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227.99999999999994</v>
      </c>
      <c r="DP147" s="17">
        <f>DO147*VLOOKUP('Données projet'!$B$14,Paramètres!$A$1:$I$89,3,0)*VLOOKUP('Données projet'!$B$14,Paramètres!$A$1:$I$89,5,0)</f>
        <v>199.18079999999998</v>
      </c>
      <c r="DQ147" s="13">
        <f t="shared" si="151"/>
        <v>49.564089376413683</v>
      </c>
      <c r="DR147" s="20">
        <f t="shared" si="124"/>
        <v>433.23068233058711</v>
      </c>
      <c r="DS147" s="59">
        <f t="shared" si="125"/>
        <v>726.56401566392037</v>
      </c>
      <c r="DT147" s="59">
        <f ca="1">AVERAGE(OFFSET($DS$3,0,0,'Données projet'!$E$14+1,1))-AVERAGE(OFFSET($H$3,0,0,'Données projet'!$E$14+1,1))</f>
        <v>229.5312221178919</v>
      </c>
      <c r="DU147" s="59">
        <f t="shared" si="152"/>
        <v>218.1982095871906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8.0003813833939077</v>
      </c>
      <c r="EB147" s="21">
        <f>EXP(-LN(2)/25)*EB146+(1-EXP(-LN(2)/25))/(LN(2)/25)*Calculateur!DW147*Calculateur!DY147*VLOOKUP('Données projet'!$B$14,Paramètres!$A$1:$I$89,3,0)*0.475*44/12</f>
        <v>4.2938937657496226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12.29427514914353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5.1063034188034209</v>
      </c>
      <c r="EJ147" s="12">
        <f>IF('Données projet'!$A$192&gt;35,EJ146+EI147-ER146,IF(A147&lt;'Données projet'!$A$192,$EG$205^A147,IF(A147='Données projet'!$A$192,'Données projet'!$B$192,EJ146+EI147-ER146)))</f>
        <v>277.65438034187991</v>
      </c>
      <c r="EK147" s="17">
        <f>EJ147*VLOOKUP('Données projet'!$B$15,Paramètres!$A$1:$I$89,3,0)*VLOOKUP('Données projet'!$B$15,Paramètres!$A$1:$I$89,5,0)</f>
        <v>251.22168333333292</v>
      </c>
      <c r="EL147" s="13">
        <f t="shared" si="153"/>
        <v>60.847471683449903</v>
      </c>
      <c r="EM147" s="20">
        <f t="shared" si="127"/>
        <v>543.52044498756334</v>
      </c>
      <c r="EN147" s="59">
        <f t="shared" si="128"/>
        <v>836.85377832089671</v>
      </c>
      <c r="EO147" s="59">
        <f ca="1">AVERAGE(OFFSET($EN$3,0,0,'Données projet'!$E$15+1,1))-AVERAGE(OFFSET($H$3,0,0,'Données projet'!$E$15+1,1))</f>
        <v>204.39656982394689</v>
      </c>
      <c r="EP147" s="59">
        <f t="shared" si="154"/>
        <v>134.95704640904546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42.683909071523289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42.683909071523289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3.4106051316484809E-13</v>
      </c>
      <c r="FF147" s="17">
        <f>FE147*VLOOKUP('Données projet'!$B$16,Paramètres!$A$1:$I$89,3,0)*VLOOKUP('Données projet'!$B$16,Paramètres!$A$1:$I$89,5,0)</f>
        <v>2.9262992029543969E-13</v>
      </c>
      <c r="FG147" s="13">
        <f t="shared" si="155"/>
        <v>3.8796387982050903E-12</v>
      </c>
      <c r="FH147" s="20">
        <f t="shared" si="130"/>
        <v>7.2667013513884219E-12</v>
      </c>
      <c r="FI147" s="59">
        <f t="shared" si="131"/>
        <v>293.33333333334059</v>
      </c>
      <c r="FJ147" s="59">
        <f ca="1">AVERAGE(OFFSET($FI$3,0,0,'Données projet'!$E$16+1,1))-AVERAGE(OFFSET($H$3,0,0,'Données projet'!$E$16+1,1))</f>
        <v>199.60585215726968</v>
      </c>
      <c r="FK147" s="59">
        <f t="shared" si="156"/>
        <v>137.37366750114404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96.231050440602459</v>
      </c>
      <c r="FR147" s="21">
        <f>EXP(-LN(2)/25)*FR146+(1-EXP(-LN(2)/25))/(LN(2)/25)*Calculateur!FM147*Calculateur!FO147*VLOOKUP('Données projet'!$B$16,Paramètres!$A$1:$I$89,3,0)*0.475*44/12</f>
        <v>60.512863677077426</v>
      </c>
      <c r="FS147" s="21">
        <f>EXP(-LN(2)/2)*FS146+(1-EXP(-LN(2)/2))/(LN(2)/2)*FM147*FP147*VLOOKUP('Données projet'!$B$16,Paramètres!$A$1:$I$89,3,0)*0.475*44/12</f>
        <v>3.5311538504020361</v>
      </c>
      <c r="FT147" s="22">
        <f t="shared" si="132"/>
        <v>160.27506796808191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1.1368683772161603E-12</v>
      </c>
      <c r="O148" s="13">
        <f>N148*VLOOKUP('Données projet'!$B$9,Paramètres!$A$1:$I$89,3,0)*VLOOKUP('Données projet'!$B$9,Paramètres!$A$1:$I$89,5,0)</f>
        <v>5.3205440053716299E-13</v>
      </c>
      <c r="P148" s="13">
        <f t="shared" si="141"/>
        <v>6.579711042921201E-12</v>
      </c>
      <c r="Q148" s="20">
        <f t="shared" si="108"/>
        <v>1.2386324814023317E-11</v>
      </c>
      <c r="R148" s="59">
        <f t="shared" si="109"/>
        <v>293.33333333334571</v>
      </c>
      <c r="S148" s="59">
        <f ca="1">AVERAGE(OFFSET($R$3,0,0,'Données projet'!$E$9+1,1))-AVERAGE(OFFSET($H$3,0,0,'Données projet'!$E$9+1,1))</f>
        <v>164.93438869099657</v>
      </c>
      <c r="T148" s="59">
        <f t="shared" si="142"/>
        <v>112.28641356594233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110.4821042545927</v>
      </c>
      <c r="AA148" s="21">
        <f>EXP(-LN(2)/25)*AA147+(1-EXP(-LN(2)/25))/(LN(2)/25)*Calculateur!V148*Calculateur!X148*VLOOKUP('Données projet'!$B$9,Paramètres!$A$1:$I$89,3,0)*0.475*44/12</f>
        <v>23.614347229166505</v>
      </c>
      <c r="AB148" s="21">
        <f>EXP(-LN(2)/2)*AB147+(1-EXP(-LN(2)/2))/(LN(2)/2)*V148*Y148*VLOOKUP('Données projet'!$B$9,Paramètres!$A$1:$I$89,3,0)*0.475*44/12</f>
        <v>0.14542314704242407</v>
      </c>
      <c r="AC148" s="22">
        <f t="shared" si="111"/>
        <v>134.24187463080165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273.81843612193632</v>
      </c>
      <c r="AO148" s="59">
        <f t="shared" si="144"/>
        <v>241.86405419073208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-6.3550942286383367E-14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271.42245454555501</v>
      </c>
      <c r="BJ148" s="59">
        <f t="shared" si="146"/>
        <v>362.63944425429077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38.132226284362943</v>
      </c>
      <c r="BQ148" s="21">
        <f>EXP(-LN(2)/25)*BQ147+(1-EXP(-LN(2)/25))/(LN(2)/25)*Calculateur!BL148*Calculateur!BN148*VLOOKUP('Données projet'!$B$11,Paramètres!$A$1:$I$89,3,0)*0.475*44/12</f>
        <v>4.7508618745974465</v>
      </c>
      <c r="BR148" s="21">
        <f>EXP(-LN(2)/2)*BR147+(1-EXP(-LN(2)/2))/(LN(2)/2)*BL148*BO148*VLOOKUP('Données projet'!$B$11,Paramètres!$A$1:$I$89,3,0)*0.475*44/12</f>
        <v>9.7092265616858166E-13</v>
      </c>
      <c r="BS148" s="22">
        <f t="shared" si="117"/>
        <v>42.883088158961364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-3.1036506698001178E-14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154.35821558431712</v>
      </c>
      <c r="CE148" s="59">
        <f t="shared" si="148"/>
        <v>263.86720460501306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8.4299709103982519</v>
      </c>
      <c r="CL148" s="21">
        <f>EXP(-LN(2)/25)*CL147+(1-EXP(-LN(2)/25))/(LN(2)/25)*Calculateur!CG148*Calculateur!CI148*VLOOKUP('Données projet'!$B$12,Paramètres!$A$1:$I$89,3,0)*0.475*44/12</f>
        <v>8.1572817356226732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16.587252646020925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213</v>
      </c>
      <c r="CU148" s="17">
        <f>CT148*VLOOKUP('Données projet'!$B$13,Paramètres!$A$1:$I$89,3,0)*VLOOKUP('Données projet'!$B$13,Paramètres!$A$1:$I$89,5,0)</f>
        <v>169.46279999999999</v>
      </c>
      <c r="CV148" s="13">
        <f t="shared" si="149"/>
        <v>42.969686502194378</v>
      </c>
      <c r="CW148" s="20">
        <f t="shared" si="121"/>
        <v>369.9865806579885</v>
      </c>
      <c r="CX148" s="59">
        <f t="shared" si="122"/>
        <v>663.31991399132176</v>
      </c>
      <c r="CY148" s="59">
        <f ca="1">AVERAGE(OFFSET($CX$3,0,0,'Données projet'!$E$13+1,1))-AVERAGE(OFFSET($H$3,0,0,'Données projet'!$E$13+1,1))</f>
        <v>157.25319335691853</v>
      </c>
      <c r="CZ148" s="59">
        <f t="shared" si="150"/>
        <v>159.50903492442171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3.113506660403484</v>
      </c>
      <c r="DG148" s="21">
        <f>EXP(-LN(2)/25)*DG147+(1-EXP(-LN(2)/25))/(LN(2)/25)*Calculateur!DB148*Calculateur!DD148*VLOOKUP('Données projet'!$B$13,Paramètres!$A$1:$I$89,3,0)*0.475*44/12</f>
        <v>1.4412041378743152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4.5547107982777995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227.99999999999994</v>
      </c>
      <c r="DP148" s="17">
        <f>DO148*VLOOKUP('Données projet'!$B$14,Paramètres!$A$1:$I$89,3,0)*VLOOKUP('Données projet'!$B$14,Paramètres!$A$1:$I$89,5,0)</f>
        <v>199.18079999999998</v>
      </c>
      <c r="DQ148" s="13">
        <f t="shared" si="151"/>
        <v>49.564089376413683</v>
      </c>
      <c r="DR148" s="20">
        <f t="shared" si="124"/>
        <v>433.23068233058711</v>
      </c>
      <c r="DS148" s="59">
        <f t="shared" si="125"/>
        <v>726.56401566392037</v>
      </c>
      <c r="DT148" s="59">
        <f ca="1">AVERAGE(OFFSET($DS$3,0,0,'Données projet'!$E$14+1,1))-AVERAGE(OFFSET($H$3,0,0,'Données projet'!$E$14+1,1))</f>
        <v>229.5312221178919</v>
      </c>
      <c r="DU148" s="59">
        <f t="shared" si="152"/>
        <v>218.1982095871906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7.8434987842163615</v>
      </c>
      <c r="EB148" s="21">
        <f>EXP(-LN(2)/25)*EB147+(1-EXP(-LN(2)/25))/(LN(2)/25)*Calculateur!DW148*Calculateur!DY148*VLOOKUP('Données projet'!$B$14,Paramètres!$A$1:$I$89,3,0)*0.475*44/12</f>
        <v>4.1764770149191399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12.019975799135501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5.1063034188034209</v>
      </c>
      <c r="EJ148" s="12">
        <f>IF('Données projet'!$A$192&gt;35,EJ147+EI148-ER147,IF(A148&lt;'Données projet'!$A$192,$EG$205^A148,IF(A148='Données projet'!$A$192,'Données projet'!$B$192,EJ147+EI148-ER147)))</f>
        <v>282.76068376068332</v>
      </c>
      <c r="EK148" s="17">
        <f>EJ148*VLOOKUP('Données projet'!$B$15,Paramètres!$A$1:$I$89,3,0)*VLOOKUP('Données projet'!$B$15,Paramètres!$A$1:$I$89,5,0)</f>
        <v>255.84186666666628</v>
      </c>
      <c r="EL148" s="13">
        <f t="shared" si="153"/>
        <v>61.83520201654526</v>
      </c>
      <c r="EM148" s="20">
        <f t="shared" si="127"/>
        <v>553.28756128992666</v>
      </c>
      <c r="EN148" s="59">
        <f t="shared" si="128"/>
        <v>846.62089462326003</v>
      </c>
      <c r="EO148" s="59">
        <f ca="1">AVERAGE(OFFSET($EN$3,0,0,'Données projet'!$E$15+1,1))-AVERAGE(OFFSET($H$3,0,0,'Données projet'!$E$15+1,1))</f>
        <v>204.39656982394689</v>
      </c>
      <c r="EP148" s="59">
        <f t="shared" si="154"/>
        <v>134.95704640904546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41.846903649244545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41.846903649244545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3.4106051316484809E-13</v>
      </c>
      <c r="FF148" s="17">
        <f>FE148*VLOOKUP('Données projet'!$B$16,Paramètres!$A$1:$I$89,3,0)*VLOOKUP('Données projet'!$B$16,Paramètres!$A$1:$I$89,5,0)</f>
        <v>2.9262992029543969E-13</v>
      </c>
      <c r="FG148" s="13">
        <f t="shared" si="155"/>
        <v>3.8796387982050903E-12</v>
      </c>
      <c r="FH148" s="20">
        <f t="shared" si="130"/>
        <v>7.2667013513884219E-12</v>
      </c>
      <c r="FI148" s="59">
        <f t="shared" si="131"/>
        <v>293.33333333334059</v>
      </c>
      <c r="FJ148" s="59">
        <f ca="1">AVERAGE(OFFSET($FI$3,0,0,'Données projet'!$E$16+1,1))-AVERAGE(OFFSET($H$3,0,0,'Données projet'!$E$16+1,1))</f>
        <v>199.60585215726968</v>
      </c>
      <c r="FK148" s="59">
        <f t="shared" si="156"/>
        <v>137.37366750114404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94.344018236607354</v>
      </c>
      <c r="FR148" s="21">
        <f>EXP(-LN(2)/25)*FR147+(1-EXP(-LN(2)/25))/(LN(2)/25)*Calculateur!FM148*Calculateur!FO148*VLOOKUP('Données projet'!$B$16,Paramètres!$A$1:$I$89,3,0)*0.475*44/12</f>
        <v>58.85813623759455</v>
      </c>
      <c r="FS148" s="21">
        <f>EXP(-LN(2)/2)*FS147+(1-EXP(-LN(2)/2))/(LN(2)/2)*FM148*FP148*VLOOKUP('Données projet'!$B$16,Paramètres!$A$1:$I$89,3,0)*0.475*44/12</f>
        <v>2.4969028330322676</v>
      </c>
      <c r="FT148" s="22">
        <f t="shared" si="132"/>
        <v>155.69905730723417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1.1368683772161603E-12</v>
      </c>
      <c r="O149" s="13">
        <f>N149*VLOOKUP('Données projet'!$B$9,Paramètres!$A$1:$I$89,3,0)*VLOOKUP('Données projet'!$B$9,Paramètres!$A$1:$I$89,5,0)</f>
        <v>5.3205440053716299E-13</v>
      </c>
      <c r="P149" s="13">
        <f t="shared" si="141"/>
        <v>6.579711042921201E-12</v>
      </c>
      <c r="Q149" s="20">
        <f t="shared" si="108"/>
        <v>1.2386324814023317E-11</v>
      </c>
      <c r="R149" s="59">
        <f t="shared" si="109"/>
        <v>293.33333333334571</v>
      </c>
      <c r="S149" s="59">
        <f ca="1">AVERAGE(OFFSET($R$3,0,0,'Données projet'!$E$9+1,1))-AVERAGE(OFFSET($H$3,0,0,'Données projet'!$E$9+1,1))</f>
        <v>164.93438869099657</v>
      </c>
      <c r="T149" s="59">
        <f t="shared" si="142"/>
        <v>112.28641356594233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108.31561757758978</v>
      </c>
      <c r="AA149" s="21">
        <f>EXP(-LN(2)/25)*AA148+(1-EXP(-LN(2)/25))/(LN(2)/25)*Calculateur!V149*Calculateur!X149*VLOOKUP('Données projet'!$B$9,Paramètres!$A$1:$I$89,3,0)*0.475*44/12</f>
        <v>22.968611662360399</v>
      </c>
      <c r="AB149" s="21">
        <f>EXP(-LN(2)/2)*AB148+(1-EXP(-LN(2)/2))/(LN(2)/2)*V149*Y149*VLOOKUP('Données projet'!$B$9,Paramètres!$A$1:$I$89,3,0)*0.475*44/12</f>
        <v>0.10282969341518648</v>
      </c>
      <c r="AC149" s="22">
        <f t="shared" si="111"/>
        <v>131.38705893336535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273.81843612193632</v>
      </c>
      <c r="AO149" s="59">
        <f t="shared" si="144"/>
        <v>241.86405419073208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-6.3550942286383367E-14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271.42245454555501</v>
      </c>
      <c r="BJ149" s="59">
        <f t="shared" si="146"/>
        <v>362.63944425429077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37.384476585288049</v>
      </c>
      <c r="BQ149" s="21">
        <f>EXP(-LN(2)/25)*BQ148+(1-EXP(-LN(2)/25))/(LN(2)/25)*Calculateur!BL149*Calculateur!BN149*VLOOKUP('Données projet'!$B$11,Paramètres!$A$1:$I$89,3,0)*0.475*44/12</f>
        <v>4.6209493067996119</v>
      </c>
      <c r="BR149" s="21">
        <f>EXP(-LN(2)/2)*BR148+(1-EXP(-LN(2)/2))/(LN(2)/2)*BL149*BO149*VLOOKUP('Données projet'!$B$11,Paramètres!$A$1:$I$89,3,0)*0.475*44/12</f>
        <v>6.8654599418445879E-13</v>
      </c>
      <c r="BS149" s="22">
        <f t="shared" si="117"/>
        <v>42.005425892088347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-3.1036506698001178E-14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154.35821558431712</v>
      </c>
      <c r="CE149" s="59">
        <f t="shared" si="148"/>
        <v>263.86720460501306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8.2646643226198897</v>
      </c>
      <c r="CL149" s="21">
        <f>EXP(-LN(2)/25)*CL148+(1-EXP(-LN(2)/25))/(LN(2)/25)*Calculateur!CG149*Calculateur!CI149*VLOOKUP('Données projet'!$B$12,Paramètres!$A$1:$I$89,3,0)*0.475*44/12</f>
        <v>7.9342204375892686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16.198884760209157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213</v>
      </c>
      <c r="CU149" s="17">
        <f>CT149*VLOOKUP('Données projet'!$B$13,Paramètres!$A$1:$I$89,3,0)*VLOOKUP('Données projet'!$B$13,Paramètres!$A$1:$I$89,5,0)</f>
        <v>169.46279999999999</v>
      </c>
      <c r="CV149" s="13">
        <f t="shared" si="149"/>
        <v>42.969686502194378</v>
      </c>
      <c r="CW149" s="20">
        <f t="shared" si="121"/>
        <v>369.9865806579885</v>
      </c>
      <c r="CX149" s="59">
        <f t="shared" si="122"/>
        <v>663.31991399132176</v>
      </c>
      <c r="CY149" s="59">
        <f ca="1">AVERAGE(OFFSET($CX$3,0,0,'Données projet'!$E$13+1,1))-AVERAGE(OFFSET($H$3,0,0,'Données projet'!$E$13+1,1))</f>
        <v>157.25319335691853</v>
      </c>
      <c r="CZ149" s="59">
        <f t="shared" si="150"/>
        <v>159.50903492442171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3.0524526938445189</v>
      </c>
      <c r="DG149" s="21">
        <f>EXP(-LN(2)/25)*DG148+(1-EXP(-LN(2)/25))/(LN(2)/25)*Calculateur!DB149*Calculateur!DD149*VLOOKUP('Données projet'!$B$13,Paramètres!$A$1:$I$89,3,0)*0.475*44/12</f>
        <v>1.4017943349345103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4.4542470287790294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227.99999999999994</v>
      </c>
      <c r="DP149" s="17">
        <f>DO149*VLOOKUP('Données projet'!$B$14,Paramètres!$A$1:$I$89,3,0)*VLOOKUP('Données projet'!$B$14,Paramètres!$A$1:$I$89,5,0)</f>
        <v>199.18079999999998</v>
      </c>
      <c r="DQ149" s="13">
        <f t="shared" si="151"/>
        <v>49.564089376413683</v>
      </c>
      <c r="DR149" s="20">
        <f t="shared" si="124"/>
        <v>433.23068233058711</v>
      </c>
      <c r="DS149" s="59">
        <f t="shared" si="125"/>
        <v>726.56401566392037</v>
      </c>
      <c r="DT149" s="59">
        <f ca="1">AVERAGE(OFFSET($DS$3,0,0,'Données projet'!$E$14+1,1))-AVERAGE(OFFSET($H$3,0,0,'Données projet'!$E$14+1,1))</f>
        <v>229.5312221178919</v>
      </c>
      <c r="DU149" s="59">
        <f t="shared" si="152"/>
        <v>218.1982095871906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7.6896925571197503</v>
      </c>
      <c r="EB149" s="21">
        <f>EXP(-LN(2)/25)*EB148+(1-EXP(-LN(2)/25))/(LN(2)/25)*Calculateur!DW149*Calculateur!DY149*VLOOKUP('Données projet'!$B$14,Paramètres!$A$1:$I$89,3,0)*0.475*44/12</f>
        <v>4.0622710313147952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11.751963588434545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5.1063034188034209</v>
      </c>
      <c r="EJ149" s="12">
        <f>IF('Données projet'!$A$192&gt;35,EJ148+EI149-ER148,IF(A149&lt;'Données projet'!$A$192,$EG$205^A149,IF(A149='Données projet'!$A$192,'Données projet'!$B$192,EJ148+EI149-ER148)))</f>
        <v>287.86698717948673</v>
      </c>
      <c r="EK149" s="17">
        <f>EJ149*VLOOKUP('Données projet'!$B$15,Paramètres!$A$1:$I$89,3,0)*VLOOKUP('Données projet'!$B$15,Paramètres!$A$1:$I$89,5,0)</f>
        <v>260.46204999999958</v>
      </c>
      <c r="EL149" s="13">
        <f t="shared" si="153"/>
        <v>62.820858164354384</v>
      </c>
      <c r="EM149" s="20">
        <f t="shared" si="127"/>
        <v>563.05106505291644</v>
      </c>
      <c r="EN149" s="59">
        <f t="shared" si="128"/>
        <v>856.38439838624981</v>
      </c>
      <c r="EO149" s="59">
        <f ca="1">AVERAGE(OFFSET($EN$3,0,0,'Données projet'!$E$15+1,1))-AVERAGE(OFFSET($H$3,0,0,'Données projet'!$E$15+1,1))</f>
        <v>204.39656982394689</v>
      </c>
      <c r="EP149" s="59">
        <f t="shared" si="154"/>
        <v>134.95704640904546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41.026311392773792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41.026311392773792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3.4106051316484809E-13</v>
      </c>
      <c r="FF149" s="17">
        <f>FE149*VLOOKUP('Données projet'!$B$16,Paramètres!$A$1:$I$89,3,0)*VLOOKUP('Données projet'!$B$16,Paramètres!$A$1:$I$89,5,0)</f>
        <v>2.9262992029543969E-13</v>
      </c>
      <c r="FG149" s="13">
        <f t="shared" si="155"/>
        <v>3.8796387982050903E-12</v>
      </c>
      <c r="FH149" s="20">
        <f t="shared" si="130"/>
        <v>7.2667013513884219E-12</v>
      </c>
      <c r="FI149" s="59">
        <f t="shared" si="131"/>
        <v>293.33333333334059</v>
      </c>
      <c r="FJ149" s="59">
        <f ca="1">AVERAGE(OFFSET($FI$3,0,0,'Données projet'!$E$16+1,1))-AVERAGE(OFFSET($H$3,0,0,'Données projet'!$E$16+1,1))</f>
        <v>199.60585215726968</v>
      </c>
      <c r="FK149" s="59">
        <f t="shared" si="156"/>
        <v>137.37366750114404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92.493989583156591</v>
      </c>
      <c r="FR149" s="21">
        <f>EXP(-LN(2)/25)*FR148+(1-EXP(-LN(2)/25))/(LN(2)/25)*Calculateur!FM149*Calculateur!FO149*VLOOKUP('Données projet'!$B$16,Paramètres!$A$1:$I$89,3,0)*0.475*44/12</f>
        <v>57.248657406962664</v>
      </c>
      <c r="FS149" s="21">
        <f>EXP(-LN(2)/2)*FS148+(1-EXP(-LN(2)/2))/(LN(2)/2)*FM149*FP149*VLOOKUP('Données projet'!$B$16,Paramètres!$A$1:$I$89,3,0)*0.475*44/12</f>
        <v>1.7655769252010183</v>
      </c>
      <c r="FT149" s="22">
        <f t="shared" si="132"/>
        <v>151.50822391532029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1.1368683772161603E-12</v>
      </c>
      <c r="O150" s="13">
        <f>N150*VLOOKUP('Données projet'!$B$9,Paramètres!$A$1:$I$89,3,0)*VLOOKUP('Données projet'!$B$9,Paramètres!$A$1:$I$89,5,0)</f>
        <v>5.3205440053716299E-13</v>
      </c>
      <c r="P150" s="13">
        <f t="shared" si="141"/>
        <v>6.579711042921201E-12</v>
      </c>
      <c r="Q150" s="20">
        <f t="shared" si="108"/>
        <v>1.2386324814023317E-11</v>
      </c>
      <c r="R150" s="59">
        <f t="shared" si="109"/>
        <v>293.33333333334571</v>
      </c>
      <c r="S150" s="59">
        <f ca="1">AVERAGE(OFFSET($R$3,0,0,'Données projet'!$E$9+1,1))-AVERAGE(OFFSET($H$3,0,0,'Données projet'!$E$9+1,1))</f>
        <v>164.93438869099657</v>
      </c>
      <c r="T150" s="59">
        <f t="shared" si="142"/>
        <v>112.28641356594233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106.19161438289649</v>
      </c>
      <c r="AA150" s="21">
        <f>EXP(-LN(2)/25)*AA149+(1-EXP(-LN(2)/25))/(LN(2)/25)*Calculateur!V150*Calculateur!X150*VLOOKUP('Données projet'!$B$9,Paramètres!$A$1:$I$89,3,0)*0.475*44/12</f>
        <v>22.340533768586361</v>
      </c>
      <c r="AB150" s="21">
        <f>EXP(-LN(2)/2)*AB149+(1-EXP(-LN(2)/2))/(LN(2)/2)*V150*Y150*VLOOKUP('Données projet'!$B$9,Paramètres!$A$1:$I$89,3,0)*0.475*44/12</f>
        <v>7.2711573521212033E-2</v>
      </c>
      <c r="AC150" s="22">
        <f t="shared" si="111"/>
        <v>128.60485972500408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273.81843612193632</v>
      </c>
      <c r="AO150" s="59">
        <f t="shared" si="144"/>
        <v>241.86405419073208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-6.3550942286383367E-14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271.42245454555501</v>
      </c>
      <c r="BJ150" s="59">
        <f t="shared" si="146"/>
        <v>362.63944425429077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36.651389801729728</v>
      </c>
      <c r="BQ150" s="21">
        <f>EXP(-LN(2)/25)*BQ149+(1-EXP(-LN(2)/25))/(LN(2)/25)*Calculateur!BL150*Calculateur!BN150*VLOOKUP('Données projet'!$B$11,Paramètres!$A$1:$I$89,3,0)*0.475*44/12</f>
        <v>4.4945892050000138</v>
      </c>
      <c r="BR150" s="21">
        <f>EXP(-LN(2)/2)*BR149+(1-EXP(-LN(2)/2))/(LN(2)/2)*BL150*BO150*VLOOKUP('Données projet'!$B$11,Paramètres!$A$1:$I$89,3,0)*0.475*44/12</f>
        <v>4.8546132808429083E-13</v>
      </c>
      <c r="BS150" s="22">
        <f t="shared" si="117"/>
        <v>41.145979006730222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-3.1036506698001178E-14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154.35821558431712</v>
      </c>
      <c r="CE150" s="59">
        <f t="shared" si="148"/>
        <v>263.86720460501306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8.1025992962007987</v>
      </c>
      <c r="CL150" s="21">
        <f>EXP(-LN(2)/25)*CL149+(1-EXP(-LN(2)/25))/(LN(2)/25)*Calculateur!CG150*Calculateur!CI150*VLOOKUP('Données projet'!$B$12,Paramètres!$A$1:$I$89,3,0)*0.475*44/12</f>
        <v>7.7172587624808715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15.819858058681671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213</v>
      </c>
      <c r="CU150" s="17">
        <f>CT150*VLOOKUP('Données projet'!$B$13,Paramètres!$A$1:$I$89,3,0)*VLOOKUP('Données projet'!$B$13,Paramètres!$A$1:$I$89,5,0)</f>
        <v>169.46279999999999</v>
      </c>
      <c r="CV150" s="13">
        <f t="shared" si="149"/>
        <v>42.969686502194378</v>
      </c>
      <c r="CW150" s="20">
        <f t="shared" si="121"/>
        <v>369.9865806579885</v>
      </c>
      <c r="CX150" s="59">
        <f t="shared" si="122"/>
        <v>663.31991399132176</v>
      </c>
      <c r="CY150" s="59">
        <f ca="1">AVERAGE(OFFSET($CX$3,0,0,'Données projet'!$E$13+1,1))-AVERAGE(OFFSET($H$3,0,0,'Données projet'!$E$13+1,1))</f>
        <v>157.25319335691853</v>
      </c>
      <c r="CZ150" s="59">
        <f t="shared" si="150"/>
        <v>159.50903492442171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2.9925959583305324</v>
      </c>
      <c r="DG150" s="21">
        <f>EXP(-LN(2)/25)*DG149+(1-EXP(-LN(2)/25))/(LN(2)/25)*Calculateur!DB150*Calculateur!DD150*VLOOKUP('Données projet'!$B$13,Paramètres!$A$1:$I$89,3,0)*0.475*44/12</f>
        <v>1.3634621951285659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4.3560581534590987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227.99999999999994</v>
      </c>
      <c r="DP150" s="17">
        <f>DO150*VLOOKUP('Données projet'!$B$14,Paramètres!$A$1:$I$89,3,0)*VLOOKUP('Données projet'!$B$14,Paramètres!$A$1:$I$89,5,0)</f>
        <v>199.18079999999998</v>
      </c>
      <c r="DQ150" s="13">
        <f t="shared" si="151"/>
        <v>49.564089376413683</v>
      </c>
      <c r="DR150" s="20">
        <f t="shared" si="124"/>
        <v>433.23068233058711</v>
      </c>
      <c r="DS150" s="59">
        <f t="shared" si="125"/>
        <v>726.56401566392037</v>
      </c>
      <c r="DT150" s="59">
        <f ca="1">AVERAGE(OFFSET($DS$3,0,0,'Données projet'!$E$14+1,1))-AVERAGE(OFFSET($H$3,0,0,'Données projet'!$E$14+1,1))</f>
        <v>229.5312221178919</v>
      </c>
      <c r="DU150" s="59">
        <f t="shared" si="152"/>
        <v>218.1982095871906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7.5389023763239678</v>
      </c>
      <c r="EB150" s="21">
        <f>EXP(-LN(2)/25)*EB149+(1-EXP(-LN(2)/25))/(LN(2)/25)*Calculateur!DW150*Calculateur!DY150*VLOOKUP('Données projet'!$B$14,Paramètres!$A$1:$I$89,3,0)*0.475*44/12</f>
        <v>3.9511880163379431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11.49009039266191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5.1063034188034209</v>
      </c>
      <c r="EJ150" s="12">
        <f>IF('Données projet'!$A$192&gt;35,EJ149+EI150-ER149,IF(A150&lt;'Données projet'!$A$192,$EG$205^A150,IF(A150='Données projet'!$A$192,'Données projet'!$B$192,EJ149+EI150-ER149)))</f>
        <v>292.97329059829013</v>
      </c>
      <c r="EK150" s="17">
        <f>EJ150*VLOOKUP('Données projet'!$B$15,Paramètres!$A$1:$I$89,3,0)*VLOOKUP('Données projet'!$B$15,Paramètres!$A$1:$I$89,5,0)</f>
        <v>265.08223333333291</v>
      </c>
      <c r="EL150" s="13">
        <f t="shared" si="153"/>
        <v>63.804481164271408</v>
      </c>
      <c r="EM150" s="20">
        <f t="shared" si="127"/>
        <v>572.8110277499942</v>
      </c>
      <c r="EN150" s="59">
        <f t="shared" si="128"/>
        <v>866.14436108332757</v>
      </c>
      <c r="EO150" s="59">
        <f ca="1">AVERAGE(OFFSET($EN$3,0,0,'Données projet'!$E$15+1,1))-AVERAGE(OFFSET($H$3,0,0,'Données projet'!$E$15+1,1))</f>
        <v>204.39656982394689</v>
      </c>
      <c r="EP150" s="59">
        <f t="shared" si="154"/>
        <v>134.95704640904546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40.221810449940577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40.221810449940577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3.4106051316484809E-13</v>
      </c>
      <c r="FF150" s="17">
        <f>FE150*VLOOKUP('Données projet'!$B$16,Paramètres!$A$1:$I$89,3,0)*VLOOKUP('Données projet'!$B$16,Paramètres!$A$1:$I$89,5,0)</f>
        <v>2.9262992029543969E-13</v>
      </c>
      <c r="FG150" s="13">
        <f t="shared" si="155"/>
        <v>3.8796387982050903E-12</v>
      </c>
      <c r="FH150" s="20">
        <f t="shared" si="130"/>
        <v>7.2667013513884219E-12</v>
      </c>
      <c r="FI150" s="59">
        <f t="shared" si="131"/>
        <v>293.33333333334059</v>
      </c>
      <c r="FJ150" s="59">
        <f ca="1">AVERAGE(OFFSET($FI$3,0,0,'Données projet'!$E$16+1,1))-AVERAGE(OFFSET($H$3,0,0,'Données projet'!$E$16+1,1))</f>
        <v>199.60585215726968</v>
      </c>
      <c r="FK150" s="59">
        <f t="shared" si="156"/>
        <v>137.37366750114404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90.680238863193935</v>
      </c>
      <c r="FR150" s="21">
        <f>EXP(-LN(2)/25)*FR149+(1-EXP(-LN(2)/25))/(LN(2)/25)*Calculateur!FM150*Calculateur!FO150*VLOOKUP('Données projet'!$B$16,Paramètres!$A$1:$I$89,3,0)*0.475*44/12</f>
        <v>55.68318985959322</v>
      </c>
      <c r="FS150" s="21">
        <f>EXP(-LN(2)/2)*FS149+(1-EXP(-LN(2)/2))/(LN(2)/2)*FM150*FP150*VLOOKUP('Données projet'!$B$16,Paramètres!$A$1:$I$89,3,0)*0.475*44/12</f>
        <v>1.248451416516134</v>
      </c>
      <c r="FT150" s="22">
        <f t="shared" si="132"/>
        <v>147.61188013930328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1.1368683772161603E-12</v>
      </c>
      <c r="O151" s="13">
        <f>N151*VLOOKUP('Données projet'!$B$9,Paramètres!$A$1:$I$89,3,0)*VLOOKUP('Données projet'!$B$9,Paramètres!$A$1:$I$89,5,0)</f>
        <v>5.3205440053716299E-13</v>
      </c>
      <c r="P151" s="13">
        <f t="shared" si="141"/>
        <v>6.579711042921201E-12</v>
      </c>
      <c r="Q151" s="20">
        <f t="shared" si="108"/>
        <v>1.2386324814023317E-11</v>
      </c>
      <c r="R151" s="59">
        <f t="shared" si="109"/>
        <v>293.33333333334571</v>
      </c>
      <c r="S151" s="59">
        <f ca="1">AVERAGE(OFFSET($R$3,0,0,'Données projet'!$E$9+1,1))-AVERAGE(OFFSET($H$3,0,0,'Données projet'!$E$9+1,1))</f>
        <v>164.93438869099657</v>
      </c>
      <c r="T151" s="59">
        <f t="shared" si="142"/>
        <v>112.28641356594233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104.1092615953371</v>
      </c>
      <c r="AA151" s="21">
        <f>EXP(-LN(2)/25)*AA150+(1-EXP(-LN(2)/25))/(LN(2)/25)*Calculateur!V151*Calculateur!X151*VLOOKUP('Données projet'!$B$9,Paramètres!$A$1:$I$89,3,0)*0.475*44/12</f>
        <v>21.729630697846755</v>
      </c>
      <c r="AB151" s="21">
        <f>EXP(-LN(2)/2)*AB150+(1-EXP(-LN(2)/2))/(LN(2)/2)*V151*Y151*VLOOKUP('Données projet'!$B$9,Paramètres!$A$1:$I$89,3,0)*0.475*44/12</f>
        <v>5.1414846707593241E-2</v>
      </c>
      <c r="AC151" s="22">
        <f t="shared" si="111"/>
        <v>125.89030713989145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273.81843612193632</v>
      </c>
      <c r="AO151" s="59">
        <f t="shared" si="144"/>
        <v>241.86405419073208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-6.3550942286383367E-14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271.42245454555501</v>
      </c>
      <c r="BJ151" s="59">
        <f t="shared" si="146"/>
        <v>362.63944425429077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35.932678402858201</v>
      </c>
      <c r="BQ151" s="21">
        <f>EXP(-LN(2)/25)*BQ150+(1-EXP(-LN(2)/25))/(LN(2)/25)*Calculateur!BL151*Calculateur!BN151*VLOOKUP('Données projet'!$B$11,Paramètres!$A$1:$I$89,3,0)*0.475*44/12</f>
        <v>4.3716844268291144</v>
      </c>
      <c r="BR151" s="21">
        <f>EXP(-LN(2)/2)*BR150+(1-EXP(-LN(2)/2))/(LN(2)/2)*BL151*BO151*VLOOKUP('Données projet'!$B$11,Paramètres!$A$1:$I$89,3,0)*0.475*44/12</f>
        <v>3.432729970922294E-13</v>
      </c>
      <c r="BS151" s="22">
        <f t="shared" si="117"/>
        <v>40.304362829687655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-3.1036506698001178E-14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154.35821558431712</v>
      </c>
      <c r="CE151" s="59">
        <f t="shared" si="148"/>
        <v>263.86720460501306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7.9437122660998805</v>
      </c>
      <c r="CL151" s="21">
        <f>EXP(-LN(2)/25)*CL150+(1-EXP(-LN(2)/25))/(LN(2)/25)*Calculateur!CG151*Calculateur!CI151*VLOOKUP('Données projet'!$B$12,Paramètres!$A$1:$I$89,3,0)*0.475*44/12</f>
        <v>7.5062299157878316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15.449942181887712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213</v>
      </c>
      <c r="CU151" s="17">
        <f>CT151*VLOOKUP('Données projet'!$B$13,Paramètres!$A$1:$I$89,3,0)*VLOOKUP('Données projet'!$B$13,Paramètres!$A$1:$I$89,5,0)</f>
        <v>169.46279999999999</v>
      </c>
      <c r="CV151" s="13">
        <f t="shared" si="149"/>
        <v>42.969686502194378</v>
      </c>
      <c r="CW151" s="20">
        <f t="shared" si="121"/>
        <v>369.9865806579885</v>
      </c>
      <c r="CX151" s="59">
        <f t="shared" si="122"/>
        <v>663.31991399132176</v>
      </c>
      <c r="CY151" s="59">
        <f ca="1">AVERAGE(OFFSET($CX$3,0,0,'Données projet'!$E$13+1,1))-AVERAGE(OFFSET($H$3,0,0,'Données projet'!$E$13+1,1))</f>
        <v>157.25319335691853</v>
      </c>
      <c r="CZ151" s="59">
        <f t="shared" si="150"/>
        <v>159.50903492442171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2.9339129768909715</v>
      </c>
      <c r="DG151" s="21">
        <f>EXP(-LN(2)/25)*DG150+(1-EXP(-LN(2)/25))/(LN(2)/25)*Calculateur!DB151*Calculateur!DD151*VLOOKUP('Données projet'!$B$13,Paramètres!$A$1:$I$89,3,0)*0.475*44/12</f>
        <v>1.3261782497014147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4.2600912265923867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227.99999999999994</v>
      </c>
      <c r="DP151" s="17">
        <f>DO151*VLOOKUP('Données projet'!$B$14,Paramètres!$A$1:$I$89,3,0)*VLOOKUP('Données projet'!$B$14,Paramètres!$A$1:$I$89,5,0)</f>
        <v>199.18079999999998</v>
      </c>
      <c r="DQ151" s="13">
        <f t="shared" si="151"/>
        <v>49.564089376413683</v>
      </c>
      <c r="DR151" s="20">
        <f t="shared" si="124"/>
        <v>433.23068233058711</v>
      </c>
      <c r="DS151" s="59">
        <f t="shared" si="125"/>
        <v>726.56401566392037</v>
      </c>
      <c r="DT151" s="59">
        <f ca="1">AVERAGE(OFFSET($DS$3,0,0,'Données projet'!$E$14+1,1))-AVERAGE(OFFSET($H$3,0,0,'Données projet'!$E$14+1,1))</f>
        <v>229.5312221178919</v>
      </c>
      <c r="DU151" s="59">
        <f t="shared" si="152"/>
        <v>218.1982095871906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7.3910690990006627</v>
      </c>
      <c r="EB151" s="21">
        <f>EXP(-LN(2)/25)*EB150+(1-EXP(-LN(2)/25))/(LN(2)/25)*Calculateur!DW151*Calculateur!DY151*VLOOKUP('Données projet'!$B$14,Paramètres!$A$1:$I$89,3,0)*0.475*44/12</f>
        <v>3.8431425722472348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11.234211671247898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5.1063034188034209</v>
      </c>
      <c r="EJ151" s="12">
        <f>IF('Données projet'!$A$192&gt;35,EJ150+EI151-ER150,IF(A151&lt;'Données projet'!$A$192,$EG$205^A151,IF(A151='Données projet'!$A$192,'Données projet'!$B$192,EJ150+EI151-ER150)))</f>
        <v>298.07959401709354</v>
      </c>
      <c r="EK151" s="17">
        <f>EJ151*VLOOKUP('Données projet'!$B$15,Paramètres!$A$1:$I$89,3,0)*VLOOKUP('Données projet'!$B$15,Paramètres!$A$1:$I$89,5,0)</f>
        <v>269.70241666666624</v>
      </c>
      <c r="EL151" s="13">
        <f t="shared" si="153"/>
        <v>64.786110541238813</v>
      </c>
      <c r="EM151" s="20">
        <f t="shared" si="127"/>
        <v>582.56751822043464</v>
      </c>
      <c r="EN151" s="59">
        <f t="shared" si="128"/>
        <v>875.90085155376801</v>
      </c>
      <c r="EO151" s="59">
        <f ca="1">AVERAGE(OFFSET($EN$3,0,0,'Données projet'!$E$15+1,1))-AVERAGE(OFFSET($H$3,0,0,'Données projet'!$E$15+1,1))</f>
        <v>204.39656982394689</v>
      </c>
      <c r="EP151" s="59">
        <f t="shared" si="154"/>
        <v>134.95704640904546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39.433085279899196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39.433085279899196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3.4106051316484809E-13</v>
      </c>
      <c r="FF151" s="17">
        <f>FE151*VLOOKUP('Données projet'!$B$16,Paramètres!$A$1:$I$89,3,0)*VLOOKUP('Données projet'!$B$16,Paramètres!$A$1:$I$89,5,0)</f>
        <v>2.9262992029543969E-13</v>
      </c>
      <c r="FG151" s="13">
        <f t="shared" si="155"/>
        <v>3.8796387982050903E-12</v>
      </c>
      <c r="FH151" s="20">
        <f t="shared" si="130"/>
        <v>7.2667013513884219E-12</v>
      </c>
      <c r="FI151" s="59">
        <f t="shared" si="131"/>
        <v>293.33333333334059</v>
      </c>
      <c r="FJ151" s="59">
        <f ca="1">AVERAGE(OFFSET($FI$3,0,0,'Données projet'!$E$16+1,1))-AVERAGE(OFFSET($H$3,0,0,'Données projet'!$E$16+1,1))</f>
        <v>199.60585215726968</v>
      </c>
      <c r="FK151" s="59">
        <f t="shared" si="156"/>
        <v>137.37366750114404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88.902054688571056</v>
      </c>
      <c r="FR151" s="21">
        <f>EXP(-LN(2)/25)*FR150+(1-EXP(-LN(2)/25))/(LN(2)/25)*Calculateur!FM151*Calculateur!FO151*VLOOKUP('Données projet'!$B$16,Paramètres!$A$1:$I$89,3,0)*0.475*44/12</f>
        <v>54.160530104630958</v>
      </c>
      <c r="FS151" s="21">
        <f>EXP(-LN(2)/2)*FS150+(1-EXP(-LN(2)/2))/(LN(2)/2)*FM151*FP151*VLOOKUP('Données projet'!$B$16,Paramètres!$A$1:$I$89,3,0)*0.475*44/12</f>
        <v>0.88278846260050936</v>
      </c>
      <c r="FT151" s="22">
        <f t="shared" si="132"/>
        <v>143.94537325580251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1.1368683772161603E-12</v>
      </c>
      <c r="O152" s="13">
        <f>N152*VLOOKUP('Données projet'!$B$9,Paramètres!$A$1:$I$89,3,0)*VLOOKUP('Données projet'!$B$9,Paramètres!$A$1:$I$89,5,0)</f>
        <v>5.3205440053716299E-13</v>
      </c>
      <c r="P152" s="13">
        <f t="shared" si="141"/>
        <v>6.579711042921201E-12</v>
      </c>
      <c r="Q152" s="20">
        <f t="shared" si="108"/>
        <v>1.2386324814023317E-11</v>
      </c>
      <c r="R152" s="59">
        <f t="shared" si="109"/>
        <v>293.33333333334571</v>
      </c>
      <c r="S152" s="59">
        <f ca="1">AVERAGE(OFFSET($R$3,0,0,'Données projet'!$E$9+1,1))-AVERAGE(OFFSET($H$3,0,0,'Données projet'!$E$9+1,1))</f>
        <v>164.93438869099657</v>
      </c>
      <c r="T152" s="59">
        <f t="shared" si="142"/>
        <v>112.28641356594233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102.06774247583198</v>
      </c>
      <c r="AA152" s="21">
        <f>EXP(-LN(2)/25)*AA151+(1-EXP(-LN(2)/25))/(LN(2)/25)*Calculateur!V152*Calculateur!X152*VLOOKUP('Données projet'!$B$9,Paramètres!$A$1:$I$89,3,0)*0.475*44/12</f>
        <v>21.135432803702521</v>
      </c>
      <c r="AB152" s="21">
        <f>EXP(-LN(2)/2)*AB151+(1-EXP(-LN(2)/2))/(LN(2)/2)*V152*Y152*VLOOKUP('Données projet'!$B$9,Paramètres!$A$1:$I$89,3,0)*0.475*44/12</f>
        <v>3.6355786760606017E-2</v>
      </c>
      <c r="AC152" s="22">
        <f t="shared" si="111"/>
        <v>123.2395310662951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273.81843612193632</v>
      </c>
      <c r="AO152" s="59">
        <f t="shared" si="144"/>
        <v>241.86405419073208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-6.3550942286383367E-14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271.42245454555501</v>
      </c>
      <c r="BJ152" s="59">
        <f t="shared" si="146"/>
        <v>362.63944425429077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35.228060496147876</v>
      </c>
      <c r="BQ152" s="21">
        <f>EXP(-LN(2)/25)*BQ151+(1-EXP(-LN(2)/25))/(LN(2)/25)*Calculateur!BL152*Calculateur!BN152*VLOOKUP('Données projet'!$B$11,Paramètres!$A$1:$I$89,3,0)*0.475*44/12</f>
        <v>4.2521404862805801</v>
      </c>
      <c r="BR152" s="21">
        <f>EXP(-LN(2)/2)*BR151+(1-EXP(-LN(2)/2))/(LN(2)/2)*BL152*BO152*VLOOKUP('Données projet'!$B$11,Paramètres!$A$1:$I$89,3,0)*0.475*44/12</f>
        <v>2.4273066404214542E-13</v>
      </c>
      <c r="BS152" s="22">
        <f t="shared" si="117"/>
        <v>39.480200982428698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-3.1036506698001178E-14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154.35821558431712</v>
      </c>
      <c r="CE152" s="59">
        <f t="shared" si="148"/>
        <v>263.86720460501306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7.7879409137477218</v>
      </c>
      <c r="CL152" s="21">
        <f>EXP(-LN(2)/25)*CL151+(1-EXP(-LN(2)/25))/(LN(2)/25)*Calculateur!CG152*Calculateur!CI152*VLOOKUP('Données projet'!$B$12,Paramètres!$A$1:$I$89,3,0)*0.475*44/12</f>
        <v>7.3009716640051376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15.088912577752859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213</v>
      </c>
      <c r="CU152" s="17">
        <f>CT152*VLOOKUP('Données projet'!$B$13,Paramètres!$A$1:$I$89,3,0)*VLOOKUP('Données projet'!$B$13,Paramètres!$A$1:$I$89,5,0)</f>
        <v>169.46279999999999</v>
      </c>
      <c r="CV152" s="13">
        <f t="shared" si="149"/>
        <v>42.969686502194378</v>
      </c>
      <c r="CW152" s="20">
        <f t="shared" si="121"/>
        <v>369.9865806579885</v>
      </c>
      <c r="CX152" s="59">
        <f t="shared" si="122"/>
        <v>663.31991399132176</v>
      </c>
      <c r="CY152" s="59">
        <f ca="1">AVERAGE(OFFSET($CX$3,0,0,'Données projet'!$E$13+1,1))-AVERAGE(OFFSET($H$3,0,0,'Données projet'!$E$13+1,1))</f>
        <v>157.25319335691853</v>
      </c>
      <c r="CZ152" s="59">
        <f t="shared" si="150"/>
        <v>159.50903492442171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2.876380732924356</v>
      </c>
      <c r="DG152" s="21">
        <f>EXP(-LN(2)/25)*DG151+(1-EXP(-LN(2)/25))/(LN(2)/25)*Calculateur!DB152*Calculateur!DD152*VLOOKUP('Données projet'!$B$13,Paramètres!$A$1:$I$89,3,0)*0.475*44/12</f>
        <v>1.2899138357226465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4.1662945686470021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227.99999999999994</v>
      </c>
      <c r="DP152" s="17">
        <f>DO152*VLOOKUP('Données projet'!$B$14,Paramètres!$A$1:$I$89,3,0)*VLOOKUP('Données projet'!$B$14,Paramètres!$A$1:$I$89,5,0)</f>
        <v>199.18079999999998</v>
      </c>
      <c r="DQ152" s="13">
        <f t="shared" si="151"/>
        <v>49.564089376413683</v>
      </c>
      <c r="DR152" s="20">
        <f t="shared" si="124"/>
        <v>433.23068233058711</v>
      </c>
      <c r="DS152" s="59">
        <f t="shared" si="125"/>
        <v>726.56401566392037</v>
      </c>
      <c r="DT152" s="59">
        <f ca="1">AVERAGE(OFFSET($DS$3,0,0,'Données projet'!$E$14+1,1))-AVERAGE(OFFSET($H$3,0,0,'Données projet'!$E$14+1,1))</f>
        <v>229.5312221178919</v>
      </c>
      <c r="DU152" s="59">
        <f t="shared" si="152"/>
        <v>218.1982095871906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7.2461347420762712</v>
      </c>
      <c r="EB152" s="21">
        <f>EXP(-LN(2)/25)*EB151+(1-EXP(-LN(2)/25))/(LN(2)/25)*Calculateur!DW152*Calculateur!DY152*VLOOKUP('Données projet'!$B$14,Paramètres!$A$1:$I$89,3,0)*0.475*44/12</f>
        <v>3.7380516365070497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10.98418637858332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>
        <f>VLOOKUP(A152,'Données projet'!$A$191:$I$211,2,0)</f>
        <v>303.18589743589746</v>
      </c>
      <c r="EH152" s="12">
        <f>VLOOKUP(A152,'Données projet'!$A$191:$I$211,9,0)</f>
        <v>5.1063034188034209</v>
      </c>
      <c r="EI152" s="12">
        <f t="array" ref="EI152">INDEX(EH:EH,MIN(IF(ISNUMBER(EH152:EH348),ROW(EH152:EH348),"")))</f>
        <v>5.1063034188034209</v>
      </c>
      <c r="EJ152" s="12">
        <f>IF('Données projet'!$A$192&gt;35,EJ151+EI152-ER151,IF(A152&lt;'Données projet'!$A$192,$EG$205^A152,IF(A152='Données projet'!$A$192,'Données projet'!$B$192,EJ151+EI152-ER151)))</f>
        <v>303.18589743589695</v>
      </c>
      <c r="EK152" s="17">
        <f>EJ152*VLOOKUP('Données projet'!$B$15,Paramètres!$A$1:$I$89,3,0)*VLOOKUP('Données projet'!$B$15,Paramètres!$A$1:$I$89,5,0)</f>
        <v>274.32259999999957</v>
      </c>
      <c r="EL152" s="13">
        <f t="shared" si="153"/>
        <v>65.765784388426695</v>
      </c>
      <c r="EM152" s="20">
        <f t="shared" si="127"/>
        <v>592.3206028098424</v>
      </c>
      <c r="EN152" s="59">
        <f t="shared" si="128"/>
        <v>885.65393614317577</v>
      </c>
      <c r="EO152" s="59">
        <f ca="1">AVERAGE(OFFSET($EN$3,0,0,'Données projet'!$E$15+1,1))-AVERAGE(OFFSET($H$3,0,0,'Données projet'!$E$15+1,1))</f>
        <v>204.39656982394689</v>
      </c>
      <c r="EP152" s="59">
        <f t="shared" si="154"/>
        <v>134.95704640904546</v>
      </c>
      <c r="EQ152" s="15">
        <f>IF(ISNA(VLOOKUP(A152,'Données projet'!$A$191:$I$211,3,0)),0,VLOOKUP(A152,'Données projet'!$A$191:$I$211,3,0))</f>
        <v>12</v>
      </c>
      <c r="ER152" s="15">
        <f>IF(ISNA(VLOOKUP(A152,'Données projet'!$A$191:$I$211,4,0)),0,VLOOKUP(A152,'Données projet'!$A$191:$I$211,4,0))</f>
        <v>120.50641025641026</v>
      </c>
      <c r="ES152" s="16">
        <f>IF(ISNA(VLOOKUP(A152,'Données projet'!$A$191:$I$211,5,0)),0%,VLOOKUP(A152,'Données projet'!$A$191:$I$211,5,0)*VLOOKUP('Données projet'!$B$15,Paramètres!$A$1:$I$89,7,0))</f>
        <v>0.38700000000000001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85.306514891867181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85.306514891867181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3.4106051316484809E-13</v>
      </c>
      <c r="FF152" s="17">
        <f>FE152*VLOOKUP('Données projet'!$B$16,Paramètres!$A$1:$I$89,3,0)*VLOOKUP('Données projet'!$B$16,Paramètres!$A$1:$I$89,5,0)</f>
        <v>2.9262992029543969E-13</v>
      </c>
      <c r="FG152" s="13">
        <f t="shared" si="155"/>
        <v>3.8796387982050903E-12</v>
      </c>
      <c r="FH152" s="20">
        <f t="shared" si="130"/>
        <v>7.2667013513884219E-12</v>
      </c>
      <c r="FI152" s="59">
        <f t="shared" si="131"/>
        <v>293.33333333334059</v>
      </c>
      <c r="FJ152" s="59">
        <f ca="1">AVERAGE(OFFSET($FI$3,0,0,'Données projet'!$E$16+1,1))-AVERAGE(OFFSET($H$3,0,0,'Données projet'!$E$16+1,1))</f>
        <v>199.60585215726968</v>
      </c>
      <c r="FK152" s="59">
        <f t="shared" si="156"/>
        <v>137.37366750114404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87.15873962102728</v>
      </c>
      <c r="FR152" s="21">
        <f>EXP(-LN(2)/25)*FR151+(1-EXP(-LN(2)/25))/(LN(2)/25)*Calculateur!FM152*Calculateur!FO152*VLOOKUP('Données projet'!$B$16,Paramètres!$A$1:$I$89,3,0)*0.475*44/12</f>
        <v>52.679507560741328</v>
      </c>
      <c r="FS152" s="21">
        <f>EXP(-LN(2)/2)*FS151+(1-EXP(-LN(2)/2))/(LN(2)/2)*FM152*FP152*VLOOKUP('Données projet'!$B$16,Paramètres!$A$1:$I$89,3,0)*0.475*44/12</f>
        <v>0.62422570825806711</v>
      </c>
      <c r="FT152" s="22">
        <f t="shared" si="132"/>
        <v>140.4624728900267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1.1368683772161603E-12</v>
      </c>
      <c r="O153" s="13">
        <f>N153*VLOOKUP('Données projet'!$B$9,Paramètres!$A$1:$I$89,3,0)*VLOOKUP('Données projet'!$B$9,Paramètres!$A$1:$I$89,5,0)</f>
        <v>5.3205440053716299E-13</v>
      </c>
      <c r="P153" s="13">
        <f t="shared" si="141"/>
        <v>6.579711042921201E-12</v>
      </c>
      <c r="Q153" s="20">
        <f t="shared" si="108"/>
        <v>1.2386324814023317E-11</v>
      </c>
      <c r="R153" s="59">
        <f t="shared" si="109"/>
        <v>293.33333333334571</v>
      </c>
      <c r="S153" s="59">
        <f ca="1">AVERAGE(OFFSET($R$3,0,0,'Données projet'!$E$9+1,1))-AVERAGE(OFFSET($H$3,0,0,'Données projet'!$E$9+1,1))</f>
        <v>164.93438869099657</v>
      </c>
      <c r="T153" s="59">
        <f t="shared" si="142"/>
        <v>112.28641356594233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100.06625630105664</v>
      </c>
      <c r="AA153" s="21">
        <f>EXP(-LN(2)/25)*AA152+(1-EXP(-LN(2)/25))/(LN(2)/25)*Calculateur!V153*Calculateur!X153*VLOOKUP('Données projet'!$B$9,Paramètres!$A$1:$I$89,3,0)*0.475*44/12</f>
        <v>20.55748328222117</v>
      </c>
      <c r="AB153" s="21">
        <f>EXP(-LN(2)/2)*AB152+(1-EXP(-LN(2)/2))/(LN(2)/2)*V153*Y153*VLOOKUP('Données projet'!$B$9,Paramètres!$A$1:$I$89,3,0)*0.475*44/12</f>
        <v>2.5707423353796621E-2</v>
      </c>
      <c r="AC153" s="22">
        <f t="shared" si="111"/>
        <v>120.6494470066316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273.81843612193632</v>
      </c>
      <c r="AO153" s="59">
        <f t="shared" si="144"/>
        <v>241.86405419073208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-6.3550942286383367E-14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271.42245454555501</v>
      </c>
      <c r="BJ153" s="59">
        <f t="shared" si="146"/>
        <v>362.63944425429077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34.537259716813651</v>
      </c>
      <c r="BQ153" s="21">
        <f>EXP(-LN(2)/25)*BQ152+(1-EXP(-LN(2)/25))/(LN(2)/25)*Calculateur!BL153*Calculateur!BN153*VLOOKUP('Données projet'!$B$11,Paramètres!$A$1:$I$89,3,0)*0.475*44/12</f>
        <v>4.1358654810728881</v>
      </c>
      <c r="BR153" s="21">
        <f>EXP(-LN(2)/2)*BR152+(1-EXP(-LN(2)/2))/(LN(2)/2)*BL153*BO153*VLOOKUP('Données projet'!$B$11,Paramètres!$A$1:$I$89,3,0)*0.475*44/12</f>
        <v>1.716364985461147E-13</v>
      </c>
      <c r="BS153" s="22">
        <f t="shared" si="117"/>
        <v>38.673125197886712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-3.1036506698001178E-14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154.35821558431712</v>
      </c>
      <c r="CE153" s="59">
        <f t="shared" si="148"/>
        <v>263.86720460501306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7.6352241426040459</v>
      </c>
      <c r="CL153" s="21">
        <f>EXP(-LN(2)/25)*CL152+(1-EXP(-LN(2)/25))/(LN(2)/25)*Calculateur!CG153*Calculateur!CI153*VLOOKUP('Données projet'!$B$12,Paramètres!$A$1:$I$89,3,0)*0.475*44/12</f>
        <v>7.1013262099115035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14.73655035251555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213</v>
      </c>
      <c r="CU153" s="17">
        <f>CT153*VLOOKUP('Données projet'!$B$13,Paramètres!$A$1:$I$89,3,0)*VLOOKUP('Données projet'!$B$13,Paramètres!$A$1:$I$89,5,0)</f>
        <v>169.46279999999999</v>
      </c>
      <c r="CV153" s="13">
        <f t="shared" si="149"/>
        <v>42.969686502194378</v>
      </c>
      <c r="CW153" s="20">
        <f t="shared" si="121"/>
        <v>369.9865806579885</v>
      </c>
      <c r="CX153" s="59">
        <f t="shared" si="122"/>
        <v>663.31991399132176</v>
      </c>
      <c r="CY153" s="59">
        <f ca="1">AVERAGE(OFFSET($CX$3,0,0,'Données projet'!$E$13+1,1))-AVERAGE(OFFSET($H$3,0,0,'Données projet'!$E$13+1,1))</f>
        <v>157.25319335691853</v>
      </c>
      <c r="CZ153" s="59">
        <f t="shared" si="150"/>
        <v>159.50903492442171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2.8199766611707222</v>
      </c>
      <c r="DG153" s="21">
        <f>EXP(-LN(2)/25)*DG152+(1-EXP(-LN(2)/25))/(LN(2)/25)*Calculateur!DB153*Calculateur!DD153*VLOOKUP('Données projet'!$B$13,Paramètres!$A$1:$I$89,3,0)*0.475*44/12</f>
        <v>1.2546410740511902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4.0746177352219126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227.99999999999994</v>
      </c>
      <c r="DP153" s="17">
        <f>DO153*VLOOKUP('Données projet'!$B$14,Paramètres!$A$1:$I$89,3,0)*VLOOKUP('Données projet'!$B$14,Paramètres!$A$1:$I$89,5,0)</f>
        <v>199.18079999999998</v>
      </c>
      <c r="DQ153" s="13">
        <f t="shared" si="151"/>
        <v>49.564089376413683</v>
      </c>
      <c r="DR153" s="20">
        <f t="shared" si="124"/>
        <v>433.23068233058711</v>
      </c>
      <c r="DS153" s="59">
        <f t="shared" si="125"/>
        <v>726.56401566392037</v>
      </c>
      <c r="DT153" s="59">
        <f ca="1">AVERAGE(OFFSET($DS$3,0,0,'Données projet'!$E$14+1,1))-AVERAGE(OFFSET($H$3,0,0,'Données projet'!$E$14+1,1))</f>
        <v>229.5312221178919</v>
      </c>
      <c r="DU153" s="59">
        <f t="shared" si="152"/>
        <v>218.1982095871906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7.1040424594899383</v>
      </c>
      <c r="EB153" s="21">
        <f>EXP(-LN(2)/25)*EB152+(1-EXP(-LN(2)/25))/(LN(2)/25)*Calculateur!DW153*Calculateur!DY153*VLOOKUP('Données projet'!$B$14,Paramètres!$A$1:$I$89,3,0)*0.475*44/12</f>
        <v>3.6358344179311723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10.739876877421111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3.0945512820512704</v>
      </c>
      <c r="EJ153" s="12">
        <f>IF('Données projet'!$A$192&gt;35,EJ152+EI153-ER152,IF(A153&lt;'Données projet'!$A$192,$EG$205^A153,IF(A153='Données projet'!$A$192,'Données projet'!$B$192,EJ152+EI153-ER152)))</f>
        <v>185.77403846153794</v>
      </c>
      <c r="EK153" s="17">
        <f>EJ153*VLOOKUP('Données projet'!$B$15,Paramètres!$A$1:$I$89,3,0)*VLOOKUP('Données projet'!$B$15,Paramètres!$A$1:$I$89,5,0)</f>
        <v>168.08834999999954</v>
      </c>
      <c r="EL153" s="13">
        <f t="shared" si="153"/>
        <v>42.661596193999998</v>
      </c>
      <c r="EM153" s="20">
        <f t="shared" si="127"/>
        <v>367.05615628788252</v>
      </c>
      <c r="EN153" s="59">
        <f t="shared" si="128"/>
        <v>660.38948962121583</v>
      </c>
      <c r="EO153" s="59">
        <f ca="1">AVERAGE(OFFSET($EN$3,0,0,'Données projet'!$E$15+1,1))-AVERAGE(OFFSET($H$3,0,0,'Données projet'!$E$15+1,1))</f>
        <v>204.39656982394689</v>
      </c>
      <c r="EP153" s="59">
        <f t="shared" si="154"/>
        <v>134.95704640904546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83.633706166674031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83.633706166674031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3.4106051316484809E-13</v>
      </c>
      <c r="FF153" s="17">
        <f>FE153*VLOOKUP('Données projet'!$B$16,Paramètres!$A$1:$I$89,3,0)*VLOOKUP('Données projet'!$B$16,Paramètres!$A$1:$I$89,5,0)</f>
        <v>2.9262992029543969E-13</v>
      </c>
      <c r="FG153" s="13">
        <f t="shared" si="155"/>
        <v>3.8796387982050903E-12</v>
      </c>
      <c r="FH153" s="20">
        <f t="shared" si="130"/>
        <v>7.2667013513884219E-12</v>
      </c>
      <c r="FI153" s="59">
        <f t="shared" si="131"/>
        <v>293.33333333334059</v>
      </c>
      <c r="FJ153" s="59">
        <f ca="1">AVERAGE(OFFSET($FI$3,0,0,'Données projet'!$E$16+1,1))-AVERAGE(OFFSET($H$3,0,0,'Données projet'!$E$16+1,1))</f>
        <v>199.60585215726968</v>
      </c>
      <c r="FK153" s="59">
        <f t="shared" si="156"/>
        <v>137.37366750114404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85.44960989864083</v>
      </c>
      <c r="FR153" s="21">
        <f>EXP(-LN(2)/25)*FR152+(1-EXP(-LN(2)/25))/(LN(2)/25)*Calculateur!FM153*Calculateur!FO153*VLOOKUP('Données projet'!$B$16,Paramètres!$A$1:$I$89,3,0)*0.475*44/12</f>
        <v>51.238983656197952</v>
      </c>
      <c r="FS153" s="21">
        <f>EXP(-LN(2)/2)*FS152+(1-EXP(-LN(2)/2))/(LN(2)/2)*FM153*FP153*VLOOKUP('Données projet'!$B$16,Paramètres!$A$1:$I$89,3,0)*0.475*44/12</f>
        <v>0.44139423130025474</v>
      </c>
      <c r="FT153" s="22">
        <f t="shared" si="132"/>
        <v>137.12998778613903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1.1368683772161603E-12</v>
      </c>
      <c r="O154" s="13">
        <f>N154*VLOOKUP('Données projet'!$B$9,Paramètres!$A$1:$I$89,3,0)*VLOOKUP('Données projet'!$B$9,Paramètres!$A$1:$I$89,5,0)</f>
        <v>5.3205440053716299E-13</v>
      </c>
      <c r="P154" s="13">
        <f t="shared" si="141"/>
        <v>6.579711042921201E-12</v>
      </c>
      <c r="Q154" s="20">
        <f t="shared" ref="Q154:Q203" si="162">(O154+P154)*0.475*44/12</f>
        <v>1.2386324814023317E-11</v>
      </c>
      <c r="R154" s="59">
        <f t="shared" si="109"/>
        <v>293.33333333334571</v>
      </c>
      <c r="S154" s="59">
        <f ca="1">AVERAGE(OFFSET($R$3,0,0,'Données projet'!$E$9+1,1))-AVERAGE(OFFSET($H$3,0,0,'Données projet'!$E$9+1,1))</f>
        <v>164.93438869099657</v>
      </c>
      <c r="T154" s="59">
        <f t="shared" si="142"/>
        <v>112.28641356594233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98.104018049382617</v>
      </c>
      <c r="AA154" s="21">
        <f>EXP(-LN(2)/25)*AA153+(1-EXP(-LN(2)/25))/(LN(2)/25)*Calculateur!V154*Calculateur!X154*VLOOKUP('Données projet'!$B$9,Paramètres!$A$1:$I$89,3,0)*0.475*44/12</f>
        <v>19.995337820797772</v>
      </c>
      <c r="AB154" s="21">
        <f>EXP(-LN(2)/2)*AB153+(1-EXP(-LN(2)/2))/(LN(2)/2)*V154*Y154*VLOOKUP('Données projet'!$B$9,Paramètres!$A$1:$I$89,3,0)*0.475*44/12</f>
        <v>1.8177893380303008E-2</v>
      </c>
      <c r="AC154" s="22">
        <f t="shared" ref="AC154:AC203" si="163">SUM(Z154:AB154)</f>
        <v>118.11753376356069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273.81843612193632</v>
      </c>
      <c r="AO154" s="59">
        <f t="shared" si="144"/>
        <v>241.86405419073208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-6.3550942286383367E-14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271.42245454555501</v>
      </c>
      <c r="BJ154" s="59">
        <f t="shared" si="146"/>
        <v>362.63944425429077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33.860005119415305</v>
      </c>
      <c r="BQ154" s="21">
        <f>EXP(-LN(2)/25)*BQ153+(1-EXP(-LN(2)/25))/(LN(2)/25)*Calculateur!BL154*Calculateur!BN154*VLOOKUP('Données projet'!$B$11,Paramètres!$A$1:$I$89,3,0)*0.475*44/12</f>
        <v>4.0227700219972373</v>
      </c>
      <c r="BR154" s="21">
        <f>EXP(-LN(2)/2)*BR153+(1-EXP(-LN(2)/2))/(LN(2)/2)*BL154*BO154*VLOOKUP('Données projet'!$B$11,Paramètres!$A$1:$I$89,3,0)*0.475*44/12</f>
        <v>1.2136533202107271E-13</v>
      </c>
      <c r="BS154" s="22">
        <f t="shared" ref="BS154:BS203" si="169">SUM(BP154:BR154)</f>
        <v>37.882775141412665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-3.1036506698001178E-14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154.35821558431712</v>
      </c>
      <c r="CE154" s="59">
        <f t="shared" si="148"/>
        <v>263.86720460501306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7.4855020541944643</v>
      </c>
      <c r="CL154" s="21">
        <f>EXP(-LN(2)/25)*CL153+(1-EXP(-LN(2)/25))/(LN(2)/25)*Calculateur!CG154*Calculateur!CI154*VLOOKUP('Données projet'!$B$12,Paramètres!$A$1:$I$89,3,0)*0.475*44/12</f>
        <v>6.9071400712589588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14.392642125453424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213</v>
      </c>
      <c r="CU154" s="17">
        <f>CT154*VLOOKUP('Données projet'!$B$13,Paramètres!$A$1:$I$89,3,0)*VLOOKUP('Données projet'!$B$13,Paramètres!$A$1:$I$89,5,0)</f>
        <v>169.46279999999999</v>
      </c>
      <c r="CV154" s="13">
        <f t="shared" ref="CV154:CV203" si="173">EXP(-1.0587+0.8836*LN(CU154)+0.284)</f>
        <v>42.969686502194378</v>
      </c>
      <c r="CW154" s="20">
        <f t="shared" ref="CW154:CW203" si="174">(CU154+CV154)*0.475*44/12</f>
        <v>369.9865806579885</v>
      </c>
      <c r="CX154" s="59">
        <f t="shared" si="122"/>
        <v>663.31991399132176</v>
      </c>
      <c r="CY154" s="59">
        <f ca="1">AVERAGE(OFFSET($CX$3,0,0,'Données projet'!$E$13+1,1))-AVERAGE(OFFSET($H$3,0,0,'Données projet'!$E$13+1,1))</f>
        <v>157.25319335691853</v>
      </c>
      <c r="CZ154" s="59">
        <f t="shared" si="150"/>
        <v>159.50903492442171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2.7646786388610902</v>
      </c>
      <c r="DG154" s="21">
        <f>EXP(-LN(2)/25)*DG153+(1-EXP(-LN(2)/25))/(LN(2)/25)*Calculateur!DB154*Calculateur!DD154*VLOOKUP('Données projet'!$B$13,Paramètres!$A$1:$I$89,3,0)*0.475*44/12</f>
        <v>1.2203328479025539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3.9850114867636441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227.99999999999994</v>
      </c>
      <c r="DP154" s="17">
        <f>DO154*VLOOKUP('Données projet'!$B$14,Paramètres!$A$1:$I$89,3,0)*VLOOKUP('Données projet'!$B$14,Paramètres!$A$1:$I$89,5,0)</f>
        <v>199.18079999999998</v>
      </c>
      <c r="DQ154" s="13">
        <f t="shared" ref="DQ154:DQ203" si="176">EXP(-1.0587+0.8836*LN(DP154)+0.284)</f>
        <v>49.564089376413683</v>
      </c>
      <c r="DR154" s="20">
        <f t="shared" ref="DR154:DR203" si="177">(DP154+DQ154)*0.475*44/12</f>
        <v>433.23068233058711</v>
      </c>
      <c r="DS154" s="59">
        <f t="shared" si="125"/>
        <v>726.56401566392037</v>
      </c>
      <c r="DT154" s="59">
        <f ca="1">AVERAGE(OFFSET($DS$3,0,0,'Données projet'!$E$14+1,1))-AVERAGE(OFFSET($H$3,0,0,'Données projet'!$E$14+1,1))</f>
        <v>229.5312221178919</v>
      </c>
      <c r="DU154" s="59">
        <f t="shared" si="152"/>
        <v>218.1982095871906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6.9647365198973885</v>
      </c>
      <c r="EB154" s="21">
        <f>EXP(-LN(2)/25)*EB153+(1-EXP(-LN(2)/25))/(LN(2)/25)*Calculateur!DW154*Calculateur!DY154*VLOOKUP('Données projet'!$B$14,Paramètres!$A$1:$I$89,3,0)*0.475*44/12</f>
        <v>3.5364123345726224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10.50114885447001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3.0945512820512704</v>
      </c>
      <c r="EJ154" s="12">
        <f>IF('Données projet'!$A$192&gt;35,EJ153+EI154-ER153,IF(A154&lt;'Données projet'!$A$192,$EG$205^A154,IF(A154='Données projet'!$A$192,'Données projet'!$B$192,EJ153+EI154-ER153)))</f>
        <v>188.86858974358921</v>
      </c>
      <c r="EK154" s="17">
        <f>EJ154*VLOOKUP('Données projet'!$B$15,Paramètres!$A$1:$I$89,3,0)*VLOOKUP('Données projet'!$B$15,Paramètres!$A$1:$I$89,5,0)</f>
        <v>170.8882999999995</v>
      </c>
      <c r="EL154" s="13">
        <f t="shared" ref="EL154:EL203" si="179">EXP(-1.0587+0.8836*LN(EK154)+0.284)</f>
        <v>43.288912849762468</v>
      </c>
      <c r="EM154" s="20">
        <f t="shared" ref="EM154:EM203" si="180">(EK154+EL154)*0.475*44/12</f>
        <v>373.02531238000211</v>
      </c>
      <c r="EN154" s="59">
        <f t="shared" si="128"/>
        <v>666.35864571333536</v>
      </c>
      <c r="EO154" s="59">
        <f ca="1">AVERAGE(OFFSET($EN$3,0,0,'Données projet'!$E$15+1,1))-AVERAGE(OFFSET($H$3,0,0,'Données projet'!$E$15+1,1))</f>
        <v>204.39656982394689</v>
      </c>
      <c r="EP154" s="59">
        <f t="shared" si="154"/>
        <v>134.95704640904546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81.993700200269345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81.993700200269345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3.4106051316484809E-13</v>
      </c>
      <c r="FF154" s="17">
        <f>FE154*VLOOKUP('Données projet'!$B$16,Paramètres!$A$1:$I$89,3,0)*VLOOKUP('Données projet'!$B$16,Paramètres!$A$1:$I$89,5,0)</f>
        <v>2.9262992029543969E-13</v>
      </c>
      <c r="FG154" s="13">
        <f t="shared" ref="FG154:FG203" si="182">EXP(-1.0587+0.8836*LN(FF154)+0.284)</f>
        <v>3.8796387982050903E-12</v>
      </c>
      <c r="FH154" s="20">
        <f t="shared" ref="FH154:FH203" si="183">(FF154+FG154)*0.475*44/12</f>
        <v>7.2667013513884219E-12</v>
      </c>
      <c r="FI154" s="59">
        <f t="shared" si="131"/>
        <v>293.33333333334059</v>
      </c>
      <c r="FJ154" s="59">
        <f ca="1">AVERAGE(OFFSET($FI$3,0,0,'Données projet'!$E$16+1,1))-AVERAGE(OFFSET($H$3,0,0,'Données projet'!$E$16+1,1))</f>
        <v>199.60585215726968</v>
      </c>
      <c r="FK154" s="59">
        <f t="shared" si="156"/>
        <v>137.37366750114404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83.773995167644188</v>
      </c>
      <c r="FR154" s="21">
        <f>EXP(-LN(2)/25)*FR153+(1-EXP(-LN(2)/25))/(LN(2)/25)*Calculateur!FM154*Calculateur!FO154*VLOOKUP('Données projet'!$B$16,Paramètres!$A$1:$I$89,3,0)*0.475*44/12</f>
        <v>49.837850953578176</v>
      </c>
      <c r="FS154" s="21">
        <f>EXP(-LN(2)/2)*FS153+(1-EXP(-LN(2)/2))/(LN(2)/2)*FM154*FP154*VLOOKUP('Données projet'!$B$16,Paramètres!$A$1:$I$89,3,0)*0.475*44/12</f>
        <v>0.31211285412903361</v>
      </c>
      <c r="FT154" s="22">
        <f t="shared" ref="FT154:FT203" si="184">SUM(FQ154:FS154)</f>
        <v>133.92395897535138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1.1368683772161603E-12</v>
      </c>
      <c r="O155" s="13">
        <f>N155*VLOOKUP('Données projet'!$B$9,Paramètres!$A$1:$I$89,3,0)*VLOOKUP('Données projet'!$B$9,Paramètres!$A$1:$I$89,5,0)</f>
        <v>5.3205440053716299E-13</v>
      </c>
      <c r="P155" s="13">
        <f t="shared" si="141"/>
        <v>6.579711042921201E-12</v>
      </c>
      <c r="Q155" s="20">
        <f t="shared" si="162"/>
        <v>1.2386324814023317E-11</v>
      </c>
      <c r="R155" s="59">
        <f t="shared" si="109"/>
        <v>293.33333333334571</v>
      </c>
      <c r="S155" s="59">
        <f ca="1">AVERAGE(OFFSET($R$3,0,0,'Données projet'!$E$9+1,1))-AVERAGE(OFFSET($H$3,0,0,'Données projet'!$E$9+1,1))</f>
        <v>164.93438869099657</v>
      </c>
      <c r="T155" s="59">
        <f t="shared" si="142"/>
        <v>112.28641356594233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96.180258092976771</v>
      </c>
      <c r="AA155" s="21">
        <f>EXP(-LN(2)/25)*AA154+(1-EXP(-LN(2)/25))/(LN(2)/25)*Calculateur!V155*Calculateur!X155*VLOOKUP('Données projet'!$B$9,Paramètres!$A$1:$I$89,3,0)*0.475*44/12</f>
        <v>19.448564256578941</v>
      </c>
      <c r="AB155" s="21">
        <f>EXP(-LN(2)/2)*AB154+(1-EXP(-LN(2)/2))/(LN(2)/2)*V155*Y155*VLOOKUP('Données projet'!$B$9,Paramètres!$A$1:$I$89,3,0)*0.475*44/12</f>
        <v>1.285371167689831E-2</v>
      </c>
      <c r="AC155" s="22">
        <f t="shared" si="163"/>
        <v>115.64167606123262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273.81843612193632</v>
      </c>
      <c r="AO155" s="59">
        <f t="shared" si="144"/>
        <v>241.86405419073208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-6.3550942286383367E-14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271.42245454555501</v>
      </c>
      <c r="BJ155" s="59">
        <f t="shared" si="146"/>
        <v>362.63944425429077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33.19603107158742</v>
      </c>
      <c r="BQ155" s="21">
        <f>EXP(-LN(2)/25)*BQ154+(1-EXP(-LN(2)/25))/(LN(2)/25)*Calculateur!BL155*Calculateur!BN155*VLOOKUP('Données projet'!$B$11,Paramètres!$A$1:$I$89,3,0)*0.475*44/12</f>
        <v>3.9127671641974415</v>
      </c>
      <c r="BR155" s="21">
        <f>EXP(-LN(2)/2)*BR154+(1-EXP(-LN(2)/2))/(LN(2)/2)*BL155*BO155*VLOOKUP('Données projet'!$B$11,Paramètres!$A$1:$I$89,3,0)*0.475*44/12</f>
        <v>8.5818249273057349E-14</v>
      </c>
      <c r="BS155" s="22">
        <f t="shared" si="169"/>
        <v>37.108798235784946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-3.1036506698001178E-14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154.35821558431712</v>
      </c>
      <c r="CE155" s="59">
        <f t="shared" si="148"/>
        <v>263.86720460501306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7.3387159246171381</v>
      </c>
      <c r="CL155" s="21">
        <f>EXP(-LN(2)/25)*CL154+(1-EXP(-LN(2)/25))/(LN(2)/25)*Calculateur!CG155*Calculateur!CI155*VLOOKUP('Données projet'!$B$12,Paramètres!$A$1:$I$89,3,0)*0.475*44/12</f>
        <v>6.7182639627796723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14.05697988739681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213</v>
      </c>
      <c r="CU155" s="17">
        <f>CT155*VLOOKUP('Données projet'!$B$13,Paramètres!$A$1:$I$89,3,0)*VLOOKUP('Données projet'!$B$13,Paramètres!$A$1:$I$89,5,0)</f>
        <v>169.46279999999999</v>
      </c>
      <c r="CV155" s="13">
        <f t="shared" si="173"/>
        <v>42.969686502194378</v>
      </c>
      <c r="CW155" s="20">
        <f t="shared" si="174"/>
        <v>369.9865806579885</v>
      </c>
      <c r="CX155" s="59">
        <f t="shared" si="122"/>
        <v>663.31991399132176</v>
      </c>
      <c r="CY155" s="59">
        <f ca="1">AVERAGE(OFFSET($CX$3,0,0,'Données projet'!$E$13+1,1))-AVERAGE(OFFSET($H$3,0,0,'Données projet'!$E$13+1,1))</f>
        <v>157.25319335691853</v>
      </c>
      <c r="CZ155" s="59">
        <f t="shared" si="150"/>
        <v>159.50903492442171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2.7104649770404867</v>
      </c>
      <c r="DG155" s="21">
        <f>EXP(-LN(2)/25)*DG154+(1-EXP(-LN(2)/25))/(LN(2)/25)*Calculateur!DB155*Calculateur!DD155*VLOOKUP('Données projet'!$B$13,Paramètres!$A$1:$I$89,3,0)*0.475*44/12</f>
        <v>1.1869627820021431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3.8974277590426301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227.99999999999994</v>
      </c>
      <c r="DP155" s="17">
        <f>DO155*VLOOKUP('Données projet'!$B$14,Paramètres!$A$1:$I$89,3,0)*VLOOKUP('Données projet'!$B$14,Paramètres!$A$1:$I$89,5,0)</f>
        <v>199.18079999999998</v>
      </c>
      <c r="DQ155" s="13">
        <f t="shared" si="176"/>
        <v>49.564089376413683</v>
      </c>
      <c r="DR155" s="20">
        <f t="shared" si="177"/>
        <v>433.23068233058711</v>
      </c>
      <c r="DS155" s="59">
        <f t="shared" si="125"/>
        <v>726.56401566392037</v>
      </c>
      <c r="DT155" s="59">
        <f ca="1">AVERAGE(OFFSET($DS$3,0,0,'Données projet'!$E$14+1,1))-AVERAGE(OFFSET($H$3,0,0,'Données projet'!$E$14+1,1))</f>
        <v>229.5312221178919</v>
      </c>
      <c r="DU155" s="59">
        <f t="shared" si="152"/>
        <v>218.1982095871906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6.8281622848120156</v>
      </c>
      <c r="EB155" s="21">
        <f>EXP(-LN(2)/25)*EB154+(1-EXP(-LN(2)/25))/(LN(2)/25)*Calculateur!DW155*Calculateur!DY155*VLOOKUP('Données projet'!$B$14,Paramètres!$A$1:$I$89,3,0)*0.475*44/12</f>
        <v>3.4397089533118921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10.267871238123908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3.0945512820512704</v>
      </c>
      <c r="EJ155" s="12">
        <f>IF('Données projet'!$A$192&gt;35,EJ154+EI155-ER154,IF(A155&lt;'Données projet'!$A$192,$EG$205^A155,IF(A155='Données projet'!$A$192,'Données projet'!$B$192,EJ154+EI155-ER154)))</f>
        <v>191.96314102564048</v>
      </c>
      <c r="EK155" s="17">
        <f>EJ155*VLOOKUP('Données projet'!$B$15,Paramètres!$A$1:$I$89,3,0)*VLOOKUP('Données projet'!$B$15,Paramètres!$A$1:$I$89,5,0)</f>
        <v>173.6882499999995</v>
      </c>
      <c r="EL155" s="13">
        <f t="shared" si="179"/>
        <v>43.915034185437626</v>
      </c>
      <c r="EM155" s="20">
        <f t="shared" si="180"/>
        <v>378.99238662296966</v>
      </c>
      <c r="EN155" s="59">
        <f t="shared" si="128"/>
        <v>672.32571995630292</v>
      </c>
      <c r="EO155" s="59">
        <f ca="1">AVERAGE(OFFSET($EN$3,0,0,'Données projet'!$E$15+1,1))-AVERAGE(OFFSET($H$3,0,0,'Données projet'!$E$15+1,1))</f>
        <v>204.39656982394689</v>
      </c>
      <c r="EP155" s="59">
        <f t="shared" si="154"/>
        <v>134.95704640904546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80.385853750560983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80.385853750560983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3.4106051316484809E-13</v>
      </c>
      <c r="FF155" s="17">
        <f>FE155*VLOOKUP('Données projet'!$B$16,Paramètres!$A$1:$I$89,3,0)*VLOOKUP('Données projet'!$B$16,Paramètres!$A$1:$I$89,5,0)</f>
        <v>2.9262992029543969E-13</v>
      </c>
      <c r="FG155" s="13">
        <f t="shared" si="182"/>
        <v>3.8796387982050903E-12</v>
      </c>
      <c r="FH155" s="20">
        <f t="shared" si="183"/>
        <v>7.2667013513884219E-12</v>
      </c>
      <c r="FI155" s="59">
        <f t="shared" si="131"/>
        <v>293.33333333334059</v>
      </c>
      <c r="FJ155" s="59">
        <f ca="1">AVERAGE(OFFSET($FI$3,0,0,'Données projet'!$E$16+1,1))-AVERAGE(OFFSET($H$3,0,0,'Données projet'!$E$16+1,1))</f>
        <v>199.60585215726968</v>
      </c>
      <c r="FK155" s="59">
        <f t="shared" si="156"/>
        <v>137.37366750114404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82.131238219498314</v>
      </c>
      <c r="FR155" s="21">
        <f>EXP(-LN(2)/25)*FR154+(1-EXP(-LN(2)/25))/(LN(2)/25)*Calculateur!FM155*Calculateur!FO155*VLOOKUP('Données projet'!$B$16,Paramètres!$A$1:$I$89,3,0)*0.475*44/12</f>
        <v>48.475032298393906</v>
      </c>
      <c r="FS155" s="21">
        <f>EXP(-LN(2)/2)*FS154+(1-EXP(-LN(2)/2))/(LN(2)/2)*FM155*FP155*VLOOKUP('Données projet'!$B$16,Paramètres!$A$1:$I$89,3,0)*0.475*44/12</f>
        <v>0.22069711565012742</v>
      </c>
      <c r="FT155" s="22">
        <f t="shared" si="184"/>
        <v>130.82696763354235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1.1368683772161603E-12</v>
      </c>
      <c r="O156" s="13">
        <f>N156*VLOOKUP('Données projet'!$B$9,Paramètres!$A$1:$I$89,3,0)*VLOOKUP('Données projet'!$B$9,Paramètres!$A$1:$I$89,5,0)</f>
        <v>5.3205440053716299E-13</v>
      </c>
      <c r="P156" s="13">
        <f t="shared" si="141"/>
        <v>6.579711042921201E-12</v>
      </c>
      <c r="Q156" s="20">
        <f t="shared" si="162"/>
        <v>1.2386324814023317E-11</v>
      </c>
      <c r="R156" s="59">
        <f t="shared" si="109"/>
        <v>293.33333333334571</v>
      </c>
      <c r="S156" s="59">
        <f ca="1">AVERAGE(OFFSET($R$3,0,0,'Données projet'!$E$9+1,1))-AVERAGE(OFFSET($H$3,0,0,'Données projet'!$E$9+1,1))</f>
        <v>164.93438869099657</v>
      </c>
      <c r="T156" s="59">
        <f t="shared" si="142"/>
        <v>112.28641356594233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94.294221895938335</v>
      </c>
      <c r="AA156" s="21">
        <f>EXP(-LN(2)/25)*AA155+(1-EXP(-LN(2)/25))/(LN(2)/25)*Calculateur!V156*Calculateur!X156*VLOOKUP('Données projet'!$B$9,Paramètres!$A$1:$I$89,3,0)*0.475*44/12</f>
        <v>18.916742244227244</v>
      </c>
      <c r="AB156" s="21">
        <f>EXP(-LN(2)/2)*AB155+(1-EXP(-LN(2)/2))/(LN(2)/2)*V156*Y156*VLOOKUP('Données projet'!$B$9,Paramètres!$A$1:$I$89,3,0)*0.475*44/12</f>
        <v>9.0889466901515042E-3</v>
      </c>
      <c r="AC156" s="22">
        <f t="shared" si="163"/>
        <v>113.22005308685573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273.81843612193632</v>
      </c>
      <c r="AO156" s="59">
        <f t="shared" si="144"/>
        <v>241.86405419073208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-6.3550942286383367E-14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271.42245454555501</v>
      </c>
      <c r="BJ156" s="59">
        <f t="shared" si="146"/>
        <v>362.63944425429077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32.545077149853263</v>
      </c>
      <c r="BQ156" s="21">
        <f>EXP(-LN(2)/25)*BQ155+(1-EXP(-LN(2)/25))/(LN(2)/25)*Calculateur!BL156*Calculateur!BN156*VLOOKUP('Données projet'!$B$11,Paramètres!$A$1:$I$89,3,0)*0.475*44/12</f>
        <v>3.8057723403289803</v>
      </c>
      <c r="BR156" s="21">
        <f>EXP(-LN(2)/2)*BR155+(1-EXP(-LN(2)/2))/(LN(2)/2)*BL156*BO156*VLOOKUP('Données projet'!$B$11,Paramètres!$A$1:$I$89,3,0)*0.475*44/12</f>
        <v>6.0682666010536354E-14</v>
      </c>
      <c r="BS156" s="22">
        <f t="shared" si="169"/>
        <v>36.350849490182306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-3.1036506698001178E-14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154.35821558431712</v>
      </c>
      <c r="CE156" s="59">
        <f t="shared" si="148"/>
        <v>263.86720460501306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7.1948081815101244</v>
      </c>
      <c r="CL156" s="21">
        <f>EXP(-LN(2)/25)*CL155+(1-EXP(-LN(2)/25))/(LN(2)/25)*Calculateur!CG156*Calculateur!CI156*VLOOKUP('Données projet'!$B$12,Paramètres!$A$1:$I$89,3,0)*0.475*44/12</f>
        <v>6.5345526814193153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13.72936086292944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213</v>
      </c>
      <c r="CU156" s="17">
        <f>CT156*VLOOKUP('Données projet'!$B$13,Paramètres!$A$1:$I$89,3,0)*VLOOKUP('Données projet'!$B$13,Paramètres!$A$1:$I$89,5,0)</f>
        <v>169.46279999999999</v>
      </c>
      <c r="CV156" s="13">
        <f t="shared" si="173"/>
        <v>42.969686502194378</v>
      </c>
      <c r="CW156" s="20">
        <f t="shared" si="174"/>
        <v>369.9865806579885</v>
      </c>
      <c r="CX156" s="59">
        <f t="shared" si="122"/>
        <v>663.31991399132176</v>
      </c>
      <c r="CY156" s="59">
        <f ca="1">AVERAGE(OFFSET($CX$3,0,0,'Données projet'!$E$13+1,1))-AVERAGE(OFFSET($H$3,0,0,'Données projet'!$E$13+1,1))</f>
        <v>157.25319335691853</v>
      </c>
      <c r="CZ156" s="59">
        <f t="shared" si="150"/>
        <v>159.50903492442171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2.6573144120611167</v>
      </c>
      <c r="DG156" s="21">
        <f>EXP(-LN(2)/25)*DG155+(1-EXP(-LN(2)/25))/(LN(2)/25)*Calculateur!DB156*Calculateur!DD156*VLOOKUP('Données projet'!$B$13,Paramètres!$A$1:$I$89,3,0)*0.475*44/12</f>
        <v>1.1545052223086347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3.8118196343697512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227.99999999999994</v>
      </c>
      <c r="DP156" s="17">
        <f>DO156*VLOOKUP('Données projet'!$B$14,Paramètres!$A$1:$I$89,3,0)*VLOOKUP('Données projet'!$B$14,Paramètres!$A$1:$I$89,5,0)</f>
        <v>199.18079999999998</v>
      </c>
      <c r="DQ156" s="13">
        <f t="shared" si="176"/>
        <v>49.564089376413683</v>
      </c>
      <c r="DR156" s="20">
        <f t="shared" si="177"/>
        <v>433.23068233058711</v>
      </c>
      <c r="DS156" s="59">
        <f t="shared" si="125"/>
        <v>726.56401566392037</v>
      </c>
      <c r="DT156" s="59">
        <f ca="1">AVERAGE(OFFSET($DS$3,0,0,'Données projet'!$E$14+1,1))-AVERAGE(OFFSET($H$3,0,0,'Données projet'!$E$14+1,1))</f>
        <v>229.5312221178919</v>
      </c>
      <c r="DU156" s="59">
        <f t="shared" si="152"/>
        <v>218.1982095871906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6.694266187174609</v>
      </c>
      <c r="EB156" s="21">
        <f>EXP(-LN(2)/25)*EB155+(1-EXP(-LN(2)/25))/(LN(2)/25)*Calculateur!DW156*Calculateur!DY156*VLOOKUP('Données projet'!$B$14,Paramètres!$A$1:$I$89,3,0)*0.475*44/12</f>
        <v>3.3456499310971459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10.039916118271755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195.05769230769226</v>
      </c>
      <c r="EH156" s="12">
        <f>VLOOKUP(A156,'Données projet'!$A$191:$I$211,9,0)</f>
        <v>3.0945512820512704</v>
      </c>
      <c r="EI156" s="12">
        <f t="array" ref="EI156">INDEX(EH:EH,MIN(IF(ISNUMBER(EH156:EH352),ROW(EH156:EH352),"")))</f>
        <v>3.0945512820512704</v>
      </c>
      <c r="EJ156" s="12">
        <f>IF('Données projet'!$A$192&gt;35,EJ155+EI156-ER155,IF(A156&lt;'Données projet'!$A$192,$EG$205^A156,IF(A156='Données projet'!$A$192,'Données projet'!$B$192,EJ155+EI156-ER155)))</f>
        <v>195.05769230769175</v>
      </c>
      <c r="EK156" s="17">
        <f>EJ156*VLOOKUP('Données projet'!$B$15,Paramètres!$A$1:$I$89,3,0)*VLOOKUP('Données projet'!$B$15,Paramètres!$A$1:$I$89,5,0)</f>
        <v>176.48819999999949</v>
      </c>
      <c r="EL156" s="13">
        <f t="shared" si="179"/>
        <v>44.539981694883714</v>
      </c>
      <c r="EM156" s="20">
        <f t="shared" si="180"/>
        <v>384.95741645192157</v>
      </c>
      <c r="EN156" s="59">
        <f t="shared" si="128"/>
        <v>678.29074978525489</v>
      </c>
      <c r="EO156" s="59">
        <f ca="1">AVERAGE(OFFSET($EN$3,0,0,'Données projet'!$E$15+1,1))-AVERAGE(OFFSET($H$3,0,0,'Données projet'!$E$15+1,1))</f>
        <v>204.39656982394689</v>
      </c>
      <c r="EP156" s="59">
        <f t="shared" si="154"/>
        <v>134.95704640904546</v>
      </c>
      <c r="EQ156" s="15">
        <f>IF(ISNA(VLOOKUP(A156,'Données projet'!$A$191:$I$211,3,0)),0,VLOOKUP(A156,'Données projet'!$A$191:$I$211,3,0))</f>
        <v>13</v>
      </c>
      <c r="ER156" s="15">
        <f>IF(ISNA(VLOOKUP(A156,'Données projet'!$A$191:$I$211,4,0)),0,VLOOKUP(A156,'Données projet'!$A$191:$I$211,4,0))</f>
        <v>70.115384615384613</v>
      </c>
      <c r="ES156" s="16">
        <f>IF(ISNA(VLOOKUP(A156,'Données projet'!$A$191:$I$211,5,0)),0%,VLOOKUP(A156,'Données projet'!$A$191:$I$211,5,0)*VLOOKUP('Données projet'!$B$15,Paramètres!$A$1:$I$89,7,0))</f>
        <v>0.38700000000000001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105.95042013547638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105.95042013547638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3.4106051316484809E-13</v>
      </c>
      <c r="FF156" s="17">
        <f>FE156*VLOOKUP('Données projet'!$B$16,Paramètres!$A$1:$I$89,3,0)*VLOOKUP('Données projet'!$B$16,Paramètres!$A$1:$I$89,5,0)</f>
        <v>2.9262992029543969E-13</v>
      </c>
      <c r="FG156" s="13">
        <f t="shared" si="182"/>
        <v>3.8796387982050903E-12</v>
      </c>
      <c r="FH156" s="20">
        <f t="shared" si="183"/>
        <v>7.2667013513884219E-12</v>
      </c>
      <c r="FI156" s="59">
        <f t="shared" si="131"/>
        <v>293.33333333334059</v>
      </c>
      <c r="FJ156" s="59">
        <f ca="1">AVERAGE(OFFSET($FI$3,0,0,'Données projet'!$E$16+1,1))-AVERAGE(OFFSET($H$3,0,0,'Données projet'!$E$16+1,1))</f>
        <v>199.60585215726968</v>
      </c>
      <c r="FK156" s="59">
        <f t="shared" si="156"/>
        <v>137.37366750114404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80.520694733122781</v>
      </c>
      <c r="FR156" s="21">
        <f>EXP(-LN(2)/25)*FR155+(1-EXP(-LN(2)/25))/(LN(2)/25)*Calculateur!FM156*Calculateur!FO156*VLOOKUP('Données projet'!$B$16,Paramètres!$A$1:$I$89,3,0)*0.475*44/12</f>
        <v>47.149479991003169</v>
      </c>
      <c r="FS156" s="21">
        <f>EXP(-LN(2)/2)*FS155+(1-EXP(-LN(2)/2))/(LN(2)/2)*FM156*FP156*VLOOKUP('Données projet'!$B$16,Paramètres!$A$1:$I$89,3,0)*0.475*44/12</f>
        <v>0.15605642706451683</v>
      </c>
      <c r="FT156" s="22">
        <f t="shared" si="184"/>
        <v>127.82623115119047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1.1368683772161603E-12</v>
      </c>
      <c r="O157" s="13">
        <f>N157*VLOOKUP('Données projet'!$B$9,Paramètres!$A$1:$I$89,3,0)*VLOOKUP('Données projet'!$B$9,Paramètres!$A$1:$I$89,5,0)</f>
        <v>5.3205440053716299E-13</v>
      </c>
      <c r="P157" s="13">
        <f t="shared" si="141"/>
        <v>6.579711042921201E-12</v>
      </c>
      <c r="Q157" s="20">
        <f t="shared" si="162"/>
        <v>1.2386324814023317E-11</v>
      </c>
      <c r="R157" s="59">
        <f t="shared" si="109"/>
        <v>293.33333333334571</v>
      </c>
      <c r="S157" s="59">
        <f ca="1">AVERAGE(OFFSET($R$3,0,0,'Données projet'!$E$9+1,1))-AVERAGE(OFFSET($H$3,0,0,'Données projet'!$E$9+1,1))</f>
        <v>164.93438869099657</v>
      </c>
      <c r="T157" s="59">
        <f t="shared" si="142"/>
        <v>112.28641356594233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92.445169718355331</v>
      </c>
      <c r="AA157" s="21">
        <f>EXP(-LN(2)/25)*AA156+(1-EXP(-LN(2)/25))/(LN(2)/25)*Calculateur!V157*Calculateur!X157*VLOOKUP('Données projet'!$B$9,Paramètres!$A$1:$I$89,3,0)*0.475*44/12</f>
        <v>18.399462932770611</v>
      </c>
      <c r="AB157" s="21">
        <f>EXP(-LN(2)/2)*AB156+(1-EXP(-LN(2)/2))/(LN(2)/2)*V157*Y157*VLOOKUP('Données projet'!$B$9,Paramètres!$A$1:$I$89,3,0)*0.475*44/12</f>
        <v>6.4268558384491551E-3</v>
      </c>
      <c r="AC157" s="22">
        <f t="shared" si="163"/>
        <v>110.8510595069644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273.81843612193632</v>
      </c>
      <c r="AO157" s="59">
        <f t="shared" si="144"/>
        <v>241.86405419073208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-6.3550942286383367E-14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271.42245454555501</v>
      </c>
      <c r="BJ157" s="59">
        <f t="shared" si="146"/>
        <v>362.63944425429077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31.906888037481625</v>
      </c>
      <c r="BQ157" s="21">
        <f>EXP(-LN(2)/25)*BQ156+(1-EXP(-LN(2)/25))/(LN(2)/25)*Calculateur!BL157*Calculateur!BN157*VLOOKUP('Données projet'!$B$11,Paramètres!$A$1:$I$89,3,0)*0.475*44/12</f>
        <v>3.7017032955458151</v>
      </c>
      <c r="BR157" s="21">
        <f>EXP(-LN(2)/2)*BR156+(1-EXP(-LN(2)/2))/(LN(2)/2)*BL157*BO157*VLOOKUP('Données projet'!$B$11,Paramètres!$A$1:$I$89,3,0)*0.475*44/12</f>
        <v>4.2909124636528675E-14</v>
      </c>
      <c r="BS157" s="22">
        <f t="shared" si="169"/>
        <v>35.608591333027483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-3.1036506698001178E-14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154.35821558431712</v>
      </c>
      <c r="CE157" s="59">
        <f t="shared" si="148"/>
        <v>263.86720460501306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7.0537223814703829</v>
      </c>
      <c r="CL157" s="21">
        <f>EXP(-LN(2)/25)*CL156+(1-EXP(-LN(2)/25))/(LN(2)/25)*Calculateur!CG157*Calculateur!CI157*VLOOKUP('Données projet'!$B$12,Paramètres!$A$1:$I$89,3,0)*0.475*44/12</f>
        <v>6.3558649947087131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13.409587376179097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213</v>
      </c>
      <c r="CU157" s="17">
        <f>CT157*VLOOKUP('Données projet'!$B$13,Paramètres!$A$1:$I$89,3,0)*VLOOKUP('Données projet'!$B$13,Paramètres!$A$1:$I$89,5,0)</f>
        <v>169.46279999999999</v>
      </c>
      <c r="CV157" s="13">
        <f t="shared" si="173"/>
        <v>42.969686502194378</v>
      </c>
      <c r="CW157" s="20">
        <f t="shared" si="174"/>
        <v>369.9865806579885</v>
      </c>
      <c r="CX157" s="59">
        <f t="shared" si="122"/>
        <v>663.31991399132176</v>
      </c>
      <c r="CY157" s="59">
        <f ca="1">AVERAGE(OFFSET($CX$3,0,0,'Données projet'!$E$13+1,1))-AVERAGE(OFFSET($H$3,0,0,'Données projet'!$E$13+1,1))</f>
        <v>157.25319335691853</v>
      </c>
      <c r="CZ157" s="59">
        <f t="shared" si="150"/>
        <v>159.50903492442171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2.6052060972423488</v>
      </c>
      <c r="DG157" s="21">
        <f>EXP(-LN(2)/25)*DG156+(1-EXP(-LN(2)/25))/(LN(2)/25)*Calculateur!DB157*Calculateur!DD157*VLOOKUP('Données projet'!$B$13,Paramètres!$A$1:$I$89,3,0)*0.475*44/12</f>
        <v>1.122935216291814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3.728141313534163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227.99999999999994</v>
      </c>
      <c r="DP157" s="17">
        <f>DO157*VLOOKUP('Données projet'!$B$14,Paramètres!$A$1:$I$89,3,0)*VLOOKUP('Données projet'!$B$14,Paramètres!$A$1:$I$89,5,0)</f>
        <v>199.18079999999998</v>
      </c>
      <c r="DQ157" s="13">
        <f t="shared" si="176"/>
        <v>49.564089376413683</v>
      </c>
      <c r="DR157" s="20">
        <f t="shared" si="177"/>
        <v>433.23068233058711</v>
      </c>
      <c r="DS157" s="59">
        <f t="shared" si="125"/>
        <v>726.56401566392037</v>
      </c>
      <c r="DT157" s="59">
        <f ca="1">AVERAGE(OFFSET($DS$3,0,0,'Données projet'!$E$14+1,1))-AVERAGE(OFFSET($H$3,0,0,'Données projet'!$E$14+1,1))</f>
        <v>229.5312221178919</v>
      </c>
      <c r="DU157" s="59">
        <f t="shared" si="152"/>
        <v>218.1982095871906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6.5629957103433165</v>
      </c>
      <c r="EB157" s="21">
        <f>EXP(-LN(2)/25)*EB156+(1-EXP(-LN(2)/25))/(LN(2)/25)*Calculateur!DW157*Calculateur!DY157*VLOOKUP('Données projet'!$B$14,Paramètres!$A$1:$I$89,3,0)*0.475*44/12</f>
        <v>3.2541629577912112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9.8171586681345282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1.8717948717948829</v>
      </c>
      <c r="EJ157" s="12">
        <f>IF('Données projet'!$A$192&gt;35,EJ156+EI157-ER156,IF(A157&lt;'Données projet'!$A$192,$EG$205^A157,IF(A157='Données projet'!$A$192,'Données projet'!$B$192,EJ156+EI157-ER156)))</f>
        <v>126.81410256410203</v>
      </c>
      <c r="EK157" s="17">
        <f>EJ157*VLOOKUP('Données projet'!$B$15,Paramètres!$A$1:$I$89,3,0)*VLOOKUP('Données projet'!$B$15,Paramètres!$A$1:$I$89,5,0)</f>
        <v>114.74139999999952</v>
      </c>
      <c r="EL157" s="13">
        <f t="shared" si="179"/>
        <v>30.445336927793726</v>
      </c>
      <c r="EM157" s="20">
        <f t="shared" si="180"/>
        <v>252.86690014923991</v>
      </c>
      <c r="EN157" s="59">
        <f t="shared" si="128"/>
        <v>546.20023348257325</v>
      </c>
      <c r="EO157" s="59">
        <f ca="1">AVERAGE(OFFSET($EN$3,0,0,'Données projet'!$E$15+1,1))-AVERAGE(OFFSET($H$3,0,0,'Données projet'!$E$15+1,1))</f>
        <v>204.39656982394689</v>
      </c>
      <c r="EP157" s="59">
        <f t="shared" si="154"/>
        <v>134.95704640904546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103.87279701999493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103.87279701999493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3.4106051316484809E-13</v>
      </c>
      <c r="FF157" s="17">
        <f>FE157*VLOOKUP('Données projet'!$B$16,Paramètres!$A$1:$I$89,3,0)*VLOOKUP('Données projet'!$B$16,Paramètres!$A$1:$I$89,5,0)</f>
        <v>2.9262992029543969E-13</v>
      </c>
      <c r="FG157" s="13">
        <f t="shared" si="182"/>
        <v>3.8796387982050903E-12</v>
      </c>
      <c r="FH157" s="20">
        <f t="shared" si="183"/>
        <v>7.2667013513884219E-12</v>
      </c>
      <c r="FI157" s="59">
        <f t="shared" si="131"/>
        <v>293.33333333334059</v>
      </c>
      <c r="FJ157" s="59">
        <f ca="1">AVERAGE(OFFSET($FI$3,0,0,'Données projet'!$E$16+1,1))-AVERAGE(OFFSET($H$3,0,0,'Données projet'!$E$16+1,1))</f>
        <v>199.60585215726968</v>
      </c>
      <c r="FK157" s="59">
        <f t="shared" si="156"/>
        <v>137.37366750114404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78.941733022180543</v>
      </c>
      <c r="FR157" s="21">
        <f>EXP(-LN(2)/25)*FR156+(1-EXP(-LN(2)/25))/(LN(2)/25)*Calculateur!FM157*Calculateur!FO157*VLOOKUP('Données projet'!$B$16,Paramètres!$A$1:$I$89,3,0)*0.475*44/12</f>
        <v>45.860174981165798</v>
      </c>
      <c r="FS157" s="21">
        <f>EXP(-LN(2)/2)*FS156+(1-EXP(-LN(2)/2))/(LN(2)/2)*FM157*FP157*VLOOKUP('Données projet'!$B$16,Paramètres!$A$1:$I$89,3,0)*0.475*44/12</f>
        <v>0.11034855782506373</v>
      </c>
      <c r="FT157" s="22">
        <f t="shared" si="184"/>
        <v>124.9122565611714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1.1368683772161603E-12</v>
      </c>
      <c r="O158" s="13">
        <f>N158*VLOOKUP('Données projet'!$B$9,Paramètres!$A$1:$I$89,3,0)*VLOOKUP('Données projet'!$B$9,Paramètres!$A$1:$I$89,5,0)</f>
        <v>5.3205440053716299E-13</v>
      </c>
      <c r="P158" s="13">
        <f t="shared" si="141"/>
        <v>6.579711042921201E-12</v>
      </c>
      <c r="Q158" s="20">
        <f t="shared" si="162"/>
        <v>1.2386324814023317E-11</v>
      </c>
      <c r="R158" s="59">
        <f t="shared" si="109"/>
        <v>293.33333333334571</v>
      </c>
      <c r="S158" s="59">
        <f ca="1">AVERAGE(OFFSET($R$3,0,0,'Données projet'!$E$9+1,1))-AVERAGE(OFFSET($H$3,0,0,'Données projet'!$E$9+1,1))</f>
        <v>164.93438869099657</v>
      </c>
      <c r="T158" s="59">
        <f t="shared" si="142"/>
        <v>112.28641356594233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90.632376326164263</v>
      </c>
      <c r="AA158" s="21">
        <f>EXP(-LN(2)/25)*AA157+(1-EXP(-LN(2)/25))/(LN(2)/25)*Calculateur!V158*Calculateur!X158*VLOOKUP('Données projet'!$B$9,Paramètres!$A$1:$I$89,3,0)*0.475*44/12</f>
        <v>17.896328651288297</v>
      </c>
      <c r="AB158" s="21">
        <f>EXP(-LN(2)/2)*AB157+(1-EXP(-LN(2)/2))/(LN(2)/2)*V158*Y158*VLOOKUP('Données projet'!$B$9,Paramètres!$A$1:$I$89,3,0)*0.475*44/12</f>
        <v>4.5444733450757521E-3</v>
      </c>
      <c r="AC158" s="22">
        <f t="shared" si="163"/>
        <v>108.53324945079764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273.81843612193632</v>
      </c>
      <c r="AO158" s="59">
        <f t="shared" si="144"/>
        <v>241.86405419073208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-6.3550942286383367E-14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271.42245454555501</v>
      </c>
      <c r="BJ158" s="59">
        <f t="shared" si="146"/>
        <v>362.63944425429077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31.281213424346671</v>
      </c>
      <c r="BQ158" s="21">
        <f>EXP(-LN(2)/25)*BQ157+(1-EXP(-LN(2)/25))/(LN(2)/25)*Calculateur!BL158*Calculateur!BN158*VLOOKUP('Données projet'!$B$11,Paramètres!$A$1:$I$89,3,0)*0.475*44/12</f>
        <v>3.600480024264999</v>
      </c>
      <c r="BR158" s="21">
        <f>EXP(-LN(2)/2)*BR157+(1-EXP(-LN(2)/2))/(LN(2)/2)*BL158*BO158*VLOOKUP('Données projet'!$B$11,Paramètres!$A$1:$I$89,3,0)*0.475*44/12</f>
        <v>3.0341333005268177E-14</v>
      </c>
      <c r="BS158" s="22">
        <f t="shared" si="169"/>
        <v>34.881693448611699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-3.1036506698001178E-14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154.35821558431712</v>
      </c>
      <c r="CE158" s="59">
        <f t="shared" si="148"/>
        <v>263.86720460501306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6.9154031879155804</v>
      </c>
      <c r="CL158" s="21">
        <f>EXP(-LN(2)/25)*CL157+(1-EXP(-LN(2)/25))/(LN(2)/25)*Calculateur!CG158*Calculateur!CI158*VLOOKUP('Données projet'!$B$12,Paramètres!$A$1:$I$89,3,0)*0.475*44/12</f>
        <v>6.18206353218799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13.09746672010357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213</v>
      </c>
      <c r="CU158" s="17">
        <f>CT158*VLOOKUP('Données projet'!$B$13,Paramètres!$A$1:$I$89,3,0)*VLOOKUP('Données projet'!$B$13,Paramètres!$A$1:$I$89,5,0)</f>
        <v>169.46279999999999</v>
      </c>
      <c r="CV158" s="13">
        <f t="shared" si="173"/>
        <v>42.969686502194378</v>
      </c>
      <c r="CW158" s="20">
        <f t="shared" si="174"/>
        <v>369.9865806579885</v>
      </c>
      <c r="CX158" s="59">
        <f t="shared" si="122"/>
        <v>663.31991399132176</v>
      </c>
      <c r="CY158" s="59">
        <f ca="1">AVERAGE(OFFSET($CX$3,0,0,'Données projet'!$E$13+1,1))-AVERAGE(OFFSET($H$3,0,0,'Données projet'!$E$13+1,1))</f>
        <v>157.25319335691853</v>
      </c>
      <c r="CZ158" s="59">
        <f t="shared" si="150"/>
        <v>159.50903492442171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2.5541195946942432</v>
      </c>
      <c r="DG158" s="21">
        <f>EXP(-LN(2)/25)*DG157+(1-EXP(-LN(2)/25))/(LN(2)/25)*Calculateur!DB158*Calculateur!DD158*VLOOKUP('Données projet'!$B$13,Paramètres!$A$1:$I$89,3,0)*0.475*44/12</f>
        <v>1.0922284937497178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3.6463480884439612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227.99999999999994</v>
      </c>
      <c r="DP158" s="17">
        <f>DO158*VLOOKUP('Données projet'!$B$14,Paramètres!$A$1:$I$89,3,0)*VLOOKUP('Données projet'!$B$14,Paramètres!$A$1:$I$89,5,0)</f>
        <v>199.18079999999998</v>
      </c>
      <c r="DQ158" s="13">
        <f t="shared" si="176"/>
        <v>49.564089376413683</v>
      </c>
      <c r="DR158" s="20">
        <f t="shared" si="177"/>
        <v>433.23068233058711</v>
      </c>
      <c r="DS158" s="59">
        <f t="shared" si="125"/>
        <v>726.56401566392037</v>
      </c>
      <c r="DT158" s="59">
        <f ca="1">AVERAGE(OFFSET($DS$3,0,0,'Données projet'!$E$14+1,1))-AVERAGE(OFFSET($H$3,0,0,'Données projet'!$E$14+1,1))</f>
        <v>229.5312221178919</v>
      </c>
      <c r="DU158" s="59">
        <f t="shared" si="152"/>
        <v>218.1982095871906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6.4342993674956004</v>
      </c>
      <c r="EB158" s="21">
        <f>EXP(-LN(2)/25)*EB157+(1-EXP(-LN(2)/25))/(LN(2)/25)*Calculateur!DW158*Calculateur!DY158*VLOOKUP('Données projet'!$B$14,Paramètres!$A$1:$I$89,3,0)*0.475*44/12</f>
        <v>3.1651777005814181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9.5994770680770181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1.8717948717948829</v>
      </c>
      <c r="EJ158" s="12">
        <f>IF('Données projet'!$A$192&gt;35,EJ157+EI158-ER157,IF(A158&lt;'Données projet'!$A$192,$EG$205^A158,IF(A158='Données projet'!$A$192,'Données projet'!$B$192,EJ157+EI158-ER157)))</f>
        <v>128.68589743589692</v>
      </c>
      <c r="EK158" s="17">
        <f>EJ158*VLOOKUP('Données projet'!$B$15,Paramètres!$A$1:$I$89,3,0)*VLOOKUP('Données projet'!$B$15,Paramètres!$A$1:$I$89,5,0)</f>
        <v>116.43499999999953</v>
      </c>
      <c r="EL158" s="13">
        <f t="shared" si="179"/>
        <v>30.842067793939304</v>
      </c>
      <c r="EM158" s="20">
        <f t="shared" si="180"/>
        <v>256.50755974111013</v>
      </c>
      <c r="EN158" s="59">
        <f t="shared" si="128"/>
        <v>549.84089307444344</v>
      </c>
      <c r="EO158" s="59">
        <f ca="1">AVERAGE(OFFSET($EN$3,0,0,'Données projet'!$E$15+1,1))-AVERAGE(OFFSET($H$3,0,0,'Données projet'!$E$15+1,1))</f>
        <v>204.39656982394689</v>
      </c>
      <c r="EP158" s="59">
        <f t="shared" si="154"/>
        <v>134.95704640904546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101.83591482658312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101.83591482658312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3.4106051316484809E-13</v>
      </c>
      <c r="FF158" s="17">
        <f>FE158*VLOOKUP('Données projet'!$B$16,Paramètres!$A$1:$I$89,3,0)*VLOOKUP('Données projet'!$B$16,Paramètres!$A$1:$I$89,5,0)</f>
        <v>2.9262992029543969E-13</v>
      </c>
      <c r="FG158" s="13">
        <f t="shared" si="182"/>
        <v>3.8796387982050903E-12</v>
      </c>
      <c r="FH158" s="20">
        <f t="shared" si="183"/>
        <v>7.2667013513884219E-12</v>
      </c>
      <c r="FI158" s="59">
        <f t="shared" si="131"/>
        <v>293.33333333334059</v>
      </c>
      <c r="FJ158" s="59">
        <f ca="1">AVERAGE(OFFSET($FI$3,0,0,'Données projet'!$E$16+1,1))-AVERAGE(OFFSET($H$3,0,0,'Données projet'!$E$16+1,1))</f>
        <v>199.60585215726968</v>
      </c>
      <c r="FK158" s="59">
        <f t="shared" si="156"/>
        <v>137.37366750114404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77.39373378731834</v>
      </c>
      <c r="FR158" s="21">
        <f>EXP(-LN(2)/25)*FR157+(1-EXP(-LN(2)/25))/(LN(2)/25)*Calculateur!FM158*Calculateur!FO158*VLOOKUP('Données projet'!$B$16,Paramètres!$A$1:$I$89,3,0)*0.475*44/12</f>
        <v>44.60612608462403</v>
      </c>
      <c r="FS158" s="21">
        <f>EXP(-LN(2)/2)*FS157+(1-EXP(-LN(2)/2))/(LN(2)/2)*FM158*FP158*VLOOKUP('Données projet'!$B$16,Paramètres!$A$1:$I$89,3,0)*0.475*44/12</f>
        <v>7.8028213532258431E-2</v>
      </c>
      <c r="FT158" s="22">
        <f t="shared" si="184"/>
        <v>122.07788808547463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1.1368683772161603E-12</v>
      </c>
      <c r="O159" s="13">
        <f>N159*VLOOKUP('Données projet'!$B$9,Paramètres!$A$1:$I$89,3,0)*VLOOKUP('Données projet'!$B$9,Paramètres!$A$1:$I$89,5,0)</f>
        <v>5.3205440053716299E-13</v>
      </c>
      <c r="P159" s="13">
        <f t="shared" si="141"/>
        <v>6.579711042921201E-12</v>
      </c>
      <c r="Q159" s="20">
        <f t="shared" si="162"/>
        <v>1.2386324814023317E-11</v>
      </c>
      <c r="R159" s="59">
        <f t="shared" si="109"/>
        <v>293.33333333334571</v>
      </c>
      <c r="S159" s="59">
        <f ca="1">AVERAGE(OFFSET($R$3,0,0,'Données projet'!$E$9+1,1))-AVERAGE(OFFSET($H$3,0,0,'Données projet'!$E$9+1,1))</f>
        <v>164.93438869099657</v>
      </c>
      <c r="T159" s="59">
        <f t="shared" si="142"/>
        <v>112.28641356594233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88.855130706699271</v>
      </c>
      <c r="AA159" s="21">
        <f>EXP(-LN(2)/25)*AA158+(1-EXP(-LN(2)/25))/(LN(2)/25)*Calculateur!V159*Calculateur!X159*VLOOKUP('Données projet'!$B$9,Paramètres!$A$1:$I$89,3,0)*0.475*44/12</f>
        <v>17.406952603191797</v>
      </c>
      <c r="AB159" s="21">
        <f>EXP(-LN(2)/2)*AB158+(1-EXP(-LN(2)/2))/(LN(2)/2)*V159*Y159*VLOOKUP('Données projet'!$B$9,Paramètres!$A$1:$I$89,3,0)*0.475*44/12</f>
        <v>3.2134279192245776E-3</v>
      </c>
      <c r="AC159" s="22">
        <f t="shared" si="163"/>
        <v>106.26529673781029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273.81843612193632</v>
      </c>
      <c r="AO159" s="59">
        <f t="shared" si="144"/>
        <v>241.86405419073208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-6.3550942286383367E-14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271.42245454555501</v>
      </c>
      <c r="BJ159" s="59">
        <f t="shared" si="146"/>
        <v>362.63944425429077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30.667807908751463</v>
      </c>
      <c r="BQ159" s="21">
        <f>EXP(-LN(2)/25)*BQ158+(1-EXP(-LN(2)/25))/(LN(2)/25)*Calculateur!BL159*Calculateur!BN159*VLOOKUP('Données projet'!$B$11,Paramètres!$A$1:$I$89,3,0)*0.475*44/12</f>
        <v>3.502024708660457</v>
      </c>
      <c r="BR159" s="21">
        <f>EXP(-LN(2)/2)*BR158+(1-EXP(-LN(2)/2))/(LN(2)/2)*BL159*BO159*VLOOKUP('Données projet'!$B$11,Paramètres!$A$1:$I$89,3,0)*0.475*44/12</f>
        <v>2.1454562318264337E-14</v>
      </c>
      <c r="BS159" s="22">
        <f t="shared" si="169"/>
        <v>34.169832617411942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-3.1036506698001178E-14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154.35821558431712</v>
      </c>
      <c r="CE159" s="59">
        <f t="shared" si="148"/>
        <v>263.86720460501306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6.7797963493800095</v>
      </c>
      <c r="CL159" s="21">
        <f>EXP(-LN(2)/25)*CL158+(1-EXP(-LN(2)/25))/(LN(2)/25)*Calculateur!CG159*Calculateur!CI159*VLOOKUP('Données projet'!$B$12,Paramètres!$A$1:$I$89,3,0)*0.475*44/12</f>
        <v>6.0130146797997179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12.792811029179727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213</v>
      </c>
      <c r="CU159" s="17">
        <f>CT159*VLOOKUP('Données projet'!$B$13,Paramètres!$A$1:$I$89,3,0)*VLOOKUP('Données projet'!$B$13,Paramètres!$A$1:$I$89,5,0)</f>
        <v>169.46279999999999</v>
      </c>
      <c r="CV159" s="13">
        <f t="shared" si="173"/>
        <v>42.969686502194378</v>
      </c>
      <c r="CW159" s="20">
        <f t="shared" si="174"/>
        <v>369.9865806579885</v>
      </c>
      <c r="CX159" s="59">
        <f t="shared" si="122"/>
        <v>663.31991399132176</v>
      </c>
      <c r="CY159" s="59">
        <f ca="1">AVERAGE(OFFSET($CX$3,0,0,'Données projet'!$E$13+1,1))-AVERAGE(OFFSET($H$3,0,0,'Données projet'!$E$13+1,1))</f>
        <v>157.25319335691853</v>
      </c>
      <c r="CZ159" s="59">
        <f t="shared" si="150"/>
        <v>159.50903492442171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2.5040348673014159</v>
      </c>
      <c r="DG159" s="21">
        <f>EXP(-LN(2)/25)*DG158+(1-EXP(-LN(2)/25))/(LN(2)/25)*Calculateur!DB159*Calculateur!DD159*VLOOKUP('Données projet'!$B$13,Paramètres!$A$1:$I$89,3,0)*0.475*44/12</f>
        <v>1.0623614481503316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3.5663963154517475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227.99999999999994</v>
      </c>
      <c r="DP159" s="17">
        <f>DO159*VLOOKUP('Données projet'!$B$14,Paramètres!$A$1:$I$89,3,0)*VLOOKUP('Données projet'!$B$14,Paramètres!$A$1:$I$89,5,0)</f>
        <v>199.18079999999998</v>
      </c>
      <c r="DQ159" s="13">
        <f t="shared" si="176"/>
        <v>49.564089376413683</v>
      </c>
      <c r="DR159" s="20">
        <f t="shared" si="177"/>
        <v>433.23068233058711</v>
      </c>
      <c r="DS159" s="59">
        <f t="shared" si="125"/>
        <v>726.56401566392037</v>
      </c>
      <c r="DT159" s="59">
        <f ca="1">AVERAGE(OFFSET($DS$3,0,0,'Données projet'!$E$14+1,1))-AVERAGE(OFFSET($H$3,0,0,'Données projet'!$E$14+1,1))</f>
        <v>229.5312221178919</v>
      </c>
      <c r="DU159" s="59">
        <f t="shared" si="152"/>
        <v>218.1982095871906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6.3081266814341106</v>
      </c>
      <c r="EB159" s="21">
        <f>EXP(-LN(2)/25)*EB158+(1-EXP(-LN(2)/25))/(LN(2)/25)*Calculateur!DW159*Calculateur!DY159*VLOOKUP('Données projet'!$B$14,Paramètres!$A$1:$I$89,3,0)*0.475*44/12</f>
        <v>3.0786257499095582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9.3867524313436697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1.8717948717948829</v>
      </c>
      <c r="EJ159" s="12">
        <f>IF('Données projet'!$A$192&gt;35,EJ158+EI159-ER158,IF(A159&lt;'Données projet'!$A$192,$EG$205^A159,IF(A159='Données projet'!$A$192,'Données projet'!$B$192,EJ158+EI159-ER158)))</f>
        <v>130.55769230769181</v>
      </c>
      <c r="EK159" s="17">
        <f>EJ159*VLOOKUP('Données projet'!$B$15,Paramètres!$A$1:$I$89,3,0)*VLOOKUP('Données projet'!$B$15,Paramètres!$A$1:$I$89,5,0)</f>
        <v>118.12859999999955</v>
      </c>
      <c r="EL159" s="13">
        <f t="shared" si="179"/>
        <v>31.238127501943364</v>
      </c>
      <c r="EM159" s="20">
        <f t="shared" si="180"/>
        <v>260.14705039921722</v>
      </c>
      <c r="EN159" s="59">
        <f t="shared" si="128"/>
        <v>553.48038373255054</v>
      </c>
      <c r="EO159" s="59">
        <f ca="1">AVERAGE(OFFSET($EN$3,0,0,'Données projet'!$E$15+1,1))-AVERAGE(OFFSET($H$3,0,0,'Données projet'!$E$15+1,1))</f>
        <v>204.39656982394689</v>
      </c>
      <c r="EP159" s="59">
        <f t="shared" si="154"/>
        <v>134.95704640904546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99.838974650608648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99.838974650608648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3.4106051316484809E-13</v>
      </c>
      <c r="FF159" s="17">
        <f>FE159*VLOOKUP('Données projet'!$B$16,Paramètres!$A$1:$I$89,3,0)*VLOOKUP('Données projet'!$B$16,Paramètres!$A$1:$I$89,5,0)</f>
        <v>2.9262992029543969E-13</v>
      </c>
      <c r="FG159" s="13">
        <f t="shared" si="182"/>
        <v>3.8796387982050903E-12</v>
      </c>
      <c r="FH159" s="20">
        <f t="shared" si="183"/>
        <v>7.2667013513884219E-12</v>
      </c>
      <c r="FI159" s="59">
        <f t="shared" si="131"/>
        <v>293.33333333334059</v>
      </c>
      <c r="FJ159" s="59">
        <f ca="1">AVERAGE(OFFSET($FI$3,0,0,'Données projet'!$E$16+1,1))-AVERAGE(OFFSET($H$3,0,0,'Données projet'!$E$16+1,1))</f>
        <v>199.60585215726968</v>
      </c>
      <c r="FK159" s="59">
        <f t="shared" si="156"/>
        <v>137.37366750114404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75.876089873265485</v>
      </c>
      <c r="FR159" s="21">
        <f>EXP(-LN(2)/25)*FR158+(1-EXP(-LN(2)/25))/(LN(2)/25)*Calculateur!FM159*Calculateur!FO159*VLOOKUP('Données projet'!$B$16,Paramètres!$A$1:$I$89,3,0)*0.475*44/12</f>
        <v>43.386369221105767</v>
      </c>
      <c r="FS159" s="21">
        <f>EXP(-LN(2)/2)*FS158+(1-EXP(-LN(2)/2))/(LN(2)/2)*FM159*FP159*VLOOKUP('Données projet'!$B$16,Paramètres!$A$1:$I$89,3,0)*0.475*44/12</f>
        <v>5.517427891253187E-2</v>
      </c>
      <c r="FT159" s="22">
        <f t="shared" si="184"/>
        <v>119.31763337328378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1.1368683772161603E-12</v>
      </c>
      <c r="O160" s="13">
        <f>N160*VLOOKUP('Données projet'!$B$9,Paramètres!$A$1:$I$89,3,0)*VLOOKUP('Données projet'!$B$9,Paramètres!$A$1:$I$89,5,0)</f>
        <v>5.3205440053716299E-13</v>
      </c>
      <c r="P160" s="13">
        <f t="shared" si="141"/>
        <v>6.579711042921201E-12</v>
      </c>
      <c r="Q160" s="20">
        <f t="shared" si="162"/>
        <v>1.2386324814023317E-11</v>
      </c>
      <c r="R160" s="59">
        <f t="shared" si="109"/>
        <v>293.33333333334571</v>
      </c>
      <c r="S160" s="59">
        <f ca="1">AVERAGE(OFFSET($R$3,0,0,'Données projet'!$E$9+1,1))-AVERAGE(OFFSET($H$3,0,0,'Données projet'!$E$9+1,1))</f>
        <v>164.93438869099657</v>
      </c>
      <c r="T160" s="59">
        <f t="shared" si="142"/>
        <v>112.28641356594233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87.112735789819197</v>
      </c>
      <c r="AA160" s="21">
        <f>EXP(-LN(2)/25)*AA159+(1-EXP(-LN(2)/25))/(LN(2)/25)*Calculateur!V160*Calculateur!X160*VLOOKUP('Données projet'!$B$9,Paramètres!$A$1:$I$89,3,0)*0.475*44/12</f>
        <v>16.930958568865666</v>
      </c>
      <c r="AB160" s="21">
        <f>EXP(-LN(2)/2)*AB159+(1-EXP(-LN(2)/2))/(LN(2)/2)*V160*Y160*VLOOKUP('Données projet'!$B$9,Paramètres!$A$1:$I$89,3,0)*0.475*44/12</f>
        <v>2.272236672537876E-3</v>
      </c>
      <c r="AC160" s="22">
        <f t="shared" si="163"/>
        <v>104.0459665953574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273.81843612193632</v>
      </c>
      <c r="AO160" s="59">
        <f t="shared" si="144"/>
        <v>241.86405419073208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-6.3550942286383367E-14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271.42245454555501</v>
      </c>
      <c r="BJ160" s="59">
        <f t="shared" si="146"/>
        <v>362.63944425429077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30.066430901176656</v>
      </c>
      <c r="BQ160" s="21">
        <f>EXP(-LN(2)/25)*BQ159+(1-EXP(-LN(2)/25))/(LN(2)/25)*Calculateur!BL160*Calculateur!BN160*VLOOKUP('Données projet'!$B$11,Paramètres!$A$1:$I$89,3,0)*0.475*44/12</f>
        <v>3.4062616588386612</v>
      </c>
      <c r="BR160" s="21">
        <f>EXP(-LN(2)/2)*BR159+(1-EXP(-LN(2)/2))/(LN(2)/2)*BL160*BO160*VLOOKUP('Données projet'!$B$11,Paramètres!$A$1:$I$89,3,0)*0.475*44/12</f>
        <v>1.5170666502634088E-14</v>
      </c>
      <c r="BS160" s="22">
        <f t="shared" si="169"/>
        <v>33.472692560015332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-3.1036506698001178E-14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154.35821558431712</v>
      </c>
      <c r="CE160" s="59">
        <f t="shared" si="148"/>
        <v>263.86720460501306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6.6468486782361165</v>
      </c>
      <c r="CL160" s="21">
        <f>EXP(-LN(2)/25)*CL159+(1-EXP(-LN(2)/25))/(LN(2)/25)*Calculateur!CG160*Calculateur!CI160*VLOOKUP('Données projet'!$B$12,Paramètres!$A$1:$I$89,3,0)*0.475*44/12</f>
        <v>5.8485884771698959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12.495437155406012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213</v>
      </c>
      <c r="CU160" s="17">
        <f>CT160*VLOOKUP('Données projet'!$B$13,Paramètres!$A$1:$I$89,3,0)*VLOOKUP('Données projet'!$B$13,Paramètres!$A$1:$I$89,5,0)</f>
        <v>169.46279999999999</v>
      </c>
      <c r="CV160" s="13">
        <f t="shared" si="173"/>
        <v>42.969686502194378</v>
      </c>
      <c r="CW160" s="20">
        <f t="shared" si="174"/>
        <v>369.9865806579885</v>
      </c>
      <c r="CX160" s="59">
        <f t="shared" si="122"/>
        <v>663.31991399132176</v>
      </c>
      <c r="CY160" s="59">
        <f ca="1">AVERAGE(OFFSET($CX$3,0,0,'Données projet'!$E$13+1,1))-AVERAGE(OFFSET($H$3,0,0,'Données projet'!$E$13+1,1))</f>
        <v>157.25319335691853</v>
      </c>
      <c r="CZ160" s="59">
        <f t="shared" si="150"/>
        <v>159.50903492442171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2.4549322708640946</v>
      </c>
      <c r="DG160" s="21">
        <f>EXP(-LN(2)/25)*DG159+(1-EXP(-LN(2)/25))/(LN(2)/25)*Calculateur!DB160*Calculateur!DD160*VLOOKUP('Données projet'!$B$13,Paramètres!$A$1:$I$89,3,0)*0.475*44/12</f>
        <v>1.0333111184835002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3.4882433893475948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227.99999999999994</v>
      </c>
      <c r="DP160" s="17">
        <f>DO160*VLOOKUP('Données projet'!$B$14,Paramètres!$A$1:$I$89,3,0)*VLOOKUP('Données projet'!$B$14,Paramètres!$A$1:$I$89,5,0)</f>
        <v>199.18079999999998</v>
      </c>
      <c r="DQ160" s="13">
        <f t="shared" si="176"/>
        <v>49.564089376413683</v>
      </c>
      <c r="DR160" s="20">
        <f t="shared" si="177"/>
        <v>433.23068233058711</v>
      </c>
      <c r="DS160" s="59">
        <f t="shared" si="125"/>
        <v>726.56401566392037</v>
      </c>
      <c r="DT160" s="59">
        <f ca="1">AVERAGE(OFFSET($DS$3,0,0,'Données projet'!$E$14+1,1))-AVERAGE(OFFSET($H$3,0,0,'Données projet'!$E$14+1,1))</f>
        <v>229.5312221178919</v>
      </c>
      <c r="DU160" s="59">
        <f t="shared" si="152"/>
        <v>218.1982095871906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6.1844281647885468</v>
      </c>
      <c r="EB160" s="21">
        <f>EXP(-LN(2)/25)*EB159+(1-EXP(-LN(2)/25))/(LN(2)/25)*Calculateur!DW160*Calculateur!DY160*VLOOKUP('Données projet'!$B$14,Paramètres!$A$1:$I$89,3,0)*0.475*44/12</f>
        <v>2.9944405668803893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9.1788687316689366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>
        <f>VLOOKUP(A160,'Données projet'!$A$191:$I$211,2,0)</f>
        <v>132.42948717948718</v>
      </c>
      <c r="EH160" s="12">
        <f>VLOOKUP(A160,'Données projet'!$A$191:$I$211,9,0)</f>
        <v>1.8717948717948829</v>
      </c>
      <c r="EI160" s="12">
        <f t="array" ref="EI160">INDEX(EH:EH,MIN(IF(ISNUMBER(EH160:EH356),ROW(EH160:EH356),"")))</f>
        <v>1.8717948717948829</v>
      </c>
      <c r="EJ160" s="12">
        <f>IF('Données projet'!$A$192&gt;35,EJ159+EI160-ER159,IF(A160&lt;'Données projet'!$A$192,$EG$205^A160,IF(A160='Données projet'!$A$192,'Données projet'!$B$192,EJ159+EI160-ER159)))</f>
        <v>132.4294871794867</v>
      </c>
      <c r="EK160" s="17">
        <f>EJ160*VLOOKUP('Données projet'!$B$15,Paramètres!$A$1:$I$89,3,0)*VLOOKUP('Données projet'!$B$15,Paramètres!$A$1:$I$89,5,0)</f>
        <v>119.82219999999955</v>
      </c>
      <c r="EL160" s="13">
        <f t="shared" si="179"/>
        <v>31.633526785966875</v>
      </c>
      <c r="EM160" s="20">
        <f t="shared" si="180"/>
        <v>263.78539081889153</v>
      </c>
      <c r="EN160" s="59">
        <f t="shared" si="128"/>
        <v>557.11872415222479</v>
      </c>
      <c r="EO160" s="59">
        <f ca="1">AVERAGE(OFFSET($EN$3,0,0,'Données projet'!$E$15+1,1))-AVERAGE(OFFSET($H$3,0,0,'Données projet'!$E$15+1,1))</f>
        <v>204.39656982394689</v>
      </c>
      <c r="EP160" s="59">
        <f t="shared" si="154"/>
        <v>134.95704640904546</v>
      </c>
      <c r="EQ160" s="15">
        <f>IF(ISNA(VLOOKUP(A160,'Données projet'!$A$191:$I$211,3,0)),0,VLOOKUP(A160,'Données projet'!$A$191:$I$211,3,0))</f>
        <v>14</v>
      </c>
      <c r="ER160" s="15">
        <f>IF(ISNA(VLOOKUP(A160,'Données projet'!$A$191:$I$211,4,0)),0,VLOOKUP(A160,'Données projet'!$A$191:$I$211,4,0))</f>
        <v>45.71153846153846</v>
      </c>
      <c r="ES160" s="16">
        <f>IF(ISNA(VLOOKUP(A160,'Données projet'!$A$191:$I$211,5,0)),0%,VLOOKUP(A160,'Données projet'!$A$191:$I$211,5,0)*VLOOKUP('Données projet'!$B$15,Paramètres!$A$1:$I$89,7,0))</f>
        <v>0.38700000000000001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115.57562033539027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115.57562033539027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3.4106051316484809E-13</v>
      </c>
      <c r="FF160" s="17">
        <f>FE160*VLOOKUP('Données projet'!$B$16,Paramètres!$A$1:$I$89,3,0)*VLOOKUP('Données projet'!$B$16,Paramètres!$A$1:$I$89,5,0)</f>
        <v>2.9262992029543969E-13</v>
      </c>
      <c r="FG160" s="13">
        <f t="shared" si="182"/>
        <v>3.8796387982050903E-12</v>
      </c>
      <c r="FH160" s="20">
        <f t="shared" si="183"/>
        <v>7.2667013513884219E-12</v>
      </c>
      <c r="FI160" s="59">
        <f t="shared" si="131"/>
        <v>293.33333333334059</v>
      </c>
      <c r="FJ160" s="59">
        <f ca="1">AVERAGE(OFFSET($FI$3,0,0,'Données projet'!$E$16+1,1))-AVERAGE(OFFSET($H$3,0,0,'Données projet'!$E$16+1,1))</f>
        <v>199.60585215726968</v>
      </c>
      <c r="FK160" s="59">
        <f t="shared" si="156"/>
        <v>137.37366750114404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74.388206030695812</v>
      </c>
      <c r="FR160" s="21">
        <f>EXP(-LN(2)/25)*FR159+(1-EXP(-LN(2)/25))/(LN(2)/25)*Calculateur!FM160*Calculateur!FO160*VLOOKUP('Données projet'!$B$16,Paramètres!$A$1:$I$89,3,0)*0.475*44/12</f>
        <v>42.199966673164631</v>
      </c>
      <c r="FS160" s="21">
        <f>EXP(-LN(2)/2)*FS159+(1-EXP(-LN(2)/2))/(LN(2)/2)*FM160*FP160*VLOOKUP('Données projet'!$B$16,Paramètres!$A$1:$I$89,3,0)*0.475*44/12</f>
        <v>3.9014106766129215E-2</v>
      </c>
      <c r="FT160" s="22">
        <f t="shared" si="184"/>
        <v>116.62718681062657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1.1368683772161603E-12</v>
      </c>
      <c r="O161" s="13">
        <f>N161*VLOOKUP('Données projet'!$B$9,Paramètres!$A$1:$I$89,3,0)*VLOOKUP('Données projet'!$B$9,Paramètres!$A$1:$I$89,5,0)</f>
        <v>5.3205440053716299E-13</v>
      </c>
      <c r="P161" s="13">
        <f t="shared" si="141"/>
        <v>6.579711042921201E-12</v>
      </c>
      <c r="Q161" s="20">
        <f t="shared" si="162"/>
        <v>1.2386324814023317E-11</v>
      </c>
      <c r="R161" s="59">
        <f t="shared" si="109"/>
        <v>293.33333333334571</v>
      </c>
      <c r="S161" s="59">
        <f ca="1">AVERAGE(OFFSET($R$3,0,0,'Données projet'!$E$9+1,1))-AVERAGE(OFFSET($H$3,0,0,'Données projet'!$E$9+1,1))</f>
        <v>164.93438869099657</v>
      </c>
      <c r="T161" s="59">
        <f t="shared" si="142"/>
        <v>112.28641356594233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85.404508174503178</v>
      </c>
      <c r="AA161" s="21">
        <f>EXP(-LN(2)/25)*AA160+(1-EXP(-LN(2)/25))/(LN(2)/25)*Calculateur!V161*Calculateur!X161*VLOOKUP('Données projet'!$B$9,Paramètres!$A$1:$I$89,3,0)*0.475*44/12</f>
        <v>16.467980616439618</v>
      </c>
      <c r="AB161" s="21">
        <f>EXP(-LN(2)/2)*AB160+(1-EXP(-LN(2)/2))/(LN(2)/2)*V161*Y161*VLOOKUP('Données projet'!$B$9,Paramètres!$A$1:$I$89,3,0)*0.475*44/12</f>
        <v>1.6067139596122888E-3</v>
      </c>
      <c r="AC161" s="22">
        <f t="shared" si="163"/>
        <v>101.87409550490241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273.81843612193632</v>
      </c>
      <c r="AO161" s="59">
        <f t="shared" si="144"/>
        <v>241.86405419073208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-6.3550942286383367E-14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271.42245454555501</v>
      </c>
      <c r="BJ161" s="59">
        <f t="shared" si="146"/>
        <v>362.63944425429077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29.476846529916635</v>
      </c>
      <c r="BQ161" s="21">
        <f>EXP(-LN(2)/25)*BQ160+(1-EXP(-LN(2)/25))/(LN(2)/25)*Calculateur!BL161*Calculateur!BN161*VLOOKUP('Données projet'!$B$11,Paramètres!$A$1:$I$89,3,0)*0.475*44/12</f>
        <v>3.3131172546502023</v>
      </c>
      <c r="BR161" s="21">
        <f>EXP(-LN(2)/2)*BR160+(1-EXP(-LN(2)/2))/(LN(2)/2)*BL161*BO161*VLOOKUP('Données projet'!$B$11,Paramètres!$A$1:$I$89,3,0)*0.475*44/12</f>
        <v>1.0727281159132169E-14</v>
      </c>
      <c r="BS161" s="22">
        <f t="shared" si="169"/>
        <v>32.789963784566851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-3.1036506698001178E-14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154.35821558431712</v>
      </c>
      <c r="CE161" s="59">
        <f t="shared" si="148"/>
        <v>263.86720460501306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6.5165080298332834</v>
      </c>
      <c r="CL161" s="21">
        <f>EXP(-LN(2)/25)*CL160+(1-EXP(-LN(2)/25))/(LN(2)/25)*Calculateur!CG161*Calculateur!CI161*VLOOKUP('Données projet'!$B$12,Paramètres!$A$1:$I$89,3,0)*0.475*44/12</f>
        <v>5.6886585176977844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12.205166547531068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213</v>
      </c>
      <c r="CU161" s="17">
        <f>CT161*VLOOKUP('Données projet'!$B$13,Paramètres!$A$1:$I$89,3,0)*VLOOKUP('Données projet'!$B$13,Paramètres!$A$1:$I$89,5,0)</f>
        <v>169.46279999999999</v>
      </c>
      <c r="CV161" s="13">
        <f t="shared" si="173"/>
        <v>42.969686502194378</v>
      </c>
      <c r="CW161" s="20">
        <f t="shared" si="174"/>
        <v>369.9865806579885</v>
      </c>
      <c r="CX161" s="59">
        <f t="shared" si="122"/>
        <v>663.31991399132176</v>
      </c>
      <c r="CY161" s="59">
        <f ca="1">AVERAGE(OFFSET($CX$3,0,0,'Données projet'!$E$13+1,1))-AVERAGE(OFFSET($H$3,0,0,'Données projet'!$E$13+1,1))</f>
        <v>157.25319335691853</v>
      </c>
      <c r="CZ161" s="59">
        <f t="shared" si="150"/>
        <v>159.50903492442171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2.4067925463932829</v>
      </c>
      <c r="DG161" s="21">
        <f>EXP(-LN(2)/25)*DG160+(1-EXP(-LN(2)/25))/(LN(2)/25)*Calculateur!DB161*Calculateur!DD161*VLOOKUP('Données projet'!$B$13,Paramètres!$A$1:$I$89,3,0)*0.475*44/12</f>
        <v>1.0050551716090987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3.4118477180023818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227.99999999999994</v>
      </c>
      <c r="DP161" s="17">
        <f>DO161*VLOOKUP('Données projet'!$B$14,Paramètres!$A$1:$I$89,3,0)*VLOOKUP('Données projet'!$B$14,Paramètres!$A$1:$I$89,5,0)</f>
        <v>199.18079999999998</v>
      </c>
      <c r="DQ161" s="13">
        <f t="shared" si="176"/>
        <v>49.564089376413683</v>
      </c>
      <c r="DR161" s="20">
        <f t="shared" si="177"/>
        <v>433.23068233058711</v>
      </c>
      <c r="DS161" s="59">
        <f t="shared" si="125"/>
        <v>726.56401566392037</v>
      </c>
      <c r="DT161" s="59">
        <f ca="1">AVERAGE(OFFSET($DS$3,0,0,'Données projet'!$E$14+1,1))-AVERAGE(OFFSET($H$3,0,0,'Données projet'!$E$14+1,1))</f>
        <v>229.5312221178919</v>
      </c>
      <c r="DU161" s="59">
        <f t="shared" si="152"/>
        <v>218.1982095871906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6.0631553006057572</v>
      </c>
      <c r="EB161" s="21">
        <f>EXP(-LN(2)/25)*EB160+(1-EXP(-LN(2)/25))/(LN(2)/25)*Calculateur!DW161*Calculateur!DY161*VLOOKUP('Données projet'!$B$14,Paramètres!$A$1:$I$89,3,0)*0.475*44/12</f>
        <v>2.9125574321082595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8.9757127327140172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1.1618589743589709</v>
      </c>
      <c r="EJ161" s="12">
        <f>IF('Données projet'!$A$192&gt;35,EJ160+EI161-ER160,IF(A161&lt;'Données projet'!$A$192,$EG$205^A161,IF(A161='Données projet'!$A$192,'Données projet'!$B$192,EJ160+EI161-ER160)))</f>
        <v>87.879807692307224</v>
      </c>
      <c r="EK161" s="17">
        <f>EJ161*VLOOKUP('Données projet'!$B$15,Paramètres!$A$1:$I$89,3,0)*VLOOKUP('Données projet'!$B$15,Paramètres!$A$1:$I$89,5,0)</f>
        <v>79.513649999999572</v>
      </c>
      <c r="EL161" s="13">
        <f t="shared" si="179"/>
        <v>22.018226855281608</v>
      </c>
      <c r="EM161" s="20">
        <f t="shared" si="180"/>
        <v>176.83468552294804</v>
      </c>
      <c r="EN161" s="59">
        <f t="shared" si="128"/>
        <v>470.16801885628138</v>
      </c>
      <c r="EO161" s="59">
        <f ca="1">AVERAGE(OFFSET($EN$3,0,0,'Données projet'!$E$15+1,1))-AVERAGE(OFFSET($H$3,0,0,'Données projet'!$E$15+1,1))</f>
        <v>204.39656982394689</v>
      </c>
      <c r="EP161" s="59">
        <f t="shared" si="154"/>
        <v>134.95704640904546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113.30925291478096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113.30925291478096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3.4106051316484809E-13</v>
      </c>
      <c r="FF161" s="17">
        <f>FE161*VLOOKUP('Données projet'!$B$16,Paramètres!$A$1:$I$89,3,0)*VLOOKUP('Données projet'!$B$16,Paramètres!$A$1:$I$89,5,0)</f>
        <v>2.9262992029543969E-13</v>
      </c>
      <c r="FG161" s="13">
        <f t="shared" si="182"/>
        <v>3.8796387982050903E-12</v>
      </c>
      <c r="FH161" s="20">
        <f t="shared" si="183"/>
        <v>7.2667013513884219E-12</v>
      </c>
      <c r="FI161" s="59">
        <f t="shared" si="131"/>
        <v>293.33333333334059</v>
      </c>
      <c r="FJ161" s="59">
        <f ca="1">AVERAGE(OFFSET($FI$3,0,0,'Données projet'!$E$16+1,1))-AVERAGE(OFFSET($H$3,0,0,'Données projet'!$E$16+1,1))</f>
        <v>199.60585215726968</v>
      </c>
      <c r="FK161" s="59">
        <f t="shared" si="156"/>
        <v>137.37366750114404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72.929498682759402</v>
      </c>
      <c r="FR161" s="21">
        <f>EXP(-LN(2)/25)*FR160+(1-EXP(-LN(2)/25))/(LN(2)/25)*Calculateur!FM161*Calculateur!FO161*VLOOKUP('Données projet'!$B$16,Paramètres!$A$1:$I$89,3,0)*0.475*44/12</f>
        <v>41.046006365287148</v>
      </c>
      <c r="FS161" s="21">
        <f>EXP(-LN(2)/2)*FS160+(1-EXP(-LN(2)/2))/(LN(2)/2)*FM161*FP161*VLOOKUP('Données projet'!$B$16,Paramètres!$A$1:$I$89,3,0)*0.475*44/12</f>
        <v>2.7587139456265935E-2</v>
      </c>
      <c r="FT161" s="22">
        <f t="shared" si="184"/>
        <v>114.00309218750283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1.1368683772161603E-12</v>
      </c>
      <c r="O162" s="13">
        <f>N162*VLOOKUP('Données projet'!$B$9,Paramètres!$A$1:$I$89,3,0)*VLOOKUP('Données projet'!$B$9,Paramètres!$A$1:$I$89,5,0)</f>
        <v>5.3205440053716299E-13</v>
      </c>
      <c r="P162" s="13">
        <f t="shared" si="141"/>
        <v>6.579711042921201E-12</v>
      </c>
      <c r="Q162" s="20">
        <f t="shared" si="162"/>
        <v>1.2386324814023317E-11</v>
      </c>
      <c r="R162" s="59">
        <f t="shared" si="109"/>
        <v>293.33333333334571</v>
      </c>
      <c r="S162" s="59">
        <f ca="1">AVERAGE(OFFSET($R$3,0,0,'Données projet'!$E$9+1,1))-AVERAGE(OFFSET($H$3,0,0,'Données projet'!$E$9+1,1))</f>
        <v>164.93438869099657</v>
      </c>
      <c r="T162" s="59">
        <f t="shared" si="142"/>
        <v>112.28641356594233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83.729777860807545</v>
      </c>
      <c r="AA162" s="21">
        <f>EXP(-LN(2)/25)*AA161+(1-EXP(-LN(2)/25))/(LN(2)/25)*Calculateur!V162*Calculateur!X162*VLOOKUP('Données projet'!$B$9,Paramètres!$A$1:$I$89,3,0)*0.475*44/12</f>
        <v>16.017662820469614</v>
      </c>
      <c r="AB162" s="21">
        <f>EXP(-LN(2)/2)*AB161+(1-EXP(-LN(2)/2))/(LN(2)/2)*V162*Y162*VLOOKUP('Données projet'!$B$9,Paramètres!$A$1:$I$89,3,0)*0.475*44/12</f>
        <v>1.136118336268938E-3</v>
      </c>
      <c r="AC162" s="22">
        <f t="shared" si="163"/>
        <v>99.748576799613417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273.81843612193632</v>
      </c>
      <c r="AO162" s="59">
        <f t="shared" si="144"/>
        <v>241.86405419073208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-6.3550942286383367E-14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271.42245454555501</v>
      </c>
      <c r="BJ162" s="59">
        <f t="shared" si="146"/>
        <v>362.63944425429077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28.898823548566064</v>
      </c>
      <c r="BQ162" s="21">
        <f>EXP(-LN(2)/25)*BQ161+(1-EXP(-LN(2)/25))/(LN(2)/25)*Calculateur!BL162*Calculateur!BN162*VLOOKUP('Données projet'!$B$11,Paramètres!$A$1:$I$89,3,0)*0.475*44/12</f>
        <v>3.2225198890925282</v>
      </c>
      <c r="BR162" s="21">
        <f>EXP(-LN(2)/2)*BR161+(1-EXP(-LN(2)/2))/(LN(2)/2)*BL162*BO162*VLOOKUP('Données projet'!$B$11,Paramètres!$A$1:$I$89,3,0)*0.475*44/12</f>
        <v>7.5853332513170442E-15</v>
      </c>
      <c r="BS162" s="22">
        <f t="shared" si="169"/>
        <v>32.121343437658602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-3.1036506698001178E-14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154.35821558431712</v>
      </c>
      <c r="CE162" s="59">
        <f t="shared" si="148"/>
        <v>263.86720460501306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6.3887232820456843</v>
      </c>
      <c r="CL162" s="21">
        <f>EXP(-LN(2)/25)*CL161+(1-EXP(-LN(2)/25))/(LN(2)/25)*Calculateur!CG162*Calculateur!CI162*VLOOKUP('Données projet'!$B$12,Paramètres!$A$1:$I$89,3,0)*0.475*44/12</f>
        <v>5.533101851377789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11.921825133423473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213</v>
      </c>
      <c r="CU162" s="17">
        <f>CT162*VLOOKUP('Données projet'!$B$13,Paramètres!$A$1:$I$89,3,0)*VLOOKUP('Données projet'!$B$13,Paramètres!$A$1:$I$89,5,0)</f>
        <v>169.46279999999999</v>
      </c>
      <c r="CV162" s="13">
        <f t="shared" si="173"/>
        <v>42.969686502194378</v>
      </c>
      <c r="CW162" s="20">
        <f t="shared" si="174"/>
        <v>369.9865806579885</v>
      </c>
      <c r="CX162" s="59">
        <f t="shared" si="122"/>
        <v>663.31991399132176</v>
      </c>
      <c r="CY162" s="59">
        <f ca="1">AVERAGE(OFFSET($CX$3,0,0,'Données projet'!$E$13+1,1))-AVERAGE(OFFSET($H$3,0,0,'Données projet'!$E$13+1,1))</f>
        <v>157.25319335691853</v>
      </c>
      <c r="CZ162" s="59">
        <f t="shared" si="150"/>
        <v>159.50903492442171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2.3595968125570113</v>
      </c>
      <c r="DG162" s="21">
        <f>EXP(-LN(2)/25)*DG161+(1-EXP(-LN(2)/25))/(LN(2)/25)*Calculateur!DB162*Calculateur!DD162*VLOOKUP('Données projet'!$B$13,Paramètres!$A$1:$I$89,3,0)*0.475*44/12</f>
        <v>0.9775718850878935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3.3371686976449046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227.99999999999994</v>
      </c>
      <c r="DP162" s="17">
        <f>DO162*VLOOKUP('Données projet'!$B$14,Paramètres!$A$1:$I$89,3,0)*VLOOKUP('Données projet'!$B$14,Paramètres!$A$1:$I$89,5,0)</f>
        <v>199.18079999999998</v>
      </c>
      <c r="DQ162" s="13">
        <f t="shared" si="176"/>
        <v>49.564089376413683</v>
      </c>
      <c r="DR162" s="20">
        <f t="shared" si="177"/>
        <v>433.23068233058711</v>
      </c>
      <c r="DS162" s="59">
        <f t="shared" si="125"/>
        <v>726.56401566392037</v>
      </c>
      <c r="DT162" s="59">
        <f ca="1">AVERAGE(OFFSET($DS$3,0,0,'Données projet'!$E$14+1,1))-AVERAGE(OFFSET($H$3,0,0,'Données projet'!$E$14+1,1))</f>
        <v>229.5312221178919</v>
      </c>
      <c r="DU162" s="59">
        <f t="shared" si="152"/>
        <v>218.1982095871906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5.9442605233204491</v>
      </c>
      <c r="EB162" s="21">
        <f>EXP(-LN(2)/25)*EB161+(1-EXP(-LN(2)/25))/(LN(2)/25)*Calculateur!DW162*Calculateur!DY162*VLOOKUP('Données projet'!$B$14,Paramètres!$A$1:$I$89,3,0)*0.475*44/12</f>
        <v>2.8329133959625206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8.7771739192829692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1.1618589743589709</v>
      </c>
      <c r="EJ162" s="12">
        <f>IF('Données projet'!$A$192&gt;35,EJ161+EI162-ER161,IF(A162&lt;'Données projet'!$A$192,$EG$205^A162,IF(A162='Données projet'!$A$192,'Données projet'!$B$192,EJ161+EI162-ER161)))</f>
        <v>89.041666666666202</v>
      </c>
      <c r="EK162" s="17">
        <f>EJ162*VLOOKUP('Données projet'!$B$15,Paramètres!$A$1:$I$89,3,0)*VLOOKUP('Données projet'!$B$15,Paramètres!$A$1:$I$89,5,0)</f>
        <v>80.564899999999582</v>
      </c>
      <c r="EL162" s="13">
        <f t="shared" si="179"/>
        <v>22.275248501153126</v>
      </c>
      <c r="EM162" s="20">
        <f t="shared" si="180"/>
        <v>179.11325863950762</v>
      </c>
      <c r="EN162" s="59">
        <f t="shared" si="128"/>
        <v>472.44659197284091</v>
      </c>
      <c r="EO162" s="59">
        <f ca="1">AVERAGE(OFFSET($EN$3,0,0,'Données projet'!$E$15+1,1))-AVERAGE(OFFSET($H$3,0,0,'Données projet'!$E$15+1,1))</f>
        <v>204.39656982394689</v>
      </c>
      <c r="EP162" s="59">
        <f t="shared" si="154"/>
        <v>134.95704640904546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111.08732757694216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111.08732757694216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3.4106051316484809E-13</v>
      </c>
      <c r="FF162" s="17">
        <f>FE162*VLOOKUP('Données projet'!$B$16,Paramètres!$A$1:$I$89,3,0)*VLOOKUP('Données projet'!$B$16,Paramètres!$A$1:$I$89,5,0)</f>
        <v>2.9262992029543969E-13</v>
      </c>
      <c r="FG162" s="13">
        <f t="shared" si="182"/>
        <v>3.8796387982050903E-12</v>
      </c>
      <c r="FH162" s="20">
        <f t="shared" si="183"/>
        <v>7.2667013513884219E-12</v>
      </c>
      <c r="FI162" s="59">
        <f t="shared" si="131"/>
        <v>293.33333333334059</v>
      </c>
      <c r="FJ162" s="59">
        <f ca="1">AVERAGE(OFFSET($FI$3,0,0,'Données projet'!$E$16+1,1))-AVERAGE(OFFSET($H$3,0,0,'Données projet'!$E$16+1,1))</f>
        <v>199.60585215726968</v>
      </c>
      <c r="FK162" s="59">
        <f t="shared" si="156"/>
        <v>137.37366750114404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71.499395696192394</v>
      </c>
      <c r="FR162" s="21">
        <f>EXP(-LN(2)/25)*FR161+(1-EXP(-LN(2)/25))/(LN(2)/25)*Calculateur!FM162*Calculateur!FO162*VLOOKUP('Données projet'!$B$16,Paramètres!$A$1:$I$89,3,0)*0.475*44/12</f>
        <v>39.923601162712707</v>
      </c>
      <c r="FS162" s="21">
        <f>EXP(-LN(2)/2)*FS161+(1-EXP(-LN(2)/2))/(LN(2)/2)*FM162*FP162*VLOOKUP('Données projet'!$B$16,Paramètres!$A$1:$I$89,3,0)*0.475*44/12</f>
        <v>1.9507053383064608E-2</v>
      </c>
      <c r="FT162" s="22">
        <f t="shared" si="184"/>
        <v>111.44250391228816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1.1368683772161603E-12</v>
      </c>
      <c r="O163" s="13">
        <f>N163*VLOOKUP('Données projet'!$B$9,Paramètres!$A$1:$I$89,3,0)*VLOOKUP('Données projet'!$B$9,Paramètres!$A$1:$I$89,5,0)</f>
        <v>5.3205440053716299E-13</v>
      </c>
      <c r="P163" s="13">
        <f t="shared" si="141"/>
        <v>6.579711042921201E-12</v>
      </c>
      <c r="Q163" s="20">
        <f t="shared" si="162"/>
        <v>1.2386324814023317E-11</v>
      </c>
      <c r="R163" s="59">
        <f t="shared" si="109"/>
        <v>293.33333333334571</v>
      </c>
      <c r="S163" s="59">
        <f ca="1">AVERAGE(OFFSET($R$3,0,0,'Données projet'!$E$9+1,1))-AVERAGE(OFFSET($H$3,0,0,'Données projet'!$E$9+1,1))</f>
        <v>164.93438869099657</v>
      </c>
      <c r="T163" s="59">
        <f t="shared" si="142"/>
        <v>112.28641356594233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82.087887987078844</v>
      </c>
      <c r="AA163" s="21">
        <f>EXP(-LN(2)/25)*AA162+(1-EXP(-LN(2)/25))/(LN(2)/25)*Calculateur!V163*Calculateur!X163*VLOOKUP('Données projet'!$B$9,Paramètres!$A$1:$I$89,3,0)*0.475*44/12</f>
        <v>15.579658988311593</v>
      </c>
      <c r="AB163" s="21">
        <f>EXP(-LN(2)/2)*AB162+(1-EXP(-LN(2)/2))/(LN(2)/2)*V163*Y163*VLOOKUP('Données projet'!$B$9,Paramètres!$A$1:$I$89,3,0)*0.475*44/12</f>
        <v>8.0335697980614439E-4</v>
      </c>
      <c r="AC163" s="22">
        <f t="shared" si="163"/>
        <v>97.668350332370238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273.81843612193632</v>
      </c>
      <c r="AO163" s="59">
        <f t="shared" si="144"/>
        <v>241.86405419073208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-6.3550942286383367E-14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271.42245454555501</v>
      </c>
      <c r="BJ163" s="59">
        <f t="shared" si="146"/>
        <v>362.63944425429077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28.332135245320572</v>
      </c>
      <c r="BQ163" s="21">
        <f>EXP(-LN(2)/25)*BQ162+(1-EXP(-LN(2)/25))/(LN(2)/25)*Calculateur!BL163*Calculateur!BN163*VLOOKUP('Données projet'!$B$11,Paramètres!$A$1:$I$89,3,0)*0.475*44/12</f>
        <v>3.1343999132603373</v>
      </c>
      <c r="BR163" s="21">
        <f>EXP(-LN(2)/2)*BR162+(1-EXP(-LN(2)/2))/(LN(2)/2)*BL163*BO163*VLOOKUP('Données projet'!$B$11,Paramètres!$A$1:$I$89,3,0)*0.475*44/12</f>
        <v>5.3636405795660843E-15</v>
      </c>
      <c r="BS163" s="22">
        <f t="shared" si="169"/>
        <v>31.466535158580918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-3.1036506698001178E-14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154.35821558431712</v>
      </c>
      <c r="CE163" s="59">
        <f t="shared" si="148"/>
        <v>263.86720460501306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6.2634443152212</v>
      </c>
      <c r="CL163" s="21">
        <f>EXP(-LN(2)/25)*CL162+(1-EXP(-LN(2)/25))/(LN(2)/25)*Calculateur!CG163*Calculateur!CI163*VLOOKUP('Données projet'!$B$12,Paramètres!$A$1:$I$89,3,0)*0.475*44/12</f>
        <v>5.3817988902786826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11.645243205499883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213</v>
      </c>
      <c r="CU163" s="17">
        <f>CT163*VLOOKUP('Données projet'!$B$13,Paramètres!$A$1:$I$89,3,0)*VLOOKUP('Données projet'!$B$13,Paramètres!$A$1:$I$89,5,0)</f>
        <v>169.46279999999999</v>
      </c>
      <c r="CV163" s="13">
        <f t="shared" si="173"/>
        <v>42.969686502194378</v>
      </c>
      <c r="CW163" s="20">
        <f t="shared" si="174"/>
        <v>369.9865806579885</v>
      </c>
      <c r="CX163" s="59">
        <f t="shared" si="122"/>
        <v>663.31991399132176</v>
      </c>
      <c r="CY163" s="59">
        <f ca="1">AVERAGE(OFFSET($CX$3,0,0,'Données projet'!$E$13+1,1))-AVERAGE(OFFSET($H$3,0,0,'Données projet'!$E$13+1,1))</f>
        <v>157.25319335691853</v>
      </c>
      <c r="CZ163" s="59">
        <f t="shared" si="150"/>
        <v>159.50903492442171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2.3133265582747136</v>
      </c>
      <c r="DG163" s="21">
        <f>EXP(-LN(2)/25)*DG162+(1-EXP(-LN(2)/25))/(LN(2)/25)*Calculateur!DB163*Calculateur!DD163*VLOOKUP('Données projet'!$B$13,Paramètres!$A$1:$I$89,3,0)*0.475*44/12</f>
        <v>0.95084013048189386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3.2641666887566076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227.99999999999994</v>
      </c>
      <c r="DP163" s="17">
        <f>DO163*VLOOKUP('Données projet'!$B$14,Paramètres!$A$1:$I$89,3,0)*VLOOKUP('Données projet'!$B$14,Paramètres!$A$1:$I$89,5,0)</f>
        <v>199.18079999999998</v>
      </c>
      <c r="DQ163" s="13">
        <f t="shared" si="176"/>
        <v>49.564089376413683</v>
      </c>
      <c r="DR163" s="20">
        <f t="shared" si="177"/>
        <v>433.23068233058711</v>
      </c>
      <c r="DS163" s="59">
        <f t="shared" si="125"/>
        <v>726.56401566392037</v>
      </c>
      <c r="DT163" s="59">
        <f ca="1">AVERAGE(OFFSET($DS$3,0,0,'Données projet'!$E$14+1,1))-AVERAGE(OFFSET($H$3,0,0,'Données projet'!$E$14+1,1))</f>
        <v>229.5312221178919</v>
      </c>
      <c r="DU163" s="59">
        <f t="shared" si="152"/>
        <v>218.1982095871906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5.8276972000990517</v>
      </c>
      <c r="EB163" s="21">
        <f>EXP(-LN(2)/25)*EB162+(1-EXP(-LN(2)/25))/(LN(2)/25)*Calculateur!DW163*Calculateur!DY163*VLOOKUP('Données projet'!$B$14,Paramètres!$A$1:$I$89,3,0)*0.475*44/12</f>
        <v>2.7554472301734845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8.5831444302725366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1.1618589743589709</v>
      </c>
      <c r="EJ163" s="12">
        <f>IF('Données projet'!$A$192&gt;35,EJ162+EI163-ER162,IF(A163&lt;'Données projet'!$A$192,$EG$205^A163,IF(A163='Données projet'!$A$192,'Données projet'!$B$192,EJ162+EI163-ER162)))</f>
        <v>90.20352564102518</v>
      </c>
      <c r="EK163" s="17">
        <f>EJ163*VLOOKUP('Données projet'!$B$15,Paramètres!$A$1:$I$89,3,0)*VLOOKUP('Données projet'!$B$15,Paramètres!$A$1:$I$89,5,0)</f>
        <v>81.616149999999578</v>
      </c>
      <c r="EL163" s="13">
        <f t="shared" si="179"/>
        <v>22.531880055892035</v>
      </c>
      <c r="EM163" s="20">
        <f t="shared" si="180"/>
        <v>181.39115234734456</v>
      </c>
      <c r="EN163" s="59">
        <f t="shared" si="128"/>
        <v>474.72448568067784</v>
      </c>
      <c r="EO163" s="59">
        <f ca="1">AVERAGE(OFFSET($EN$3,0,0,'Données projet'!$E$15+1,1))-AVERAGE(OFFSET($H$3,0,0,'Données projet'!$E$15+1,1))</f>
        <v>204.39656982394689</v>
      </c>
      <c r="EP163" s="59">
        <f t="shared" si="154"/>
        <v>134.95704640904546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108.90897283973774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108.90897283973774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3.4106051316484809E-13</v>
      </c>
      <c r="FF163" s="17">
        <f>FE163*VLOOKUP('Données projet'!$B$16,Paramètres!$A$1:$I$89,3,0)*VLOOKUP('Données projet'!$B$16,Paramètres!$A$1:$I$89,5,0)</f>
        <v>2.9262992029543969E-13</v>
      </c>
      <c r="FG163" s="13">
        <f t="shared" si="182"/>
        <v>3.8796387982050903E-12</v>
      </c>
      <c r="FH163" s="20">
        <f t="shared" si="183"/>
        <v>7.2667013513884219E-12</v>
      </c>
      <c r="FI163" s="59">
        <f t="shared" si="131"/>
        <v>293.33333333334059</v>
      </c>
      <c r="FJ163" s="59">
        <f ca="1">AVERAGE(OFFSET($FI$3,0,0,'Données projet'!$E$16+1,1))-AVERAGE(OFFSET($H$3,0,0,'Données projet'!$E$16+1,1))</f>
        <v>199.60585215726968</v>
      </c>
      <c r="FK163" s="59">
        <f t="shared" si="156"/>
        <v>137.37366750114404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70.097336156915276</v>
      </c>
      <c r="FR163" s="21">
        <f>EXP(-LN(2)/25)*FR162+(1-EXP(-LN(2)/25))/(LN(2)/25)*Calculateur!FM163*Calculateur!FO163*VLOOKUP('Données projet'!$B$16,Paramètres!$A$1:$I$89,3,0)*0.475*44/12</f>
        <v>38.831888189427389</v>
      </c>
      <c r="FS163" s="21">
        <f>EXP(-LN(2)/2)*FS162+(1-EXP(-LN(2)/2))/(LN(2)/2)*FM163*FP163*VLOOKUP('Données projet'!$B$16,Paramètres!$A$1:$I$89,3,0)*0.475*44/12</f>
        <v>1.3793569728132967E-2</v>
      </c>
      <c r="FT163" s="22">
        <f t="shared" si="184"/>
        <v>108.9430179160708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1.1368683772161603E-12</v>
      </c>
      <c r="O164" s="13">
        <f>N164*VLOOKUP('Données projet'!$B$9,Paramètres!$A$1:$I$89,3,0)*VLOOKUP('Données projet'!$B$9,Paramètres!$A$1:$I$89,5,0)</f>
        <v>5.3205440053716299E-13</v>
      </c>
      <c r="P164" s="13">
        <f t="shared" si="141"/>
        <v>6.579711042921201E-12</v>
      </c>
      <c r="Q164" s="20">
        <f t="shared" si="162"/>
        <v>1.2386324814023317E-11</v>
      </c>
      <c r="R164" s="59">
        <f t="shared" si="109"/>
        <v>293.33333333334571</v>
      </c>
      <c r="S164" s="59">
        <f ca="1">AVERAGE(OFFSET($R$3,0,0,'Données projet'!$E$9+1,1))-AVERAGE(OFFSET($H$3,0,0,'Données projet'!$E$9+1,1))</f>
        <v>164.93438869099657</v>
      </c>
      <c r="T164" s="59">
        <f t="shared" si="142"/>
        <v>112.28641356594233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80.478194572320035</v>
      </c>
      <c r="AA164" s="21">
        <f>EXP(-LN(2)/25)*AA163+(1-EXP(-LN(2)/25))/(LN(2)/25)*Calculateur!V164*Calculateur!X164*VLOOKUP('Données projet'!$B$9,Paramètres!$A$1:$I$89,3,0)*0.475*44/12</f>
        <v>15.153632393977555</v>
      </c>
      <c r="AB164" s="21">
        <f>EXP(-LN(2)/2)*AB163+(1-EXP(-LN(2)/2))/(LN(2)/2)*V164*Y164*VLOOKUP('Données projet'!$B$9,Paramètres!$A$1:$I$89,3,0)*0.475*44/12</f>
        <v>5.6805916813446901E-4</v>
      </c>
      <c r="AC164" s="22">
        <f t="shared" si="163"/>
        <v>95.632395025465726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273.81843612193632</v>
      </c>
      <c r="AO164" s="59">
        <f t="shared" si="144"/>
        <v>241.86405419073208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-6.3550942286383367E-14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271.42245454555501</v>
      </c>
      <c r="BJ164" s="59">
        <f t="shared" si="146"/>
        <v>362.63944425429077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27.776559354055987</v>
      </c>
      <c r="BQ164" s="21">
        <f>EXP(-LN(2)/25)*BQ163+(1-EXP(-LN(2)/25))/(LN(2)/25)*Calculateur!BL164*Calculateur!BN164*VLOOKUP('Données projet'!$B$11,Paramètres!$A$1:$I$89,3,0)*0.475*44/12</f>
        <v>3.0486895828013059</v>
      </c>
      <c r="BR164" s="21">
        <f>EXP(-LN(2)/2)*BR163+(1-EXP(-LN(2)/2))/(LN(2)/2)*BL164*BO164*VLOOKUP('Données projet'!$B$11,Paramètres!$A$1:$I$89,3,0)*0.475*44/12</f>
        <v>3.7926666256585221E-15</v>
      </c>
      <c r="BS164" s="22">
        <f t="shared" si="169"/>
        <v>30.825248936857296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-3.1036506698001178E-14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154.35821558431712</v>
      </c>
      <c r="CE164" s="59">
        <f t="shared" si="148"/>
        <v>263.86720460501306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6.1406219925235188</v>
      </c>
      <c r="CL164" s="21">
        <f>EXP(-LN(2)/25)*CL163+(1-EXP(-LN(2)/25))/(LN(2)/25)*Calculateur!CG164*Calculateur!CI164*VLOOKUP('Données projet'!$B$12,Paramètres!$A$1:$I$89,3,0)*0.475*44/12</f>
        <v>5.2346333166075087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11.375255309131028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213</v>
      </c>
      <c r="CU164" s="17">
        <f>CT164*VLOOKUP('Données projet'!$B$13,Paramètres!$A$1:$I$89,3,0)*VLOOKUP('Données projet'!$B$13,Paramètres!$A$1:$I$89,5,0)</f>
        <v>169.46279999999999</v>
      </c>
      <c r="CV164" s="13">
        <f t="shared" si="173"/>
        <v>42.969686502194378</v>
      </c>
      <c r="CW164" s="20">
        <f t="shared" si="174"/>
        <v>369.9865806579885</v>
      </c>
      <c r="CX164" s="59">
        <f t="shared" si="122"/>
        <v>663.31991399132176</v>
      </c>
      <c r="CY164" s="59">
        <f ca="1">AVERAGE(OFFSET($CX$3,0,0,'Données projet'!$E$13+1,1))-AVERAGE(OFFSET($H$3,0,0,'Données projet'!$E$13+1,1))</f>
        <v>157.25319335691853</v>
      </c>
      <c r="CZ164" s="59">
        <f t="shared" si="150"/>
        <v>159.50903492442171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2.2679636354568231</v>
      </c>
      <c r="DG164" s="21">
        <f>EXP(-LN(2)/25)*DG163+(1-EXP(-LN(2)/25))/(LN(2)/25)*Calculateur!DB164*Calculateur!DD164*VLOOKUP('Données projet'!$B$13,Paramètres!$A$1:$I$89,3,0)*0.475*44/12</f>
        <v>0.92483935711135723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3.1928029925681805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227.99999999999994</v>
      </c>
      <c r="DP164" s="17">
        <f>DO164*VLOOKUP('Données projet'!$B$14,Paramètres!$A$1:$I$89,3,0)*VLOOKUP('Données projet'!$B$14,Paramètres!$A$1:$I$89,5,0)</f>
        <v>199.18079999999998</v>
      </c>
      <c r="DQ164" s="13">
        <f t="shared" si="176"/>
        <v>49.564089376413683</v>
      </c>
      <c r="DR164" s="20">
        <f t="shared" si="177"/>
        <v>433.23068233058711</v>
      </c>
      <c r="DS164" s="59">
        <f t="shared" si="125"/>
        <v>726.56401566392037</v>
      </c>
      <c r="DT164" s="59">
        <f ca="1">AVERAGE(OFFSET($DS$3,0,0,'Données projet'!$E$14+1,1))-AVERAGE(OFFSET($H$3,0,0,'Données projet'!$E$14+1,1))</f>
        <v>229.5312221178919</v>
      </c>
      <c r="DU164" s="59">
        <f t="shared" si="152"/>
        <v>218.1982095871906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5.7134196125494192</v>
      </c>
      <c r="EB164" s="21">
        <f>EXP(-LN(2)/25)*EB163+(1-EXP(-LN(2)/25))/(LN(2)/25)*Calculateur!DW164*Calculateur!DY164*VLOOKUP('Données projet'!$B$14,Paramètres!$A$1:$I$89,3,0)*0.475*44/12</f>
        <v>2.6800993807617184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8.3935189933111367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>
        <f>VLOOKUP(A164,'Données projet'!$A$191:$I$211,2,0)</f>
        <v>91.365384615384613</v>
      </c>
      <c r="EH164" s="12">
        <f>VLOOKUP(A164,'Données projet'!$A$191:$I$211,9,0)</f>
        <v>1.1618589743589709</v>
      </c>
      <c r="EI164" s="12">
        <f t="array" ref="EI164">INDEX(EH:EH,MIN(IF(ISNUMBER(EH164:EH360),ROW(EH164:EH360),"")))</f>
        <v>1.1618589743589709</v>
      </c>
      <c r="EJ164" s="12">
        <f>IF('Données projet'!$A$192&gt;35,EJ163+EI164-ER163,IF(A164&lt;'Données projet'!$A$192,$EG$205^A164,IF(A164='Données projet'!$A$192,'Données projet'!$B$192,EJ163+EI164-ER163)))</f>
        <v>91.365384615384158</v>
      </c>
      <c r="EK164" s="17">
        <f>EJ164*VLOOKUP('Données projet'!$B$15,Paramètres!$A$1:$I$89,3,0)*VLOOKUP('Données projet'!$B$15,Paramètres!$A$1:$I$89,5,0)</f>
        <v>82.667399999999589</v>
      </c>
      <c r="EL164" s="13">
        <f t="shared" si="179"/>
        <v>22.788127124999455</v>
      </c>
      <c r="EM164" s="20">
        <f t="shared" si="180"/>
        <v>183.66837640937331</v>
      </c>
      <c r="EN164" s="59">
        <f t="shared" si="128"/>
        <v>477.00170974270662</v>
      </c>
      <c r="EO164" s="59">
        <f ca="1">AVERAGE(OFFSET($EN$3,0,0,'Données projet'!$E$15+1,1))-AVERAGE(OFFSET($H$3,0,0,'Données projet'!$E$15+1,1))</f>
        <v>204.39656982394689</v>
      </c>
      <c r="EP164" s="59">
        <f t="shared" si="154"/>
        <v>134.95704640904546</v>
      </c>
      <c r="EQ164" s="15">
        <f>IF(ISNA(VLOOKUP(A164,'Données projet'!$A$191:$I$211,3,0)),0,VLOOKUP(A164,'Données projet'!$A$191:$I$211,3,0))</f>
        <v>15</v>
      </c>
      <c r="ER164" s="15">
        <f>IF(ISNA(VLOOKUP(A164,'Données projet'!$A$191:$I$211,4,0)),0,VLOOKUP(A164,'Données projet'!$A$191:$I$211,4,0))</f>
        <v>91.365384615384613</v>
      </c>
      <c r="ES164" s="16">
        <f>IF(ISNA(VLOOKUP(A164,'Données projet'!$A$191:$I$211,5,0)),0%,VLOOKUP(A164,'Données projet'!$A$191:$I$211,5,0)*VLOOKUP('Données projet'!$B$15,Paramètres!$A$1:$I$89,7,0))</f>
        <v>0.38700000000000001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142.13985642477655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142.13985642477655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3.4106051316484809E-13</v>
      </c>
      <c r="FF164" s="17">
        <f>FE164*VLOOKUP('Données projet'!$B$16,Paramètres!$A$1:$I$89,3,0)*VLOOKUP('Données projet'!$B$16,Paramètres!$A$1:$I$89,5,0)</f>
        <v>2.9262992029543969E-13</v>
      </c>
      <c r="FG164" s="13">
        <f t="shared" si="182"/>
        <v>3.8796387982050903E-12</v>
      </c>
      <c r="FH164" s="20">
        <f t="shared" si="183"/>
        <v>7.2667013513884219E-12</v>
      </c>
      <c r="FI164" s="59">
        <f t="shared" si="131"/>
        <v>293.33333333334059</v>
      </c>
      <c r="FJ164" s="59">
        <f ca="1">AVERAGE(OFFSET($FI$3,0,0,'Données projet'!$E$16+1,1))-AVERAGE(OFFSET($H$3,0,0,'Données projet'!$E$16+1,1))</f>
        <v>199.60585215726968</v>
      </c>
      <c r="FK164" s="59">
        <f t="shared" si="156"/>
        <v>137.37366750114404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68.722770150031508</v>
      </c>
      <c r="FR164" s="21">
        <f>EXP(-LN(2)/25)*FR163+(1-EXP(-LN(2)/25))/(LN(2)/25)*Calculateur!FM164*Calculateur!FO164*VLOOKUP('Données projet'!$B$16,Paramètres!$A$1:$I$89,3,0)*0.475*44/12</f>
        <v>37.77002816480725</v>
      </c>
      <c r="FS164" s="21">
        <f>EXP(-LN(2)/2)*FS163+(1-EXP(-LN(2)/2))/(LN(2)/2)*FM164*FP164*VLOOKUP('Données projet'!$B$16,Paramètres!$A$1:$I$89,3,0)*0.475*44/12</f>
        <v>9.7535266915323039E-3</v>
      </c>
      <c r="FT164" s="22">
        <f t="shared" si="184"/>
        <v>106.50255184153028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1.1368683772161603E-12</v>
      </c>
      <c r="O165" s="13">
        <f>N165*VLOOKUP('Données projet'!$B$9,Paramètres!$A$1:$I$89,3,0)*VLOOKUP('Données projet'!$B$9,Paramètres!$A$1:$I$89,5,0)</f>
        <v>5.3205440053716299E-13</v>
      </c>
      <c r="P165" s="13">
        <f t="shared" si="141"/>
        <v>6.579711042921201E-12</v>
      </c>
      <c r="Q165" s="20">
        <f t="shared" si="162"/>
        <v>1.2386324814023317E-11</v>
      </c>
      <c r="R165" s="59">
        <f t="shared" si="109"/>
        <v>293.33333333334571</v>
      </c>
      <c r="S165" s="59">
        <f ca="1">AVERAGE(OFFSET($R$3,0,0,'Données projet'!$E$9+1,1))-AVERAGE(OFFSET($H$3,0,0,'Données projet'!$E$9+1,1))</f>
        <v>164.93438869099657</v>
      </c>
      <c r="T165" s="59">
        <f t="shared" si="142"/>
        <v>112.28641356594233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78.900066263608608</v>
      </c>
      <c r="AA165" s="21">
        <f>EXP(-LN(2)/25)*AA164+(1-EXP(-LN(2)/25))/(LN(2)/25)*Calculateur!V165*Calculateur!X165*VLOOKUP('Données projet'!$B$9,Paramètres!$A$1:$I$89,3,0)*0.475*44/12</f>
        <v>14.739255519269344</v>
      </c>
      <c r="AB165" s="21">
        <f>EXP(-LN(2)/2)*AB164+(1-EXP(-LN(2)/2))/(LN(2)/2)*V165*Y165*VLOOKUP('Données projet'!$B$9,Paramètres!$A$1:$I$89,3,0)*0.475*44/12</f>
        <v>4.016784899030722E-4</v>
      </c>
      <c r="AC165" s="22">
        <f t="shared" si="163"/>
        <v>93.639723461367865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273.81843612193632</v>
      </c>
      <c r="AO165" s="59">
        <f t="shared" si="144"/>
        <v>241.86405419073208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-6.3550942286383367E-14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271.42245454555501</v>
      </c>
      <c r="BJ165" s="59">
        <f t="shared" si="146"/>
        <v>362.63944425429077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27.23187796715127</v>
      </c>
      <c r="BQ165" s="21">
        <f>EXP(-LN(2)/25)*BQ164+(1-EXP(-LN(2)/25))/(LN(2)/25)*Calculateur!BL165*Calculateur!BN165*VLOOKUP('Données projet'!$B$11,Paramètres!$A$1:$I$89,3,0)*0.475*44/12</f>
        <v>2.965323005835987</v>
      </c>
      <c r="BR165" s="21">
        <f>EXP(-LN(2)/2)*BR164+(1-EXP(-LN(2)/2))/(LN(2)/2)*BL165*BO165*VLOOKUP('Données projet'!$B$11,Paramètres!$A$1:$I$89,3,0)*0.475*44/12</f>
        <v>2.6818202897830422E-15</v>
      </c>
      <c r="BS165" s="22">
        <f t="shared" si="169"/>
        <v>30.197200972987261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-3.1036506698001178E-14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154.35821558431712</v>
      </c>
      <c r="CE165" s="59">
        <f t="shared" si="148"/>
        <v>263.86720460501306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6.0202081406597197</v>
      </c>
      <c r="CL165" s="21">
        <f>EXP(-LN(2)/25)*CL164+(1-EXP(-LN(2)/25))/(LN(2)/25)*Calculateur!CG165*Calculateur!CI165*VLOOKUP('Données projet'!$B$12,Paramètres!$A$1:$I$89,3,0)*0.475*44/12</f>
        <v>5.091491993287474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11.111700133947194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213</v>
      </c>
      <c r="CU165" s="17">
        <f>CT165*VLOOKUP('Données projet'!$B$13,Paramètres!$A$1:$I$89,3,0)*VLOOKUP('Données projet'!$B$13,Paramètres!$A$1:$I$89,5,0)</f>
        <v>169.46279999999999</v>
      </c>
      <c r="CV165" s="13">
        <f t="shared" si="173"/>
        <v>42.969686502194378</v>
      </c>
      <c r="CW165" s="20">
        <f t="shared" si="174"/>
        <v>369.9865806579885</v>
      </c>
      <c r="CX165" s="59">
        <f t="shared" si="122"/>
        <v>663.31991399132176</v>
      </c>
      <c r="CY165" s="59">
        <f ca="1">AVERAGE(OFFSET($CX$3,0,0,'Données projet'!$E$13+1,1))-AVERAGE(OFFSET($H$3,0,0,'Données projet'!$E$13+1,1))</f>
        <v>157.25319335691853</v>
      </c>
      <c r="CZ165" s="59">
        <f t="shared" si="150"/>
        <v>159.50903492442171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2.2234902518867408</v>
      </c>
      <c r="DG165" s="21">
        <f>EXP(-LN(2)/25)*DG164+(1-EXP(-LN(2)/25))/(LN(2)/25)*Calculateur!DB165*Calculateur!DD165*VLOOKUP('Données projet'!$B$13,Paramètres!$A$1:$I$89,3,0)*0.475*44/12</f>
        <v>0.8995495762559591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3.1230398281426996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227.99999999999994</v>
      </c>
      <c r="DP165" s="17">
        <f>DO165*VLOOKUP('Données projet'!$B$14,Paramètres!$A$1:$I$89,3,0)*VLOOKUP('Données projet'!$B$14,Paramètres!$A$1:$I$89,5,0)</f>
        <v>199.18079999999998</v>
      </c>
      <c r="DQ165" s="13">
        <f t="shared" si="176"/>
        <v>49.564089376413683</v>
      </c>
      <c r="DR165" s="20">
        <f t="shared" si="177"/>
        <v>433.23068233058711</v>
      </c>
      <c r="DS165" s="59">
        <f t="shared" si="125"/>
        <v>726.56401566392037</v>
      </c>
      <c r="DT165" s="59">
        <f ca="1">AVERAGE(OFFSET($DS$3,0,0,'Données projet'!$E$14+1,1))-AVERAGE(OFFSET($H$3,0,0,'Données projet'!$E$14+1,1))</f>
        <v>229.5312221178919</v>
      </c>
      <c r="DU165" s="59">
        <f t="shared" si="152"/>
        <v>218.1982095871906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5.6013829387891896</v>
      </c>
      <c r="EB165" s="21">
        <f>EXP(-LN(2)/25)*EB164+(1-EXP(-LN(2)/25))/(LN(2)/25)*Calculateur!DW165*Calculateur!DY165*VLOOKUP('Données projet'!$B$14,Paramètres!$A$1:$I$89,3,0)*0.475*44/12</f>
        <v>2.6068119222544883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8.2081948610436779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-4.5474735088646412E-13</v>
      </c>
      <c r="EK165" s="17">
        <f>EJ165*VLOOKUP('Données projet'!$B$15,Paramètres!$A$1:$I$89,3,0)*VLOOKUP('Données projet'!$B$15,Paramètres!$A$1:$I$89,5,0)</f>
        <v>-4.1145540308207271E-13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204.39656982394689</v>
      </c>
      <c r="EP165" s="59">
        <f t="shared" si="154"/>
        <v>134.95704640904546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139.35258053703851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139.35258053703851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3.4106051316484809E-13</v>
      </c>
      <c r="FF165" s="17">
        <f>FE165*VLOOKUP('Données projet'!$B$16,Paramètres!$A$1:$I$89,3,0)*VLOOKUP('Données projet'!$B$16,Paramètres!$A$1:$I$89,5,0)</f>
        <v>2.9262992029543969E-13</v>
      </c>
      <c r="FG165" s="13">
        <f t="shared" si="182"/>
        <v>3.8796387982050903E-12</v>
      </c>
      <c r="FH165" s="20">
        <f t="shared" si="183"/>
        <v>7.2667013513884219E-12</v>
      </c>
      <c r="FI165" s="59">
        <f t="shared" si="131"/>
        <v>293.33333333334059</v>
      </c>
      <c r="FJ165" s="59">
        <f ca="1">AVERAGE(OFFSET($FI$3,0,0,'Données projet'!$E$16+1,1))-AVERAGE(OFFSET($H$3,0,0,'Données projet'!$E$16+1,1))</f>
        <v>199.60585215726968</v>
      </c>
      <c r="FK165" s="59">
        <f t="shared" si="156"/>
        <v>137.37366750114404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67.375158544140248</v>
      </c>
      <c r="FR165" s="21">
        <f>EXP(-LN(2)/25)*FR164+(1-EXP(-LN(2)/25))/(LN(2)/25)*Calculateur!FM165*Calculateur!FO165*VLOOKUP('Données projet'!$B$16,Paramètres!$A$1:$I$89,3,0)*0.475*44/12</f>
        <v>36.737204758401141</v>
      </c>
      <c r="FS165" s="21">
        <f>EXP(-LN(2)/2)*FS164+(1-EXP(-LN(2)/2))/(LN(2)/2)*FM165*FP165*VLOOKUP('Données projet'!$B$16,Paramètres!$A$1:$I$89,3,0)*0.475*44/12</f>
        <v>6.8967848640664837E-3</v>
      </c>
      <c r="FT165" s="22">
        <f t="shared" si="184"/>
        <v>104.11926008740545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1.1368683772161603E-12</v>
      </c>
      <c r="O166" s="13">
        <f>N166*VLOOKUP('Données projet'!$B$9,Paramètres!$A$1:$I$89,3,0)*VLOOKUP('Données projet'!$B$9,Paramètres!$A$1:$I$89,5,0)</f>
        <v>5.3205440053716299E-13</v>
      </c>
      <c r="P166" s="13">
        <f t="shared" si="141"/>
        <v>6.579711042921201E-12</v>
      </c>
      <c r="Q166" s="20">
        <f t="shared" si="162"/>
        <v>1.2386324814023317E-11</v>
      </c>
      <c r="R166" s="59">
        <f t="shared" si="109"/>
        <v>293.33333333334571</v>
      </c>
      <c r="S166" s="59">
        <f ca="1">AVERAGE(OFFSET($R$3,0,0,'Données projet'!$E$9+1,1))-AVERAGE(OFFSET($H$3,0,0,'Données projet'!$E$9+1,1))</f>
        <v>164.93438869099657</v>
      </c>
      <c r="T166" s="59">
        <f t="shared" si="142"/>
        <v>112.28641356594233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77.352884088467789</v>
      </c>
      <c r="AA166" s="21">
        <f>EXP(-LN(2)/25)*AA165+(1-EXP(-LN(2)/25))/(LN(2)/25)*Calculateur!V166*Calculateur!X166*VLOOKUP('Données projet'!$B$9,Paramètres!$A$1:$I$89,3,0)*0.475*44/12</f>
        <v>14.336209801991163</v>
      </c>
      <c r="AB166" s="21">
        <f>EXP(-LN(2)/2)*AB165+(1-EXP(-LN(2)/2))/(LN(2)/2)*V166*Y166*VLOOKUP('Données projet'!$B$9,Paramètres!$A$1:$I$89,3,0)*0.475*44/12</f>
        <v>2.8402958406723451E-4</v>
      </c>
      <c r="AC166" s="22">
        <f t="shared" si="163"/>
        <v>91.689377920043015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273.81843612193632</v>
      </c>
      <c r="AO166" s="59">
        <f t="shared" si="144"/>
        <v>241.86405419073208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-6.3550942286383367E-14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271.42245454555501</v>
      </c>
      <c r="BJ166" s="59">
        <f t="shared" si="146"/>
        <v>362.63944425429077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26.697877450020911</v>
      </c>
      <c r="BQ166" s="21">
        <f>EXP(-LN(2)/25)*BQ165+(1-EXP(-LN(2)/25))/(LN(2)/25)*Calculateur!BL166*Calculateur!BN166*VLOOKUP('Données projet'!$B$11,Paramètres!$A$1:$I$89,3,0)*0.475*44/12</f>
        <v>2.8842360923018422</v>
      </c>
      <c r="BR166" s="21">
        <f>EXP(-LN(2)/2)*BR165+(1-EXP(-LN(2)/2))/(LN(2)/2)*BL166*BO166*VLOOKUP('Données projet'!$B$11,Paramètres!$A$1:$I$89,3,0)*0.475*44/12</f>
        <v>1.8963333128292611E-15</v>
      </c>
      <c r="BS166" s="22">
        <f t="shared" si="169"/>
        <v>29.582113542322755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-3.1036506698001178E-14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154.35821558431712</v>
      </c>
      <c r="CE166" s="59">
        <f t="shared" si="148"/>
        <v>263.86720460501306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5.9021555309857723</v>
      </c>
      <c r="CL166" s="21">
        <f>EXP(-LN(2)/25)*CL165+(1-EXP(-LN(2)/25))/(LN(2)/25)*Calculateur!CG166*Calculateur!CI166*VLOOKUP('Données projet'!$B$12,Paramètres!$A$1:$I$89,3,0)*0.475*44/12</f>
        <v>4.9522648769811006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10.854420407966874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213</v>
      </c>
      <c r="CU166" s="17">
        <f>CT166*VLOOKUP('Données projet'!$B$13,Paramètres!$A$1:$I$89,3,0)*VLOOKUP('Données projet'!$B$13,Paramètres!$A$1:$I$89,5,0)</f>
        <v>169.46279999999999</v>
      </c>
      <c r="CV166" s="13">
        <f t="shared" si="173"/>
        <v>42.969686502194378</v>
      </c>
      <c r="CW166" s="20">
        <f t="shared" si="174"/>
        <v>369.9865806579885</v>
      </c>
      <c r="CX166" s="59">
        <f t="shared" si="122"/>
        <v>663.31991399132176</v>
      </c>
      <c r="CY166" s="59">
        <f ca="1">AVERAGE(OFFSET($CX$3,0,0,'Données projet'!$E$13+1,1))-AVERAGE(OFFSET($H$3,0,0,'Données projet'!$E$13+1,1))</f>
        <v>157.25319335691853</v>
      </c>
      <c r="CZ166" s="59">
        <f t="shared" si="150"/>
        <v>159.50903492442171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2.1798889642423824</v>
      </c>
      <c r="DG166" s="21">
        <f>EXP(-LN(2)/25)*DG165+(1-EXP(-LN(2)/25))/(LN(2)/25)*Calculateur!DB166*Calculateur!DD166*VLOOKUP('Données projet'!$B$13,Paramètres!$A$1:$I$89,3,0)*0.475*44/12</f>
        <v>0.87495134578798361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3.0548403100303663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227.99999999999994</v>
      </c>
      <c r="DP166" s="17">
        <f>DO166*VLOOKUP('Données projet'!$B$14,Paramètres!$A$1:$I$89,3,0)*VLOOKUP('Données projet'!$B$14,Paramètres!$A$1:$I$89,5,0)</f>
        <v>199.18079999999998</v>
      </c>
      <c r="DQ166" s="13">
        <f t="shared" si="176"/>
        <v>49.564089376413683</v>
      </c>
      <c r="DR166" s="20">
        <f t="shared" si="177"/>
        <v>433.23068233058711</v>
      </c>
      <c r="DS166" s="59">
        <f t="shared" si="125"/>
        <v>726.56401566392037</v>
      </c>
      <c r="DT166" s="59">
        <f ca="1">AVERAGE(OFFSET($DS$3,0,0,'Données projet'!$E$14+1,1))-AVERAGE(OFFSET($H$3,0,0,'Données projet'!$E$14+1,1))</f>
        <v>229.5312221178919</v>
      </c>
      <c r="DU166" s="59">
        <f t="shared" si="152"/>
        <v>218.1982095871906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5.4915432358657741</v>
      </c>
      <c r="EB166" s="21">
        <f>EXP(-LN(2)/25)*EB165+(1-EXP(-LN(2)/25))/(LN(2)/25)*Calculateur!DW166*Calculateur!DY166*VLOOKUP('Données projet'!$B$14,Paramètres!$A$1:$I$89,3,0)*0.475*44/12</f>
        <v>2.5355285131541585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8.0270717490199317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-4.5474735088646412E-13</v>
      </c>
      <c r="EK166" s="17">
        <f>EJ166*VLOOKUP('Données projet'!$B$15,Paramètres!$A$1:$I$89,3,0)*VLOOKUP('Données projet'!$B$15,Paramètres!$A$1:$I$89,5,0)</f>
        <v>-4.1145540308207271E-13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204.39656982394689</v>
      </c>
      <c r="EP166" s="59">
        <f t="shared" si="154"/>
        <v>134.95704640904546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136.61996142938858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136.61996142938858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3.4106051316484809E-13</v>
      </c>
      <c r="FF166" s="17">
        <f>FE166*VLOOKUP('Données projet'!$B$16,Paramètres!$A$1:$I$89,3,0)*VLOOKUP('Données projet'!$B$16,Paramètres!$A$1:$I$89,5,0)</f>
        <v>2.9262992029543969E-13</v>
      </c>
      <c r="FG166" s="13">
        <f t="shared" si="182"/>
        <v>3.8796387982050903E-12</v>
      </c>
      <c r="FH166" s="20">
        <f t="shared" si="183"/>
        <v>7.2667013513884219E-12</v>
      </c>
      <c r="FI166" s="59">
        <f t="shared" si="131"/>
        <v>293.33333333334059</v>
      </c>
      <c r="FJ166" s="59">
        <f ca="1">AVERAGE(OFFSET($FI$3,0,0,'Données projet'!$E$16+1,1))-AVERAGE(OFFSET($H$3,0,0,'Données projet'!$E$16+1,1))</f>
        <v>199.60585215726968</v>
      </c>
      <c r="FK166" s="59">
        <f t="shared" si="156"/>
        <v>137.37366750114404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66.053972779878592</v>
      </c>
      <c r="FR166" s="21">
        <f>EXP(-LN(2)/25)*FR165+(1-EXP(-LN(2)/25))/(LN(2)/25)*Calculateur!FM166*Calculateur!FO166*VLOOKUP('Données projet'!$B$16,Paramètres!$A$1:$I$89,3,0)*0.475*44/12</f>
        <v>35.732623962357025</v>
      </c>
      <c r="FS166" s="21">
        <f>EXP(-LN(2)/2)*FS165+(1-EXP(-LN(2)/2))/(LN(2)/2)*FM166*FP166*VLOOKUP('Données projet'!$B$16,Paramètres!$A$1:$I$89,3,0)*0.475*44/12</f>
        <v>4.8767633457661519E-3</v>
      </c>
      <c r="FT166" s="22">
        <f t="shared" si="184"/>
        <v>101.79147350558138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1.1368683772161603E-12</v>
      </c>
      <c r="O167" s="13">
        <f>N167*VLOOKUP('Données projet'!$B$9,Paramètres!$A$1:$I$89,3,0)*VLOOKUP('Données projet'!$B$9,Paramètres!$A$1:$I$89,5,0)</f>
        <v>5.3205440053716299E-13</v>
      </c>
      <c r="P167" s="13">
        <f t="shared" si="141"/>
        <v>6.579711042921201E-12</v>
      </c>
      <c r="Q167" s="20">
        <f t="shared" si="162"/>
        <v>1.2386324814023317E-11</v>
      </c>
      <c r="R167" s="59">
        <f t="shared" si="109"/>
        <v>293.33333333334571</v>
      </c>
      <c r="S167" s="59">
        <f ca="1">AVERAGE(OFFSET($R$3,0,0,'Données projet'!$E$9+1,1))-AVERAGE(OFFSET($H$3,0,0,'Données projet'!$E$9+1,1))</f>
        <v>164.93438869099657</v>
      </c>
      <c r="T167" s="59">
        <f t="shared" si="142"/>
        <v>112.28641356594233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75.836041212093534</v>
      </c>
      <c r="AA167" s="21">
        <f>EXP(-LN(2)/25)*AA166+(1-EXP(-LN(2)/25))/(LN(2)/25)*Calculateur!V167*Calculateur!X167*VLOOKUP('Données projet'!$B$9,Paramètres!$A$1:$I$89,3,0)*0.475*44/12</f>
        <v>13.944185391047208</v>
      </c>
      <c r="AB167" s="21">
        <f>EXP(-LN(2)/2)*AB166+(1-EXP(-LN(2)/2))/(LN(2)/2)*V167*Y167*VLOOKUP('Données projet'!$B$9,Paramètres!$A$1:$I$89,3,0)*0.475*44/12</f>
        <v>2.008392449515361E-4</v>
      </c>
      <c r="AC167" s="22">
        <f t="shared" si="163"/>
        <v>89.780427442385701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273.81843612193632</v>
      </c>
      <c r="AO167" s="59">
        <f t="shared" si="144"/>
        <v>241.86405419073208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-6.3550942286383367E-14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271.42245454555501</v>
      </c>
      <c r="BJ167" s="59">
        <f t="shared" si="146"/>
        <v>362.63944425429077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26.174348357323325</v>
      </c>
      <c r="BQ167" s="21">
        <f>EXP(-LN(2)/25)*BQ166+(1-EXP(-LN(2)/25))/(LN(2)/25)*Calculateur!BL167*Calculateur!BN167*VLOOKUP('Données projet'!$B$11,Paramètres!$A$1:$I$89,3,0)*0.475*44/12</f>
        <v>2.8053665046824641</v>
      </c>
      <c r="BR167" s="21">
        <f>EXP(-LN(2)/2)*BR166+(1-EXP(-LN(2)/2))/(LN(2)/2)*BL167*BO167*VLOOKUP('Données projet'!$B$11,Paramètres!$A$1:$I$89,3,0)*0.475*44/12</f>
        <v>1.3409101448915211E-15</v>
      </c>
      <c r="BS167" s="22">
        <f t="shared" si="169"/>
        <v>28.979714862005789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-3.1036506698001178E-14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154.35821558431712</v>
      </c>
      <c r="CE167" s="59">
        <f t="shared" si="148"/>
        <v>263.86720460501306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5.7864178609825485</v>
      </c>
      <c r="CL167" s="21">
        <f>EXP(-LN(2)/25)*CL166+(1-EXP(-LN(2)/25))/(LN(2)/25)*Calculateur!CG167*Calculateur!CI167*VLOOKUP('Données projet'!$B$12,Paramètres!$A$1:$I$89,3,0)*0.475*44/12</f>
        <v>4.8168449334917609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10.603262794474309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213</v>
      </c>
      <c r="CU167" s="17">
        <f>CT167*VLOOKUP('Données projet'!$B$13,Paramètres!$A$1:$I$89,3,0)*VLOOKUP('Données projet'!$B$13,Paramètres!$A$1:$I$89,5,0)</f>
        <v>169.46279999999999</v>
      </c>
      <c r="CV167" s="13">
        <f t="shared" si="173"/>
        <v>42.969686502194378</v>
      </c>
      <c r="CW167" s="20">
        <f t="shared" si="174"/>
        <v>369.9865806579885</v>
      </c>
      <c r="CX167" s="59">
        <f t="shared" si="122"/>
        <v>663.31991399132176</v>
      </c>
      <c r="CY167" s="59">
        <f ca="1">AVERAGE(OFFSET($CX$3,0,0,'Données projet'!$E$13+1,1))-AVERAGE(OFFSET($H$3,0,0,'Données projet'!$E$13+1,1))</f>
        <v>157.25319335691853</v>
      </c>
      <c r="CZ167" s="59">
        <f t="shared" si="150"/>
        <v>159.50903492442171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2.1371426712545705</v>
      </c>
      <c r="DG167" s="21">
        <f>EXP(-LN(2)/25)*DG166+(1-EXP(-LN(2)/25))/(LN(2)/25)*Calculateur!DB167*Calculateur!DD167*VLOOKUP('Données projet'!$B$13,Paramètres!$A$1:$I$89,3,0)*0.475*44/12</f>
        <v>0.85102575522571966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2.9881684264802901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227.99999999999994</v>
      </c>
      <c r="DP167" s="17">
        <f>DO167*VLOOKUP('Données projet'!$B$14,Paramètres!$A$1:$I$89,3,0)*VLOOKUP('Données projet'!$B$14,Paramètres!$A$1:$I$89,5,0)</f>
        <v>199.18079999999998</v>
      </c>
      <c r="DQ167" s="13">
        <f t="shared" si="176"/>
        <v>49.564089376413683</v>
      </c>
      <c r="DR167" s="20">
        <f t="shared" si="177"/>
        <v>433.23068233058711</v>
      </c>
      <c r="DS167" s="59">
        <f t="shared" si="125"/>
        <v>726.56401566392037</v>
      </c>
      <c r="DT167" s="59">
        <f ca="1">AVERAGE(OFFSET($DS$3,0,0,'Données projet'!$E$14+1,1))-AVERAGE(OFFSET($H$3,0,0,'Données projet'!$E$14+1,1))</f>
        <v>229.5312221178919</v>
      </c>
      <c r="DU167" s="59">
        <f t="shared" si="152"/>
        <v>218.1982095871906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5.3838574225210838</v>
      </c>
      <c r="EB167" s="21">
        <f>EXP(-LN(2)/25)*EB166+(1-EXP(-LN(2)/25))/(LN(2)/25)*Calculateur!DW167*Calculateur!DY167*VLOOKUP('Données projet'!$B$14,Paramètres!$A$1:$I$89,3,0)*0.475*44/12</f>
        <v>2.4661943526243086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7.850051775145392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-4.5474735088646412E-13</v>
      </c>
      <c r="EK167" s="17">
        <f>EJ167*VLOOKUP('Données projet'!$B$15,Paramètres!$A$1:$I$89,3,0)*VLOOKUP('Données projet'!$B$15,Paramètres!$A$1:$I$89,5,0)</f>
        <v>-4.1145540308207271E-13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204.39656982394689</v>
      </c>
      <c r="EP167" s="59">
        <f t="shared" si="154"/>
        <v>134.95704640904546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133.9409273157066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133.9409273157066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3.4106051316484809E-13</v>
      </c>
      <c r="FF167" s="17">
        <f>FE167*VLOOKUP('Données projet'!$B$16,Paramètres!$A$1:$I$89,3,0)*VLOOKUP('Données projet'!$B$16,Paramètres!$A$1:$I$89,5,0)</f>
        <v>2.9262992029543969E-13</v>
      </c>
      <c r="FG167" s="13">
        <f t="shared" si="182"/>
        <v>3.8796387982050903E-12</v>
      </c>
      <c r="FH167" s="20">
        <f t="shared" si="183"/>
        <v>7.2667013513884219E-12</v>
      </c>
      <c r="FI167" s="59">
        <f t="shared" si="131"/>
        <v>293.33333333334059</v>
      </c>
      <c r="FJ167" s="59">
        <f ca="1">AVERAGE(OFFSET($FI$3,0,0,'Données projet'!$E$16+1,1))-AVERAGE(OFFSET($H$3,0,0,'Données projet'!$E$16+1,1))</f>
        <v>199.60585215726968</v>
      </c>
      <c r="FK167" s="59">
        <f t="shared" si="156"/>
        <v>137.37366750114404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64.758694662610367</v>
      </c>
      <c r="FR167" s="21">
        <f>EXP(-LN(2)/25)*FR166+(1-EXP(-LN(2)/25))/(LN(2)/25)*Calculateur!FM167*Calculateur!FO167*VLOOKUP('Données projet'!$B$16,Paramètres!$A$1:$I$89,3,0)*0.475*44/12</f>
        <v>34.755513481009345</v>
      </c>
      <c r="FS167" s="21">
        <f>EXP(-LN(2)/2)*FS166+(1-EXP(-LN(2)/2))/(LN(2)/2)*FM167*FP167*VLOOKUP('Données projet'!$B$16,Paramètres!$A$1:$I$89,3,0)*0.475*44/12</f>
        <v>3.4483924320332419E-3</v>
      </c>
      <c r="FT167" s="22">
        <f t="shared" si="184"/>
        <v>99.517656536051746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1.1368683772161603E-12</v>
      </c>
      <c r="O168" s="13">
        <f>N168*VLOOKUP('Données projet'!$B$9,Paramètres!$A$1:$I$89,3,0)*VLOOKUP('Données projet'!$B$9,Paramètres!$A$1:$I$89,5,0)</f>
        <v>5.3205440053716299E-13</v>
      </c>
      <c r="P168" s="13">
        <f t="shared" si="141"/>
        <v>6.579711042921201E-12</v>
      </c>
      <c r="Q168" s="20">
        <f t="shared" si="162"/>
        <v>1.2386324814023317E-11</v>
      </c>
      <c r="R168" s="59">
        <f t="shared" si="109"/>
        <v>293.33333333334571</v>
      </c>
      <c r="S168" s="59">
        <f ca="1">AVERAGE(OFFSET($R$3,0,0,'Données projet'!$E$9+1,1))-AVERAGE(OFFSET($H$3,0,0,'Données projet'!$E$9+1,1))</f>
        <v>164.93438869099657</v>
      </c>
      <c r="T168" s="59">
        <f t="shared" si="142"/>
        <v>112.28641356594233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74.348942699342174</v>
      </c>
      <c r="AA168" s="21">
        <f>EXP(-LN(2)/25)*AA167+(1-EXP(-LN(2)/25))/(LN(2)/25)*Calculateur!V168*Calculateur!X168*VLOOKUP('Données projet'!$B$9,Paramètres!$A$1:$I$89,3,0)*0.475*44/12</f>
        <v>13.562880908236183</v>
      </c>
      <c r="AB168" s="21">
        <f>EXP(-LN(2)/2)*AB167+(1-EXP(-LN(2)/2))/(LN(2)/2)*V168*Y168*VLOOKUP('Données projet'!$B$9,Paramètres!$A$1:$I$89,3,0)*0.475*44/12</f>
        <v>1.4201479203361725E-4</v>
      </c>
      <c r="AC168" s="22">
        <f t="shared" si="163"/>
        <v>87.911965622370388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273.81843612193632</v>
      </c>
      <c r="AO168" s="59">
        <f t="shared" si="144"/>
        <v>241.86405419073208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-6.3550942286383367E-14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271.42245454555501</v>
      </c>
      <c r="BJ168" s="59">
        <f t="shared" si="146"/>
        <v>362.63944425429077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25.661085350812321</v>
      </c>
      <c r="BQ168" s="21">
        <f>EXP(-LN(2)/25)*BQ167+(1-EXP(-LN(2)/25))/(LN(2)/25)*Calculateur!BL168*Calculateur!BN168*VLOOKUP('Données projet'!$B$11,Paramètres!$A$1:$I$89,3,0)*0.475*44/12</f>
        <v>2.7286536100841094</v>
      </c>
      <c r="BR168" s="21">
        <f>EXP(-LN(2)/2)*BR167+(1-EXP(-LN(2)/2))/(LN(2)/2)*BL168*BO168*VLOOKUP('Données projet'!$B$11,Paramètres!$A$1:$I$89,3,0)*0.475*44/12</f>
        <v>9.4816665641463053E-16</v>
      </c>
      <c r="BS168" s="22">
        <f t="shared" si="169"/>
        <v>28.38973896089643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-3.1036506698001178E-14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154.35821558431712</v>
      </c>
      <c r="CE168" s="59">
        <f t="shared" si="148"/>
        <v>263.86720460501306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5.67294973609508</v>
      </c>
      <c r="CL168" s="21">
        <f>EXP(-LN(2)/25)*CL167+(1-EXP(-LN(2)/25))/(LN(2)/25)*Calculateur!CG168*Calculateur!CI168*VLOOKUP('Données projet'!$B$12,Paramètres!$A$1:$I$89,3,0)*0.475*44/12</f>
        <v>4.6851280554785628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10.358077791573642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213</v>
      </c>
      <c r="CU168" s="17">
        <f>CT168*VLOOKUP('Données projet'!$B$13,Paramètres!$A$1:$I$89,3,0)*VLOOKUP('Données projet'!$B$13,Paramètres!$A$1:$I$89,5,0)</f>
        <v>169.46279999999999</v>
      </c>
      <c r="CV168" s="13">
        <f t="shared" si="173"/>
        <v>42.969686502194378</v>
      </c>
      <c r="CW168" s="20">
        <f t="shared" si="174"/>
        <v>369.9865806579885</v>
      </c>
      <c r="CX168" s="59">
        <f t="shared" si="122"/>
        <v>663.31991399132176</v>
      </c>
      <c r="CY168" s="59">
        <f ca="1">AVERAGE(OFFSET($CX$3,0,0,'Données projet'!$E$13+1,1))-AVERAGE(OFFSET($H$3,0,0,'Données projet'!$E$13+1,1))</f>
        <v>157.25319335691853</v>
      </c>
      <c r="CZ168" s="59">
        <f t="shared" si="150"/>
        <v>159.50903492442171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2.0952346069995849</v>
      </c>
      <c r="DG168" s="21">
        <f>EXP(-LN(2)/25)*DG167+(1-EXP(-LN(2)/25))/(LN(2)/25)*Calculateur!DB168*Calculateur!DD168*VLOOKUP('Données projet'!$B$13,Paramètres!$A$1:$I$89,3,0)*0.475*44/12</f>
        <v>0.82775441119557291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2.9229890181951577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227.99999999999994</v>
      </c>
      <c r="DP168" s="17">
        <f>DO168*VLOOKUP('Données projet'!$B$14,Paramètres!$A$1:$I$89,3,0)*VLOOKUP('Données projet'!$B$14,Paramètres!$A$1:$I$89,5,0)</f>
        <v>199.18079999999998</v>
      </c>
      <c r="DQ168" s="13">
        <f t="shared" si="176"/>
        <v>49.564089376413683</v>
      </c>
      <c r="DR168" s="20">
        <f t="shared" si="177"/>
        <v>433.23068233058711</v>
      </c>
      <c r="DS168" s="59">
        <f t="shared" si="125"/>
        <v>726.56401566392037</v>
      </c>
      <c r="DT168" s="59">
        <f ca="1">AVERAGE(OFFSET($DS$3,0,0,'Données projet'!$E$14+1,1))-AVERAGE(OFFSET($H$3,0,0,'Données projet'!$E$14+1,1))</f>
        <v>229.5312221178919</v>
      </c>
      <c r="DU168" s="59">
        <f t="shared" si="152"/>
        <v>218.1982095871906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5.278283262294222</v>
      </c>
      <c r="EB168" s="21">
        <f>EXP(-LN(2)/25)*EB167+(1-EXP(-LN(2)/25))/(LN(2)/25)*Calculateur!DW168*Calculateur!DY168*VLOOKUP('Données projet'!$B$14,Paramètres!$A$1:$I$89,3,0)*0.475*44/12</f>
        <v>2.3987561383602727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7.6770394006544951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-4.5474735088646412E-13</v>
      </c>
      <c r="EK168" s="17">
        <f>EJ168*VLOOKUP('Données projet'!$B$15,Paramètres!$A$1:$I$89,3,0)*VLOOKUP('Données projet'!$B$15,Paramètres!$A$1:$I$89,5,0)</f>
        <v>-4.1145540308207271E-13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204.39656982394689</v>
      </c>
      <c r="EP168" s="59">
        <f t="shared" si="154"/>
        <v>134.95704640904546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131.31442742694446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131.31442742694446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3.4106051316484809E-13</v>
      </c>
      <c r="FF168" s="17">
        <f>FE168*VLOOKUP('Données projet'!$B$16,Paramètres!$A$1:$I$89,3,0)*VLOOKUP('Données projet'!$B$16,Paramètres!$A$1:$I$89,5,0)</f>
        <v>2.9262992029543969E-13</v>
      </c>
      <c r="FG168" s="13">
        <f t="shared" si="182"/>
        <v>3.8796387982050903E-12</v>
      </c>
      <c r="FH168" s="20">
        <f t="shared" si="183"/>
        <v>7.2667013513884219E-12</v>
      </c>
      <c r="FI168" s="59">
        <f t="shared" si="131"/>
        <v>293.33333333334059</v>
      </c>
      <c r="FJ168" s="59">
        <f ca="1">AVERAGE(OFFSET($FI$3,0,0,'Données projet'!$E$16+1,1))-AVERAGE(OFFSET($H$3,0,0,'Données projet'!$E$16+1,1))</f>
        <v>199.60585215726968</v>
      </c>
      <c r="FK168" s="59">
        <f t="shared" si="156"/>
        <v>137.37366750114404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63.488816159180132</v>
      </c>
      <c r="FR168" s="21">
        <f>EXP(-LN(2)/25)*FR167+(1-EXP(-LN(2)/25))/(LN(2)/25)*Calculateur!FM168*Calculateur!FO168*VLOOKUP('Données projet'!$B$16,Paramètres!$A$1:$I$89,3,0)*0.475*44/12</f>
        <v>33.805122137158122</v>
      </c>
      <c r="FS168" s="21">
        <f>EXP(-LN(2)/2)*FS167+(1-EXP(-LN(2)/2))/(LN(2)/2)*FM168*FP168*VLOOKUP('Données projet'!$B$16,Paramètres!$A$1:$I$89,3,0)*0.475*44/12</f>
        <v>2.438381672883076E-3</v>
      </c>
      <c r="FT168" s="22">
        <f t="shared" si="184"/>
        <v>97.296376678011143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1.1368683772161603E-12</v>
      </c>
      <c r="O169" s="13">
        <f>N169*VLOOKUP('Données projet'!$B$9,Paramètres!$A$1:$I$89,3,0)*VLOOKUP('Données projet'!$B$9,Paramètres!$A$1:$I$89,5,0)</f>
        <v>5.3205440053716299E-13</v>
      </c>
      <c r="P169" s="13">
        <f t="shared" si="141"/>
        <v>6.579711042921201E-12</v>
      </c>
      <c r="Q169" s="20">
        <f t="shared" si="162"/>
        <v>1.2386324814023317E-11</v>
      </c>
      <c r="R169" s="59">
        <f t="shared" si="109"/>
        <v>293.33333333334571</v>
      </c>
      <c r="S169" s="59">
        <f ca="1">AVERAGE(OFFSET($R$3,0,0,'Données projet'!$E$9+1,1))-AVERAGE(OFFSET($H$3,0,0,'Données projet'!$E$9+1,1))</f>
        <v>164.93438869099657</v>
      </c>
      <c r="T169" s="59">
        <f t="shared" si="142"/>
        <v>112.28641356594233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72.891005281385347</v>
      </c>
      <c r="AA169" s="21">
        <f>EXP(-LN(2)/25)*AA168+(1-EXP(-LN(2)/25))/(LN(2)/25)*Calculateur!V169*Calculateur!X169*VLOOKUP('Données projet'!$B$9,Paramètres!$A$1:$I$89,3,0)*0.475*44/12</f>
        <v>13.192003216559556</v>
      </c>
      <c r="AB169" s="21">
        <f>EXP(-LN(2)/2)*AB168+(1-EXP(-LN(2)/2))/(LN(2)/2)*V169*Y169*VLOOKUP('Données projet'!$B$9,Paramètres!$A$1:$I$89,3,0)*0.475*44/12</f>
        <v>1.0041962247576805E-4</v>
      </c>
      <c r="AC169" s="22">
        <f t="shared" si="163"/>
        <v>86.083108917567372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273.81843612193632</v>
      </c>
      <c r="AO169" s="59">
        <f t="shared" si="144"/>
        <v>241.86405419073208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-6.3550942286383367E-14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271.42245454555501</v>
      </c>
      <c r="BJ169" s="59">
        <f t="shared" si="146"/>
        <v>362.63944425429077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25.157887118799476</v>
      </c>
      <c r="BQ169" s="21">
        <f>EXP(-LN(2)/25)*BQ168+(1-EXP(-LN(2)/25))/(LN(2)/25)*Calculateur!BL169*Calculateur!BN169*VLOOKUP('Données projet'!$B$11,Paramètres!$A$1:$I$89,3,0)*0.475*44/12</f>
        <v>2.6540384336227025</v>
      </c>
      <c r="BR169" s="21">
        <f>EXP(-LN(2)/2)*BR168+(1-EXP(-LN(2)/2))/(LN(2)/2)*BL169*BO169*VLOOKUP('Données projet'!$B$11,Paramètres!$A$1:$I$89,3,0)*0.475*44/12</f>
        <v>6.7045507244576054E-16</v>
      </c>
      <c r="BS169" s="22">
        <f t="shared" si="169"/>
        <v>27.811925552422178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-3.1036506698001178E-14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154.35821558431712</v>
      </c>
      <c r="CE169" s="59">
        <f t="shared" si="148"/>
        <v>263.86720460501306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5.5617066519279321</v>
      </c>
      <c r="CL169" s="21">
        <f>EXP(-LN(2)/25)*CL168+(1-EXP(-LN(2)/25))/(LN(2)/25)*Calculateur!CG169*Calculateur!CI169*VLOOKUP('Données projet'!$B$12,Paramètres!$A$1:$I$89,3,0)*0.475*44/12</f>
        <v>4.557012982421325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10.118719634349258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213</v>
      </c>
      <c r="CU169" s="17">
        <f>CT169*VLOOKUP('Données projet'!$B$13,Paramètres!$A$1:$I$89,3,0)*VLOOKUP('Données projet'!$B$13,Paramètres!$A$1:$I$89,5,0)</f>
        <v>169.46279999999999</v>
      </c>
      <c r="CV169" s="13">
        <f t="shared" si="173"/>
        <v>42.969686502194378</v>
      </c>
      <c r="CW169" s="20">
        <f t="shared" si="174"/>
        <v>369.9865806579885</v>
      </c>
      <c r="CX169" s="59">
        <f t="shared" si="122"/>
        <v>663.31991399132176</v>
      </c>
      <c r="CY169" s="59">
        <f ca="1">AVERAGE(OFFSET($CX$3,0,0,'Données projet'!$E$13+1,1))-AVERAGE(OFFSET($H$3,0,0,'Données projet'!$E$13+1,1))</f>
        <v>157.25319335691853</v>
      </c>
      <c r="CZ169" s="59">
        <f t="shared" si="150"/>
        <v>159.50903492442171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2.0541483343232447</v>
      </c>
      <c r="DG169" s="21">
        <f>EXP(-LN(2)/25)*DG168+(1-EXP(-LN(2)/25))/(LN(2)/25)*Calculateur!DB169*Calculateur!DD169*VLOOKUP('Données projet'!$B$13,Paramètres!$A$1:$I$89,3,0)*0.475*44/12</f>
        <v>0.80511942329171737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2.8592677576149619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227.99999999999994</v>
      </c>
      <c r="DP169" s="17">
        <f>DO169*VLOOKUP('Données projet'!$B$14,Paramètres!$A$1:$I$89,3,0)*VLOOKUP('Données projet'!$B$14,Paramètres!$A$1:$I$89,5,0)</f>
        <v>199.18079999999998</v>
      </c>
      <c r="DQ169" s="13">
        <f t="shared" si="176"/>
        <v>49.564089376413683</v>
      </c>
      <c r="DR169" s="20">
        <f t="shared" si="177"/>
        <v>433.23068233058711</v>
      </c>
      <c r="DS169" s="59">
        <f t="shared" si="125"/>
        <v>726.56401566392037</v>
      </c>
      <c r="DT169" s="59">
        <f ca="1">AVERAGE(OFFSET($DS$3,0,0,'Données projet'!$E$14+1,1))-AVERAGE(OFFSET($H$3,0,0,'Données projet'!$E$14+1,1))</f>
        <v>229.5312221178919</v>
      </c>
      <c r="DU169" s="59">
        <f t="shared" si="152"/>
        <v>218.1982095871906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5.1747793469555292</v>
      </c>
      <c r="EB169" s="21">
        <f>EXP(-LN(2)/25)*EB168+(1-EXP(-LN(2)/25))/(LN(2)/25)*Calculateur!DW169*Calculateur!DY169*VLOOKUP('Données projet'!$B$14,Paramètres!$A$1:$I$89,3,0)*0.475*44/12</f>
        <v>2.333162025611708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7.5079413725672373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-4.5474735088646412E-13</v>
      </c>
      <c r="EK169" s="17">
        <f>EJ169*VLOOKUP('Données projet'!$B$15,Paramètres!$A$1:$I$89,3,0)*VLOOKUP('Données projet'!$B$15,Paramètres!$A$1:$I$89,5,0)</f>
        <v>-4.1145540308207271E-13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204.39656982394689</v>
      </c>
      <c r="EP169" s="59">
        <f t="shared" si="154"/>
        <v>134.95704640904546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128.7394315989942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128.7394315989942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3.4106051316484809E-13</v>
      </c>
      <c r="FF169" s="17">
        <f>FE169*VLOOKUP('Données projet'!$B$16,Paramètres!$A$1:$I$89,3,0)*VLOOKUP('Données projet'!$B$16,Paramètres!$A$1:$I$89,5,0)</f>
        <v>2.9262992029543969E-13</v>
      </c>
      <c r="FG169" s="13">
        <f t="shared" si="182"/>
        <v>3.8796387982050903E-12</v>
      </c>
      <c r="FH169" s="20">
        <f t="shared" si="183"/>
        <v>7.2667013513884219E-12</v>
      </c>
      <c r="FI169" s="59">
        <f t="shared" si="131"/>
        <v>293.33333333334059</v>
      </c>
      <c r="FJ169" s="59">
        <f ca="1">AVERAGE(OFFSET($FI$3,0,0,'Données projet'!$E$16+1,1))-AVERAGE(OFFSET($H$3,0,0,'Données projet'!$E$16+1,1))</f>
        <v>199.60585215726968</v>
      </c>
      <c r="FK169" s="59">
        <f t="shared" si="156"/>
        <v>137.37366750114404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62.243839198652758</v>
      </c>
      <c r="FR169" s="21">
        <f>EXP(-LN(2)/25)*FR168+(1-EXP(-LN(2)/25))/(LN(2)/25)*Calculateur!FM169*Calculateur!FO169*VLOOKUP('Données projet'!$B$16,Paramètres!$A$1:$I$89,3,0)*0.475*44/12</f>
        <v>32.880719294583422</v>
      </c>
      <c r="FS169" s="21">
        <f>EXP(-LN(2)/2)*FS168+(1-EXP(-LN(2)/2))/(LN(2)/2)*FM169*FP169*VLOOKUP('Données projet'!$B$16,Paramètres!$A$1:$I$89,3,0)*0.475*44/12</f>
        <v>1.7241962160166209E-3</v>
      </c>
      <c r="FT169" s="22">
        <f t="shared" si="184"/>
        <v>95.126282689452196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1.1368683772161603E-12</v>
      </c>
      <c r="O170" s="13">
        <f>N170*VLOOKUP('Données projet'!$B$9,Paramètres!$A$1:$I$89,3,0)*VLOOKUP('Données projet'!$B$9,Paramètres!$A$1:$I$89,5,0)</f>
        <v>5.3205440053716299E-13</v>
      </c>
      <c r="P170" s="13">
        <f t="shared" si="141"/>
        <v>6.579711042921201E-12</v>
      </c>
      <c r="Q170" s="20">
        <f t="shared" si="162"/>
        <v>1.2386324814023317E-11</v>
      </c>
      <c r="R170" s="59">
        <f t="shared" si="109"/>
        <v>293.33333333334571</v>
      </c>
      <c r="S170" s="59">
        <f ca="1">AVERAGE(OFFSET($R$3,0,0,'Données projet'!$E$9+1,1))-AVERAGE(OFFSET($H$3,0,0,'Données projet'!$E$9+1,1))</f>
        <v>164.93438869099657</v>
      </c>
      <c r="T170" s="59">
        <f t="shared" si="142"/>
        <v>112.28641356594233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71.461657126940622</v>
      </c>
      <c r="AA170" s="21">
        <f>EXP(-LN(2)/25)*AA169+(1-EXP(-LN(2)/25))/(LN(2)/25)*Calculateur!V170*Calculateur!X170*VLOOKUP('Données projet'!$B$9,Paramètres!$A$1:$I$89,3,0)*0.475*44/12</f>
        <v>12.831267194865436</v>
      </c>
      <c r="AB170" s="21">
        <f>EXP(-LN(2)/2)*AB169+(1-EXP(-LN(2)/2))/(LN(2)/2)*V170*Y170*VLOOKUP('Données projet'!$B$9,Paramètres!$A$1:$I$89,3,0)*0.475*44/12</f>
        <v>7.1007396016808626E-5</v>
      </c>
      <c r="AC170" s="22">
        <f t="shared" si="163"/>
        <v>84.292995329202071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273.81843612193632</v>
      </c>
      <c r="AO170" s="59">
        <f t="shared" si="144"/>
        <v>241.86405419073208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-6.3550942286383367E-14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271.42245454555501</v>
      </c>
      <c r="BJ170" s="59">
        <f t="shared" si="146"/>
        <v>362.63944425429077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24.664556297195787</v>
      </c>
      <c r="BQ170" s="21">
        <f>EXP(-LN(2)/25)*BQ169+(1-EXP(-LN(2)/25))/(LN(2)/25)*Calculateur!BL170*Calculateur!BN170*VLOOKUP('Données projet'!$B$11,Paramètres!$A$1:$I$89,3,0)*0.475*44/12</f>
        <v>2.5814636130854742</v>
      </c>
      <c r="BR170" s="21">
        <f>EXP(-LN(2)/2)*BR169+(1-EXP(-LN(2)/2))/(LN(2)/2)*BL170*BO170*VLOOKUP('Données projet'!$B$11,Paramètres!$A$1:$I$89,3,0)*0.475*44/12</f>
        <v>4.7408332820731527E-16</v>
      </c>
      <c r="BS170" s="22">
        <f t="shared" si="169"/>
        <v>27.246019910281262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-3.1036506698001178E-14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154.35821558431712</v>
      </c>
      <c r="CE170" s="59">
        <f t="shared" si="148"/>
        <v>263.86720460501306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5.4526449767897205</v>
      </c>
      <c r="CL170" s="21">
        <f>EXP(-LN(2)/25)*CL169+(1-EXP(-LN(2)/25))/(LN(2)/25)*Calculateur!CG170*Calculateur!CI170*VLOOKUP('Données projet'!$B$12,Paramètres!$A$1:$I$89,3,0)*0.475*44/12</f>
        <v>4.4324012227741161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9.8850461995638366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213</v>
      </c>
      <c r="CU170" s="17">
        <f>CT170*VLOOKUP('Données projet'!$B$13,Paramètres!$A$1:$I$89,3,0)*VLOOKUP('Données projet'!$B$13,Paramètres!$A$1:$I$89,5,0)</f>
        <v>169.46279999999999</v>
      </c>
      <c r="CV170" s="13">
        <f t="shared" si="173"/>
        <v>42.969686502194378</v>
      </c>
      <c r="CW170" s="20">
        <f t="shared" si="174"/>
        <v>369.9865806579885</v>
      </c>
      <c r="CX170" s="59">
        <f t="shared" si="122"/>
        <v>663.31991399132176</v>
      </c>
      <c r="CY170" s="59">
        <f ca="1">AVERAGE(OFFSET($CX$3,0,0,'Données projet'!$E$13+1,1))-AVERAGE(OFFSET($H$3,0,0,'Données projet'!$E$13+1,1))</f>
        <v>157.25319335691853</v>
      </c>
      <c r="CZ170" s="59">
        <f t="shared" si="150"/>
        <v>159.50903492442171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2.0138677383939356</v>
      </c>
      <c r="DG170" s="21">
        <f>EXP(-LN(2)/25)*DG169+(1-EXP(-LN(2)/25))/(LN(2)/25)*Calculateur!DB170*Calculateur!DD170*VLOOKUP('Données projet'!$B$13,Paramètres!$A$1:$I$89,3,0)*0.475*44/12</f>
        <v>0.78310339032241505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2.7969711287163506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227.99999999999994</v>
      </c>
      <c r="DP170" s="17">
        <f>DO170*VLOOKUP('Données projet'!$B$14,Paramètres!$A$1:$I$89,3,0)*VLOOKUP('Données projet'!$B$14,Paramètres!$A$1:$I$89,5,0)</f>
        <v>199.18079999999998</v>
      </c>
      <c r="DQ170" s="13">
        <f t="shared" si="176"/>
        <v>49.564089376413683</v>
      </c>
      <c r="DR170" s="20">
        <f t="shared" si="177"/>
        <v>433.23068233058711</v>
      </c>
      <c r="DS170" s="59">
        <f t="shared" si="125"/>
        <v>726.56401566392037</v>
      </c>
      <c r="DT170" s="59">
        <f ca="1">AVERAGE(OFFSET($DS$3,0,0,'Données projet'!$E$14+1,1))-AVERAGE(OFFSET($H$3,0,0,'Données projet'!$E$14+1,1))</f>
        <v>229.5312221178919</v>
      </c>
      <c r="DU170" s="59">
        <f t="shared" si="152"/>
        <v>218.1982095871906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5.0733050802654738</v>
      </c>
      <c r="EB170" s="21">
        <f>EXP(-LN(2)/25)*EB169+(1-EXP(-LN(2)/25))/(LN(2)/25)*Calculateur!DW170*Calculateur!DY170*VLOOKUP('Données projet'!$B$14,Paramètres!$A$1:$I$89,3,0)*0.475*44/12</f>
        <v>2.2693615873256974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7.3426666675911711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-4.5474735088646412E-13</v>
      </c>
      <c r="EK170" s="17">
        <f>EJ170*VLOOKUP('Données projet'!$B$15,Paramètres!$A$1:$I$89,3,0)*VLOOKUP('Données projet'!$B$15,Paramètres!$A$1:$I$89,5,0)</f>
        <v>-4.1145540308207271E-13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204.39656982394689</v>
      </c>
      <c r="EP170" s="59">
        <f t="shared" si="154"/>
        <v>134.95704640904546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126.21492986863767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126.21492986863767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3.4106051316484809E-13</v>
      </c>
      <c r="FF170" s="17">
        <f>FE170*VLOOKUP('Données projet'!$B$16,Paramètres!$A$1:$I$89,3,0)*VLOOKUP('Données projet'!$B$16,Paramètres!$A$1:$I$89,5,0)</f>
        <v>2.9262992029543969E-13</v>
      </c>
      <c r="FG170" s="13">
        <f t="shared" si="182"/>
        <v>3.8796387982050903E-12</v>
      </c>
      <c r="FH170" s="20">
        <f t="shared" si="183"/>
        <v>7.2667013513884219E-12</v>
      </c>
      <c r="FI170" s="59">
        <f t="shared" si="131"/>
        <v>293.33333333334059</v>
      </c>
      <c r="FJ170" s="59">
        <f ca="1">AVERAGE(OFFSET($FI$3,0,0,'Données projet'!$E$16+1,1))-AVERAGE(OFFSET($H$3,0,0,'Données projet'!$E$16+1,1))</f>
        <v>199.60585215726968</v>
      </c>
      <c r="FK170" s="59">
        <f t="shared" si="156"/>
        <v>137.37366750114404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61.023275476960357</v>
      </c>
      <c r="FR170" s="21">
        <f>EXP(-LN(2)/25)*FR169+(1-EXP(-LN(2)/25))/(LN(2)/25)*Calculateur!FM170*Calculateur!FO170*VLOOKUP('Données projet'!$B$16,Paramètres!$A$1:$I$89,3,0)*0.475*44/12</f>
        <v>31.981594296351162</v>
      </c>
      <c r="FS170" s="21">
        <f>EXP(-LN(2)/2)*FS169+(1-EXP(-LN(2)/2))/(LN(2)/2)*FM170*FP170*VLOOKUP('Données projet'!$B$16,Paramètres!$A$1:$I$89,3,0)*0.475*44/12</f>
        <v>1.219190836441538E-3</v>
      </c>
      <c r="FT170" s="22">
        <f t="shared" si="184"/>
        <v>93.006088964147963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1.1368683772161603E-12</v>
      </c>
      <c r="O171" s="13">
        <f>N171*VLOOKUP('Données projet'!$B$9,Paramètres!$A$1:$I$89,3,0)*VLOOKUP('Données projet'!$B$9,Paramètres!$A$1:$I$89,5,0)</f>
        <v>5.3205440053716299E-13</v>
      </c>
      <c r="P171" s="13">
        <f t="shared" si="141"/>
        <v>6.579711042921201E-12</v>
      </c>
      <c r="Q171" s="20">
        <f t="shared" si="162"/>
        <v>1.2386324814023317E-11</v>
      </c>
      <c r="R171" s="59">
        <f t="shared" si="109"/>
        <v>293.33333333334571</v>
      </c>
      <c r="S171" s="59">
        <f ca="1">AVERAGE(OFFSET($R$3,0,0,'Données projet'!$E$9+1,1))-AVERAGE(OFFSET($H$3,0,0,'Données projet'!$E$9+1,1))</f>
        <v>164.93438869099657</v>
      </c>
      <c r="T171" s="59">
        <f t="shared" si="142"/>
        <v>112.28641356594233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70.060337617988282</v>
      </c>
      <c r="AA171" s="21">
        <f>EXP(-LN(2)/25)*AA170+(1-EXP(-LN(2)/25))/(LN(2)/25)*Calculateur!V171*Calculateur!X171*VLOOKUP('Données projet'!$B$9,Paramètres!$A$1:$I$89,3,0)*0.475*44/12</f>
        <v>12.480395518654825</v>
      </c>
      <c r="AB171" s="21">
        <f>EXP(-LN(2)/2)*AB170+(1-EXP(-LN(2)/2))/(LN(2)/2)*V171*Y171*VLOOKUP('Données projet'!$B$9,Paramètres!$A$1:$I$89,3,0)*0.475*44/12</f>
        <v>5.0209811237884025E-5</v>
      </c>
      <c r="AC171" s="22">
        <f t="shared" si="163"/>
        <v>82.540783346454347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273.81843612193632</v>
      </c>
      <c r="AO171" s="59">
        <f t="shared" si="144"/>
        <v>241.86405419073208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-6.3550942286383367E-14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271.42245454555501</v>
      </c>
      <c r="BJ171" s="59">
        <f t="shared" si="146"/>
        <v>362.63944425429077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24.180899392101658</v>
      </c>
      <c r="BQ171" s="21">
        <f>EXP(-LN(2)/25)*BQ170+(1-EXP(-LN(2)/25))/(LN(2)/25)*Calculateur!BL171*Calculateur!BN171*VLOOKUP('Données projet'!$B$11,Paramètres!$A$1:$I$89,3,0)*0.475*44/12</f>
        <v>2.5108733548323805</v>
      </c>
      <c r="BR171" s="21">
        <f>EXP(-LN(2)/2)*BR170+(1-EXP(-LN(2)/2))/(LN(2)/2)*BL171*BO171*VLOOKUP('Données projet'!$B$11,Paramètres!$A$1:$I$89,3,0)*0.475*44/12</f>
        <v>3.3522753622288027E-16</v>
      </c>
      <c r="BS171" s="22">
        <f t="shared" si="169"/>
        <v>26.691772746934038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-3.1036506698001178E-14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154.35821558431712</v>
      </c>
      <c r="CE171" s="59">
        <f t="shared" si="148"/>
        <v>263.86720460501306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5.3457219345799158</v>
      </c>
      <c r="CL171" s="21">
        <f>EXP(-LN(2)/25)*CL170+(1-EXP(-LN(2)/25))/(LN(2)/25)*Calculateur!CG171*Calculateur!CI171*VLOOKUP('Données projet'!$B$12,Paramètres!$A$1:$I$89,3,0)*0.475*44/12</f>
        <v>4.3111969782475077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9.6569189128274235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213</v>
      </c>
      <c r="CU171" s="17">
        <f>CT171*VLOOKUP('Données projet'!$B$13,Paramètres!$A$1:$I$89,3,0)*VLOOKUP('Données projet'!$B$13,Paramètres!$A$1:$I$89,5,0)</f>
        <v>169.46279999999999</v>
      </c>
      <c r="CV171" s="13">
        <f t="shared" si="173"/>
        <v>42.969686502194378</v>
      </c>
      <c r="CW171" s="20">
        <f t="shared" si="174"/>
        <v>369.9865806579885</v>
      </c>
      <c r="CX171" s="59">
        <f t="shared" si="122"/>
        <v>663.31991399132176</v>
      </c>
      <c r="CY171" s="59">
        <f ca="1">AVERAGE(OFFSET($CX$3,0,0,'Données projet'!$E$13+1,1))-AVERAGE(OFFSET($H$3,0,0,'Données projet'!$E$13+1,1))</f>
        <v>157.25319335691853</v>
      </c>
      <c r="CZ171" s="59">
        <f t="shared" si="150"/>
        <v>159.50903492442171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1.9743770203820628</v>
      </c>
      <c r="DG171" s="21">
        <f>EXP(-LN(2)/25)*DG170+(1-EXP(-LN(2)/25))/(LN(2)/25)*Calculateur!DB171*Calculateur!DD171*VLOOKUP('Données projet'!$B$13,Paramètres!$A$1:$I$89,3,0)*0.475*44/12</f>
        <v>0.76168938693243116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2.7360664073144938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227.99999999999994</v>
      </c>
      <c r="DP171" s="17">
        <f>DO171*VLOOKUP('Données projet'!$B$14,Paramètres!$A$1:$I$89,3,0)*VLOOKUP('Données projet'!$B$14,Paramètres!$A$1:$I$89,5,0)</f>
        <v>199.18079999999998</v>
      </c>
      <c r="DQ171" s="13">
        <f t="shared" si="176"/>
        <v>49.564089376413683</v>
      </c>
      <c r="DR171" s="20">
        <f t="shared" si="177"/>
        <v>433.23068233058711</v>
      </c>
      <c r="DS171" s="59">
        <f t="shared" si="125"/>
        <v>726.56401566392037</v>
      </c>
      <c r="DT171" s="59">
        <f ca="1">AVERAGE(OFFSET($DS$3,0,0,'Données projet'!$E$14+1,1))-AVERAGE(OFFSET($H$3,0,0,'Données projet'!$E$14+1,1))</f>
        <v>229.5312221178919</v>
      </c>
      <c r="DU171" s="59">
        <f t="shared" si="152"/>
        <v>218.1982095871906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4.9738206620520193</v>
      </c>
      <c r="EB171" s="21">
        <f>EXP(-LN(2)/25)*EB170+(1-EXP(-LN(2)/25))/(LN(2)/25)*Calculateur!DW171*Calculateur!DY171*VLOOKUP('Données projet'!$B$14,Paramètres!$A$1:$I$89,3,0)*0.475*44/12</f>
        <v>2.2073057753797372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7.1811264374317565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-4.5474735088646412E-13</v>
      </c>
      <c r="EK171" s="17">
        <f>EJ171*VLOOKUP('Données projet'!$B$15,Paramètres!$A$1:$I$89,3,0)*VLOOKUP('Données projet'!$B$15,Paramètres!$A$1:$I$89,5,0)</f>
        <v>-4.1145540308207271E-13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204.39656982394689</v>
      </c>
      <c r="EP171" s="59">
        <f t="shared" si="154"/>
        <v>134.95704640904546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123.73993207741941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123.73993207741941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3.4106051316484809E-13</v>
      </c>
      <c r="FF171" s="17">
        <f>FE171*VLOOKUP('Données projet'!$B$16,Paramètres!$A$1:$I$89,3,0)*VLOOKUP('Données projet'!$B$16,Paramètres!$A$1:$I$89,5,0)</f>
        <v>2.9262992029543969E-13</v>
      </c>
      <c r="FG171" s="13">
        <f t="shared" si="182"/>
        <v>3.8796387982050903E-12</v>
      </c>
      <c r="FH171" s="20">
        <f t="shared" si="183"/>
        <v>7.2667013513884219E-12</v>
      </c>
      <c r="FI171" s="59">
        <f t="shared" si="131"/>
        <v>293.33333333334059</v>
      </c>
      <c r="FJ171" s="59">
        <f ca="1">AVERAGE(OFFSET($FI$3,0,0,'Données projet'!$E$16+1,1))-AVERAGE(OFFSET($H$3,0,0,'Données projet'!$E$16+1,1))</f>
        <v>199.60585215726968</v>
      </c>
      <c r="FK171" s="59">
        <f t="shared" si="156"/>
        <v>137.37366750114404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59.826646265379985</v>
      </c>
      <c r="FR171" s="21">
        <f>EXP(-LN(2)/25)*FR170+(1-EXP(-LN(2)/25))/(LN(2)/25)*Calculateur!FM171*Calculateur!FO171*VLOOKUP('Données projet'!$B$16,Paramètres!$A$1:$I$89,3,0)*0.475*44/12</f>
        <v>31.10705591847849</v>
      </c>
      <c r="FS171" s="21">
        <f>EXP(-LN(2)/2)*FS170+(1-EXP(-LN(2)/2))/(LN(2)/2)*FM171*FP171*VLOOKUP('Données projet'!$B$16,Paramètres!$A$1:$I$89,3,0)*0.475*44/12</f>
        <v>8.6209810800831046E-4</v>
      </c>
      <c r="FT171" s="22">
        <f t="shared" si="184"/>
        <v>90.934564281966473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1.1368683772161603E-12</v>
      </c>
      <c r="O172" s="13">
        <f>N172*VLOOKUP('Données projet'!$B$9,Paramètres!$A$1:$I$89,3,0)*VLOOKUP('Données projet'!$B$9,Paramètres!$A$1:$I$89,5,0)</f>
        <v>5.3205440053716299E-13</v>
      </c>
      <c r="P172" s="13">
        <f t="shared" si="141"/>
        <v>6.579711042921201E-12</v>
      </c>
      <c r="Q172" s="20">
        <f t="shared" si="162"/>
        <v>1.2386324814023317E-11</v>
      </c>
      <c r="R172" s="59">
        <f t="shared" si="109"/>
        <v>293.33333333334571</v>
      </c>
      <c r="S172" s="59">
        <f ca="1">AVERAGE(OFFSET($R$3,0,0,'Données projet'!$E$9+1,1))-AVERAGE(OFFSET($H$3,0,0,'Données projet'!$E$9+1,1))</f>
        <v>164.93438869099657</v>
      </c>
      <c r="T172" s="59">
        <f t="shared" si="142"/>
        <v>112.28641356594233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68.686497129885993</v>
      </c>
      <c r="AA172" s="21">
        <f>EXP(-LN(2)/25)*AA171+(1-EXP(-LN(2)/25))/(LN(2)/25)*Calculateur!V172*Calculateur!X172*VLOOKUP('Données projet'!$B$9,Paramètres!$A$1:$I$89,3,0)*0.475*44/12</f>
        <v>12.139118446881733</v>
      </c>
      <c r="AB172" s="21">
        <f>EXP(-LN(2)/2)*AB171+(1-EXP(-LN(2)/2))/(LN(2)/2)*V172*Y172*VLOOKUP('Données projet'!$B$9,Paramètres!$A$1:$I$89,3,0)*0.475*44/12</f>
        <v>3.5503698008404313E-5</v>
      </c>
      <c r="AC172" s="22">
        <f t="shared" si="163"/>
        <v>80.825651080465747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273.81843612193632</v>
      </c>
      <c r="AO172" s="59">
        <f t="shared" si="144"/>
        <v>241.86405419073208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-6.3550942286383367E-14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271.42245454555501</v>
      </c>
      <c r="BJ172" s="59">
        <f t="shared" si="146"/>
        <v>362.63944425429077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23.706726703914843</v>
      </c>
      <c r="BQ172" s="21">
        <f>EXP(-LN(2)/25)*BQ171+(1-EXP(-LN(2)/25))/(LN(2)/25)*Calculateur!BL172*Calculateur!BN172*VLOOKUP('Données projet'!$B$11,Paramètres!$A$1:$I$89,3,0)*0.475*44/12</f>
        <v>2.4422133909033978</v>
      </c>
      <c r="BR172" s="21">
        <f>EXP(-LN(2)/2)*BR171+(1-EXP(-LN(2)/2))/(LN(2)/2)*BL172*BO172*VLOOKUP('Données projet'!$B$11,Paramètres!$A$1:$I$89,3,0)*0.475*44/12</f>
        <v>2.3704166410365763E-16</v>
      </c>
      <c r="BS172" s="22">
        <f t="shared" si="169"/>
        <v>26.14894009481824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-3.1036506698001178E-14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154.35821558431712</v>
      </c>
      <c r="CE172" s="59">
        <f t="shared" si="148"/>
        <v>263.86720460501306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5.2408955880112291</v>
      </c>
      <c r="CL172" s="21">
        <f>EXP(-LN(2)/25)*CL171+(1-EXP(-LN(2)/25))/(LN(2)/25)*Calculateur!CG172*Calculateur!CI172*VLOOKUP('Données projet'!$B$12,Paramètres!$A$1:$I$89,3,0)*0.475*44/12</f>
        <v>4.1933070701613335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9.4342026581725626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213</v>
      </c>
      <c r="CU172" s="17">
        <f>CT172*VLOOKUP('Données projet'!$B$13,Paramètres!$A$1:$I$89,3,0)*VLOOKUP('Données projet'!$B$13,Paramètres!$A$1:$I$89,5,0)</f>
        <v>169.46279999999999</v>
      </c>
      <c r="CV172" s="13">
        <f t="shared" si="173"/>
        <v>42.969686502194378</v>
      </c>
      <c r="CW172" s="20">
        <f t="shared" si="174"/>
        <v>369.9865806579885</v>
      </c>
      <c r="CX172" s="59">
        <f t="shared" si="122"/>
        <v>663.31991399132176</v>
      </c>
      <c r="CY172" s="59">
        <f ca="1">AVERAGE(OFFSET($CX$3,0,0,'Données projet'!$E$13+1,1))-AVERAGE(OFFSET($H$3,0,0,'Données projet'!$E$13+1,1))</f>
        <v>157.25319335691853</v>
      </c>
      <c r="CZ172" s="59">
        <f t="shared" si="150"/>
        <v>159.50903492442171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1.9356606912634431</v>
      </c>
      <c r="DG172" s="21">
        <f>EXP(-LN(2)/25)*DG171+(1-EXP(-LN(2)/25))/(LN(2)/25)*Calculateur!DB172*Calculateur!DD172*VLOOKUP('Données projet'!$B$13,Paramètres!$A$1:$I$89,3,0)*0.475*44/12</f>
        <v>0.74086095059125978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2.6765216418547029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227.99999999999994</v>
      </c>
      <c r="DP172" s="17">
        <f>DO172*VLOOKUP('Données projet'!$B$14,Paramètres!$A$1:$I$89,3,0)*VLOOKUP('Données projet'!$B$14,Paramètres!$A$1:$I$89,5,0)</f>
        <v>199.18079999999998</v>
      </c>
      <c r="DQ172" s="13">
        <f t="shared" si="176"/>
        <v>49.564089376413683</v>
      </c>
      <c r="DR172" s="20">
        <f t="shared" si="177"/>
        <v>433.23068233058711</v>
      </c>
      <c r="DS172" s="59">
        <f t="shared" si="125"/>
        <v>726.56401566392037</v>
      </c>
      <c r="DT172" s="59">
        <f ca="1">AVERAGE(OFFSET($DS$3,0,0,'Données projet'!$E$14+1,1))-AVERAGE(OFFSET($H$3,0,0,'Données projet'!$E$14+1,1))</f>
        <v>229.5312221178919</v>
      </c>
      <c r="DU172" s="59">
        <f t="shared" si="152"/>
        <v>218.1982095871906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4.8762870726002268</v>
      </c>
      <c r="EB172" s="21">
        <f>EXP(-LN(2)/25)*EB171+(1-EXP(-LN(2)/25))/(LN(2)/25)*Calculateur!DW172*Calculateur!DY172*VLOOKUP('Données projet'!$B$14,Paramètres!$A$1:$I$89,3,0)*0.475*44/12</f>
        <v>2.1469468828748122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7.0232339554750389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-4.5474735088646412E-13</v>
      </c>
      <c r="EK172" s="17">
        <f>EJ172*VLOOKUP('Données projet'!$B$15,Paramètres!$A$1:$I$89,3,0)*VLOOKUP('Données projet'!$B$15,Paramètres!$A$1:$I$89,5,0)</f>
        <v>-4.1145540308207271E-13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204.39656982394689</v>
      </c>
      <c r="EP172" s="59">
        <f t="shared" si="154"/>
        <v>134.95704640904546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121.31346748328735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121.31346748328735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3.4106051316484809E-13</v>
      </c>
      <c r="FF172" s="17">
        <f>FE172*VLOOKUP('Données projet'!$B$16,Paramètres!$A$1:$I$89,3,0)*VLOOKUP('Données projet'!$B$16,Paramètres!$A$1:$I$89,5,0)</f>
        <v>2.9262992029543969E-13</v>
      </c>
      <c r="FG172" s="13">
        <f t="shared" si="182"/>
        <v>3.8796387982050903E-12</v>
      </c>
      <c r="FH172" s="20">
        <f t="shared" si="183"/>
        <v>7.2667013513884219E-12</v>
      </c>
      <c r="FI172" s="59">
        <f t="shared" si="131"/>
        <v>293.33333333334059</v>
      </c>
      <c r="FJ172" s="59">
        <f ca="1">AVERAGE(OFFSET($FI$3,0,0,'Données projet'!$E$16+1,1))-AVERAGE(OFFSET($H$3,0,0,'Données projet'!$E$16+1,1))</f>
        <v>199.60585215726968</v>
      </c>
      <c r="FK172" s="59">
        <f t="shared" si="156"/>
        <v>137.37366750114404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58.653482222766954</v>
      </c>
      <c r="FR172" s="21">
        <f>EXP(-LN(2)/25)*FR171+(1-EXP(-LN(2)/25))/(LN(2)/25)*Calculateur!FM172*Calculateur!FO172*VLOOKUP('Données projet'!$B$16,Paramètres!$A$1:$I$89,3,0)*0.475*44/12</f>
        <v>30.25643183853872</v>
      </c>
      <c r="FS172" s="21">
        <f>EXP(-LN(2)/2)*FS171+(1-EXP(-LN(2)/2))/(LN(2)/2)*FM172*FP172*VLOOKUP('Données projet'!$B$16,Paramètres!$A$1:$I$89,3,0)*0.475*44/12</f>
        <v>6.0959541822076899E-4</v>
      </c>
      <c r="FT172" s="22">
        <f t="shared" si="184"/>
        <v>88.910523656723896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1.1368683772161603E-12</v>
      </c>
      <c r="O173" s="13">
        <f>N173*VLOOKUP('Données projet'!$B$9,Paramètres!$A$1:$I$89,3,0)*VLOOKUP('Données projet'!$B$9,Paramètres!$A$1:$I$89,5,0)</f>
        <v>5.3205440053716299E-13</v>
      </c>
      <c r="P173" s="13">
        <f t="shared" si="141"/>
        <v>6.579711042921201E-12</v>
      </c>
      <c r="Q173" s="20">
        <f t="shared" si="162"/>
        <v>1.2386324814023317E-11</v>
      </c>
      <c r="R173" s="59">
        <f t="shared" si="109"/>
        <v>293.33333333334571</v>
      </c>
      <c r="S173" s="59">
        <f ca="1">AVERAGE(OFFSET($R$3,0,0,'Données projet'!$E$9+1,1))-AVERAGE(OFFSET($H$3,0,0,'Données projet'!$E$9+1,1))</f>
        <v>164.93438869099657</v>
      </c>
      <c r="T173" s="59">
        <f t="shared" si="142"/>
        <v>112.28641356594233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67.339596815795431</v>
      </c>
      <c r="AA173" s="21">
        <f>EXP(-LN(2)/25)*AA172+(1-EXP(-LN(2)/25))/(LN(2)/25)*Calculateur!V173*Calculateur!X173*VLOOKUP('Données projet'!$B$9,Paramètres!$A$1:$I$89,3,0)*0.475*44/12</f>
        <v>11.807173614583258</v>
      </c>
      <c r="AB173" s="21">
        <f>EXP(-LN(2)/2)*AB172+(1-EXP(-LN(2)/2))/(LN(2)/2)*V173*Y173*VLOOKUP('Données projet'!$B$9,Paramètres!$A$1:$I$89,3,0)*0.475*44/12</f>
        <v>2.5104905618942012E-5</v>
      </c>
      <c r="AC173" s="22">
        <f t="shared" si="163"/>
        <v>79.146795535284312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273.81843612193632</v>
      </c>
      <c r="AO173" s="59">
        <f t="shared" si="144"/>
        <v>241.86405419073208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-6.3550942286383367E-14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271.42245454555501</v>
      </c>
      <c r="BJ173" s="59">
        <f t="shared" si="146"/>
        <v>362.63944425429077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23.241852252926588</v>
      </c>
      <c r="BQ173" s="21">
        <f>EXP(-LN(2)/25)*BQ172+(1-EXP(-LN(2)/25))/(LN(2)/25)*Calculateur!BL173*Calculateur!BN173*VLOOKUP('Données projet'!$B$11,Paramètres!$A$1:$I$89,3,0)*0.475*44/12</f>
        <v>2.3754309372987241</v>
      </c>
      <c r="BR173" s="21">
        <f>EXP(-LN(2)/2)*BR172+(1-EXP(-LN(2)/2))/(LN(2)/2)*BL173*BO173*VLOOKUP('Données projet'!$B$11,Paramètres!$A$1:$I$89,3,0)*0.475*44/12</f>
        <v>1.6761376811144013E-16</v>
      </c>
      <c r="BS173" s="22">
        <f t="shared" si="169"/>
        <v>25.617283190225312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-3.1036506698001178E-14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154.35821558431712</v>
      </c>
      <c r="CE173" s="59">
        <f t="shared" si="148"/>
        <v>263.86720460501306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5.1381248221609965</v>
      </c>
      <c r="CL173" s="21">
        <f>EXP(-LN(2)/25)*CL172+(1-EXP(-LN(2)/25))/(LN(2)/25)*Calculateur!CG173*Calculateur!CI173*VLOOKUP('Données projet'!$B$12,Paramètres!$A$1:$I$89,3,0)*0.475*44/12</f>
        <v>4.0786408678113366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9.216765689972334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213</v>
      </c>
      <c r="CU173" s="17">
        <f>CT173*VLOOKUP('Données projet'!$B$13,Paramètres!$A$1:$I$89,3,0)*VLOOKUP('Données projet'!$B$13,Paramètres!$A$1:$I$89,5,0)</f>
        <v>169.46279999999999</v>
      </c>
      <c r="CV173" s="13">
        <f t="shared" si="173"/>
        <v>42.969686502194378</v>
      </c>
      <c r="CW173" s="20">
        <f t="shared" si="174"/>
        <v>369.9865806579885</v>
      </c>
      <c r="CX173" s="59">
        <f t="shared" si="122"/>
        <v>663.31991399132176</v>
      </c>
      <c r="CY173" s="59">
        <f ca="1">AVERAGE(OFFSET($CX$3,0,0,'Données projet'!$E$13+1,1))-AVERAGE(OFFSET($H$3,0,0,'Données projet'!$E$13+1,1))</f>
        <v>157.25319335691853</v>
      </c>
      <c r="CZ173" s="59">
        <f t="shared" si="150"/>
        <v>159.50903492442171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1.8977035657442105</v>
      </c>
      <c r="DG173" s="21">
        <f>EXP(-LN(2)/25)*DG172+(1-EXP(-LN(2)/25))/(LN(2)/25)*Calculateur!DB173*Calculateur!DD173*VLOOKUP('Données projet'!$B$13,Paramètres!$A$1:$I$89,3,0)*0.475*44/12</f>
        <v>0.72060206893715761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2.6183056346813682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227.99999999999994</v>
      </c>
      <c r="DP173" s="17">
        <f>DO173*VLOOKUP('Données projet'!$B$14,Paramètres!$A$1:$I$89,3,0)*VLOOKUP('Données projet'!$B$14,Paramètres!$A$1:$I$89,5,0)</f>
        <v>199.18079999999998</v>
      </c>
      <c r="DQ173" s="13">
        <f t="shared" si="176"/>
        <v>49.564089376413683</v>
      </c>
      <c r="DR173" s="20">
        <f t="shared" si="177"/>
        <v>433.23068233058711</v>
      </c>
      <c r="DS173" s="59">
        <f t="shared" si="125"/>
        <v>726.56401566392037</v>
      </c>
      <c r="DT173" s="59">
        <f ca="1">AVERAGE(OFFSET($DS$3,0,0,'Données projet'!$E$14+1,1))-AVERAGE(OFFSET($H$3,0,0,'Données projet'!$E$14+1,1))</f>
        <v>229.5312221178919</v>
      </c>
      <c r="DU173" s="59">
        <f t="shared" si="152"/>
        <v>218.1982095871906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4.7806660573479682</v>
      </c>
      <c r="EB173" s="21">
        <f>EXP(-LN(2)/25)*EB172+(1-EXP(-LN(2)/25))/(LN(2)/25)*Calculateur!DW173*Calculateur!DY173*VLOOKUP('Données projet'!$B$14,Paramètres!$A$1:$I$89,3,0)*0.475*44/12</f>
        <v>2.0882385074595708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6.8689045648075391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-4.5474735088646412E-13</v>
      </c>
      <c r="EK173" s="17">
        <f>EJ173*VLOOKUP('Données projet'!$B$15,Paramètres!$A$1:$I$89,3,0)*VLOOKUP('Données projet'!$B$15,Paramètres!$A$1:$I$89,5,0)</f>
        <v>-4.1145540308207271E-13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204.39656982394689</v>
      </c>
      <c r="EP173" s="59">
        <f t="shared" si="154"/>
        <v>134.95704640904546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118.93458437984896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118.93458437984896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3.4106051316484809E-13</v>
      </c>
      <c r="FF173" s="17">
        <f>FE173*VLOOKUP('Données projet'!$B$16,Paramètres!$A$1:$I$89,3,0)*VLOOKUP('Données projet'!$B$16,Paramètres!$A$1:$I$89,5,0)</f>
        <v>2.9262992029543969E-13</v>
      </c>
      <c r="FG173" s="13">
        <f t="shared" si="182"/>
        <v>3.8796387982050903E-12</v>
      </c>
      <c r="FH173" s="20">
        <f t="shared" si="183"/>
        <v>7.2667013513884219E-12</v>
      </c>
      <c r="FI173" s="59">
        <f t="shared" si="131"/>
        <v>293.33333333334059</v>
      </c>
      <c r="FJ173" s="59">
        <f ca="1">AVERAGE(OFFSET($FI$3,0,0,'Données projet'!$E$16+1,1))-AVERAGE(OFFSET($H$3,0,0,'Données projet'!$E$16+1,1))</f>
        <v>199.60585215726968</v>
      </c>
      <c r="FK173" s="59">
        <f t="shared" si="156"/>
        <v>137.37366750114404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57.503323211470153</v>
      </c>
      <c r="FR173" s="21">
        <f>EXP(-LN(2)/25)*FR172+(1-EXP(-LN(2)/25))/(LN(2)/25)*Calculateur!FM173*Calculateur!FO173*VLOOKUP('Données projet'!$B$16,Paramètres!$A$1:$I$89,3,0)*0.475*44/12</f>
        <v>29.429068118797282</v>
      </c>
      <c r="FS173" s="21">
        <f>EXP(-LN(2)/2)*FS172+(1-EXP(-LN(2)/2))/(LN(2)/2)*FM173*FP173*VLOOKUP('Données projet'!$B$16,Paramètres!$A$1:$I$89,3,0)*0.475*44/12</f>
        <v>4.3104905400415523E-4</v>
      </c>
      <c r="FT173" s="22">
        <f t="shared" si="184"/>
        <v>86.932822379321436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1.1368683772161603E-12</v>
      </c>
      <c r="O174" s="13">
        <f>N174*VLOOKUP('Données projet'!$B$9,Paramètres!$A$1:$I$89,3,0)*VLOOKUP('Données projet'!$B$9,Paramètres!$A$1:$I$89,5,0)</f>
        <v>5.3205440053716299E-13</v>
      </c>
      <c r="P174" s="13">
        <f t="shared" si="141"/>
        <v>6.579711042921201E-12</v>
      </c>
      <c r="Q174" s="20">
        <f t="shared" si="162"/>
        <v>1.2386324814023317E-11</v>
      </c>
      <c r="R174" s="59">
        <f t="shared" si="109"/>
        <v>293.33333333334571</v>
      </c>
      <c r="S174" s="59">
        <f ca="1">AVERAGE(OFFSET($R$3,0,0,'Données projet'!$E$9+1,1))-AVERAGE(OFFSET($H$3,0,0,'Données projet'!$E$9+1,1))</f>
        <v>164.93438869099657</v>
      </c>
      <c r="T174" s="59">
        <f t="shared" si="142"/>
        <v>112.28641356594233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66.019108395336104</v>
      </c>
      <c r="AA174" s="21">
        <f>EXP(-LN(2)/25)*AA173+(1-EXP(-LN(2)/25))/(LN(2)/25)*Calculateur!V174*Calculateur!X174*VLOOKUP('Données projet'!$B$9,Paramètres!$A$1:$I$89,3,0)*0.475*44/12</f>
        <v>11.484305831180205</v>
      </c>
      <c r="AB174" s="21">
        <f>EXP(-LN(2)/2)*AB173+(1-EXP(-LN(2)/2))/(LN(2)/2)*V174*Y174*VLOOKUP('Données projet'!$B$9,Paramètres!$A$1:$I$89,3,0)*0.475*44/12</f>
        <v>1.7751849004202157E-5</v>
      </c>
      <c r="AC174" s="22">
        <f t="shared" si="163"/>
        <v>77.503431978365313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273.81843612193632</v>
      </c>
      <c r="AO174" s="59">
        <f t="shared" si="144"/>
        <v>241.86405419073208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-6.3550942286383367E-14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271.42245454555501</v>
      </c>
      <c r="BJ174" s="59">
        <f t="shared" si="146"/>
        <v>362.63944425429077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22.786093706376796</v>
      </c>
      <c r="BQ174" s="21">
        <f>EXP(-LN(2)/25)*BQ173+(1-EXP(-LN(2)/25))/(LN(2)/25)*Calculateur!BL174*Calculateur!BN174*VLOOKUP('Données projet'!$B$11,Paramètres!$A$1:$I$89,3,0)*0.475*44/12</f>
        <v>2.3104746533998068</v>
      </c>
      <c r="BR174" s="21">
        <f>EXP(-LN(2)/2)*BR173+(1-EXP(-LN(2)/2))/(LN(2)/2)*BL174*BO174*VLOOKUP('Données projet'!$B$11,Paramètres!$A$1:$I$89,3,0)*0.475*44/12</f>
        <v>1.1852083205182882E-16</v>
      </c>
      <c r="BS174" s="22">
        <f t="shared" si="169"/>
        <v>25.096568359776604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-3.1036506698001178E-14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154.35821558431712</v>
      </c>
      <c r="CE174" s="59">
        <f t="shared" si="148"/>
        <v>263.86720460501306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5.0373693283451093</v>
      </c>
      <c r="CL174" s="21">
        <f>EXP(-LN(2)/25)*CL173+(1-EXP(-LN(2)/25))/(LN(2)/25)*Calculateur!CG174*Calculateur!CI174*VLOOKUP('Données projet'!$B$12,Paramètres!$A$1:$I$89,3,0)*0.475*44/12</f>
        <v>3.9671102187946343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9.0044795471397432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213</v>
      </c>
      <c r="CU174" s="17">
        <f>CT174*VLOOKUP('Données projet'!$B$13,Paramètres!$A$1:$I$89,3,0)*VLOOKUP('Données projet'!$B$13,Paramètres!$A$1:$I$89,5,0)</f>
        <v>169.46279999999999</v>
      </c>
      <c r="CV174" s="13">
        <f t="shared" si="173"/>
        <v>42.969686502194378</v>
      </c>
      <c r="CW174" s="20">
        <f t="shared" si="174"/>
        <v>369.9865806579885</v>
      </c>
      <c r="CX174" s="59">
        <f t="shared" si="122"/>
        <v>663.31991399132176</v>
      </c>
      <c r="CY174" s="59">
        <f ca="1">AVERAGE(OFFSET($CX$3,0,0,'Données projet'!$E$13+1,1))-AVERAGE(OFFSET($H$3,0,0,'Données projet'!$E$13+1,1))</f>
        <v>157.25319335691853</v>
      </c>
      <c r="CZ174" s="59">
        <f t="shared" si="150"/>
        <v>159.50903492442171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1.8604907563048496</v>
      </c>
      <c r="DG174" s="21">
        <f>EXP(-LN(2)/25)*DG173+(1-EXP(-LN(2)/25))/(LN(2)/25)*Calculateur!DB174*Calculateur!DD174*VLOOKUP('Données projet'!$B$13,Paramètres!$A$1:$I$89,3,0)*0.475*44/12</f>
        <v>0.70089716746725517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2.5613879237721049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227.99999999999994</v>
      </c>
      <c r="DP174" s="17">
        <f>DO174*VLOOKUP('Données projet'!$B$14,Paramètres!$A$1:$I$89,3,0)*VLOOKUP('Données projet'!$B$14,Paramètres!$A$1:$I$89,5,0)</f>
        <v>199.18079999999998</v>
      </c>
      <c r="DQ174" s="13">
        <f t="shared" si="176"/>
        <v>49.564089376413683</v>
      </c>
      <c r="DR174" s="20">
        <f t="shared" si="177"/>
        <v>433.23068233058711</v>
      </c>
      <c r="DS174" s="59">
        <f t="shared" si="125"/>
        <v>726.56401566392037</v>
      </c>
      <c r="DT174" s="59">
        <f ca="1">AVERAGE(OFFSET($DS$3,0,0,'Données projet'!$E$14+1,1))-AVERAGE(OFFSET($H$3,0,0,'Données projet'!$E$14+1,1))</f>
        <v>229.5312221178919</v>
      </c>
      <c r="DU174" s="59">
        <f t="shared" si="152"/>
        <v>218.1982095871906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4.6869201118817463</v>
      </c>
      <c r="EB174" s="21">
        <f>EXP(-LN(2)/25)*EB173+(1-EXP(-LN(2)/25))/(LN(2)/25)*Calculateur!DW174*Calculateur!DY174*VLOOKUP('Données projet'!$B$14,Paramètres!$A$1:$I$89,3,0)*0.475*44/12</f>
        <v>2.0311355156573985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6.7180556275391448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-4.5474735088646412E-13</v>
      </c>
      <c r="EK174" s="17">
        <f>EJ174*VLOOKUP('Données projet'!$B$15,Paramètres!$A$1:$I$89,3,0)*VLOOKUP('Données projet'!$B$15,Paramètres!$A$1:$I$89,5,0)</f>
        <v>-4.1145540308207271E-13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204.39656982394689</v>
      </c>
      <c r="EP174" s="59">
        <f t="shared" si="154"/>
        <v>134.95704640904546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116.60234972309357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116.60234972309357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3.4106051316484809E-13</v>
      </c>
      <c r="FF174" s="17">
        <f>FE174*VLOOKUP('Données projet'!$B$16,Paramètres!$A$1:$I$89,3,0)*VLOOKUP('Données projet'!$B$16,Paramètres!$A$1:$I$89,5,0)</f>
        <v>2.9262992029543969E-13</v>
      </c>
      <c r="FG174" s="13">
        <f t="shared" si="182"/>
        <v>3.8796387982050903E-12</v>
      </c>
      <c r="FH174" s="20">
        <f t="shared" si="183"/>
        <v>7.2667013513884219E-12</v>
      </c>
      <c r="FI174" s="59">
        <f t="shared" si="131"/>
        <v>293.33333333334059</v>
      </c>
      <c r="FJ174" s="59">
        <f ca="1">AVERAGE(OFFSET($FI$3,0,0,'Données projet'!$E$16+1,1))-AVERAGE(OFFSET($H$3,0,0,'Données projet'!$E$16+1,1))</f>
        <v>199.60585215726968</v>
      </c>
      <c r="FK174" s="59">
        <f t="shared" si="156"/>
        <v>137.37366750114404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56.375718116857158</v>
      </c>
      <c r="FR174" s="21">
        <f>EXP(-LN(2)/25)*FR173+(1-EXP(-LN(2)/25))/(LN(2)/25)*Calculateur!FM174*Calculateur!FO174*VLOOKUP('Données projet'!$B$16,Paramètres!$A$1:$I$89,3,0)*0.475*44/12</f>
        <v>28.624328703481339</v>
      </c>
      <c r="FS174" s="21">
        <f>EXP(-LN(2)/2)*FS173+(1-EXP(-LN(2)/2))/(LN(2)/2)*FM174*FP174*VLOOKUP('Données projet'!$B$16,Paramètres!$A$1:$I$89,3,0)*0.475*44/12</f>
        <v>3.047977091103845E-4</v>
      </c>
      <c r="FT174" s="22">
        <f t="shared" si="184"/>
        <v>85.000351618047603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1.1368683772161603E-12</v>
      </c>
      <c r="O175" s="13">
        <f>N175*VLOOKUP('Données projet'!$B$9,Paramètres!$A$1:$I$89,3,0)*VLOOKUP('Données projet'!$B$9,Paramètres!$A$1:$I$89,5,0)</f>
        <v>5.3205440053716299E-13</v>
      </c>
      <c r="P175" s="13">
        <f t="shared" si="141"/>
        <v>6.579711042921201E-12</v>
      </c>
      <c r="Q175" s="20">
        <f t="shared" si="162"/>
        <v>1.2386324814023317E-11</v>
      </c>
      <c r="R175" s="59">
        <f t="shared" si="109"/>
        <v>293.33333333334571</v>
      </c>
      <c r="S175" s="59">
        <f ca="1">AVERAGE(OFFSET($R$3,0,0,'Données projet'!$E$9+1,1))-AVERAGE(OFFSET($H$3,0,0,'Données projet'!$E$9+1,1))</f>
        <v>164.93438869099657</v>
      </c>
      <c r="T175" s="59">
        <f t="shared" si="142"/>
        <v>112.28641356594233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64.724513947383585</v>
      </c>
      <c r="AA175" s="21">
        <f>EXP(-LN(2)/25)*AA174+(1-EXP(-LN(2)/25))/(LN(2)/25)*Calculateur!V175*Calculateur!X175*VLOOKUP('Données projet'!$B$9,Paramètres!$A$1:$I$89,3,0)*0.475*44/12</f>
        <v>11.170266884293186</v>
      </c>
      <c r="AB175" s="21">
        <f>EXP(-LN(2)/2)*AB174+(1-EXP(-LN(2)/2))/(LN(2)/2)*V175*Y175*VLOOKUP('Données projet'!$B$9,Paramètres!$A$1:$I$89,3,0)*0.475*44/12</f>
        <v>1.2552452809471006E-5</v>
      </c>
      <c r="AC175" s="22">
        <f t="shared" si="163"/>
        <v>75.894793384129585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273.81843612193632</v>
      </c>
      <c r="AO175" s="59">
        <f t="shared" si="144"/>
        <v>241.86405419073208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-6.3550942286383367E-14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271.42245454555501</v>
      </c>
      <c r="BJ175" s="59">
        <f t="shared" si="146"/>
        <v>362.63944425429077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22.339272306939581</v>
      </c>
      <c r="BQ175" s="21">
        <f>EXP(-LN(2)/25)*BQ174+(1-EXP(-LN(2)/25))/(LN(2)/25)*Calculateur!BL175*Calculateur!BN175*VLOOKUP('Données projet'!$B$11,Paramètres!$A$1:$I$89,3,0)*0.475*44/12</f>
        <v>2.2472946025000078</v>
      </c>
      <c r="BR175" s="21">
        <f>EXP(-LN(2)/2)*BR174+(1-EXP(-LN(2)/2))/(LN(2)/2)*BL175*BO175*VLOOKUP('Données projet'!$B$11,Paramètres!$A$1:$I$89,3,0)*0.475*44/12</f>
        <v>8.3806884055720067E-17</v>
      </c>
      <c r="BS175" s="22">
        <f t="shared" si="169"/>
        <v>24.58656690943959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-3.1036506698001178E-14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154.35821558431712</v>
      </c>
      <c r="CE175" s="59">
        <f t="shared" si="148"/>
        <v>263.86720460501306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4.9385895883081687</v>
      </c>
      <c r="CL175" s="21">
        <f>EXP(-LN(2)/25)*CL174+(1-EXP(-LN(2)/25))/(LN(2)/25)*Calculateur!CG175*Calculateur!CI175*VLOOKUP('Données projet'!$B$12,Paramètres!$A$1:$I$89,3,0)*0.475*44/12</f>
        <v>3.8586293812404358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8.7972189695486041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213</v>
      </c>
      <c r="CU175" s="17">
        <f>CT175*VLOOKUP('Données projet'!$B$13,Paramètres!$A$1:$I$89,3,0)*VLOOKUP('Données projet'!$B$13,Paramètres!$A$1:$I$89,5,0)</f>
        <v>169.46279999999999</v>
      </c>
      <c r="CV175" s="13">
        <f t="shared" si="173"/>
        <v>42.969686502194378</v>
      </c>
      <c r="CW175" s="20">
        <f t="shared" si="174"/>
        <v>369.9865806579885</v>
      </c>
      <c r="CX175" s="59">
        <f t="shared" si="122"/>
        <v>663.31991399132176</v>
      </c>
      <c r="CY175" s="59">
        <f ca="1">AVERAGE(OFFSET($CX$3,0,0,'Données projet'!$E$13+1,1))-AVERAGE(OFFSET($H$3,0,0,'Données projet'!$E$13+1,1))</f>
        <v>157.25319335691853</v>
      </c>
      <c r="CZ175" s="59">
        <f t="shared" si="150"/>
        <v>159.50903492442171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1.8240076673610219</v>
      </c>
      <c r="DG175" s="21">
        <f>EXP(-LN(2)/25)*DG174+(1-EXP(-LN(2)/25))/(LN(2)/25)*Calculateur!DB175*Calculateur!DD175*VLOOKUP('Données projet'!$B$13,Paramètres!$A$1:$I$89,3,0)*0.475*44/12</f>
        <v>0.68173109756428296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2.5057387649253049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227.99999999999994</v>
      </c>
      <c r="DP175" s="17">
        <f>DO175*VLOOKUP('Données projet'!$B$14,Paramètres!$A$1:$I$89,3,0)*VLOOKUP('Données projet'!$B$14,Paramètres!$A$1:$I$89,5,0)</f>
        <v>199.18079999999998</v>
      </c>
      <c r="DQ175" s="13">
        <f t="shared" si="176"/>
        <v>49.564089376413683</v>
      </c>
      <c r="DR175" s="20">
        <f t="shared" si="177"/>
        <v>433.23068233058711</v>
      </c>
      <c r="DS175" s="59">
        <f t="shared" si="125"/>
        <v>726.56401566392037</v>
      </c>
      <c r="DT175" s="59">
        <f ca="1">AVERAGE(OFFSET($DS$3,0,0,'Données projet'!$E$14+1,1))-AVERAGE(OFFSET($H$3,0,0,'Données projet'!$E$14+1,1))</f>
        <v>229.5312221178919</v>
      </c>
      <c r="DU175" s="59">
        <f t="shared" si="152"/>
        <v>218.1982095871906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4.5950124672267361</v>
      </c>
      <c r="EB175" s="21">
        <f>EXP(-LN(2)/25)*EB174+(1-EXP(-LN(2)/25))/(LN(2)/25)*Calculateur!DW175*Calculateur!DY175*VLOOKUP('Données projet'!$B$14,Paramètres!$A$1:$I$89,3,0)*0.475*44/12</f>
        <v>1.9755940081689725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6.5706064753957083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-4.5474735088646412E-13</v>
      </c>
      <c r="EK175" s="17">
        <f>EJ175*VLOOKUP('Données projet'!$B$15,Paramètres!$A$1:$I$89,3,0)*VLOOKUP('Données projet'!$B$15,Paramètres!$A$1:$I$89,5,0)</f>
        <v>-4.1145540308207271E-13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204.39656982394689</v>
      </c>
      <c r="EP175" s="59">
        <f t="shared" si="154"/>
        <v>134.95704640904546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114.31584876543448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114.31584876543448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3.4106051316484809E-13</v>
      </c>
      <c r="FF175" s="17">
        <f>FE175*VLOOKUP('Données projet'!$B$16,Paramètres!$A$1:$I$89,3,0)*VLOOKUP('Données projet'!$B$16,Paramètres!$A$1:$I$89,5,0)</f>
        <v>2.9262992029543969E-13</v>
      </c>
      <c r="FG175" s="13">
        <f t="shared" si="182"/>
        <v>3.8796387982050903E-12</v>
      </c>
      <c r="FH175" s="20">
        <f t="shared" si="183"/>
        <v>7.2667013513884219E-12</v>
      </c>
      <c r="FI175" s="59">
        <f t="shared" si="131"/>
        <v>293.33333333334059</v>
      </c>
      <c r="FJ175" s="59">
        <f ca="1">AVERAGE(OFFSET($FI$3,0,0,'Données projet'!$E$16+1,1))-AVERAGE(OFFSET($H$3,0,0,'Données projet'!$E$16+1,1))</f>
        <v>199.60585215726968</v>
      </c>
      <c r="FK175" s="59">
        <f t="shared" si="156"/>
        <v>137.37366750114404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55.270224670378326</v>
      </c>
      <c r="FR175" s="21">
        <f>EXP(-LN(2)/25)*FR174+(1-EXP(-LN(2)/25))/(LN(2)/25)*Calculateur!FM175*Calculateur!FO175*VLOOKUP('Données projet'!$B$16,Paramètres!$A$1:$I$89,3,0)*0.475*44/12</f>
        <v>27.841594929796617</v>
      </c>
      <c r="FS175" s="21">
        <f>EXP(-LN(2)/2)*FS174+(1-EXP(-LN(2)/2))/(LN(2)/2)*FM175*FP175*VLOOKUP('Données projet'!$B$16,Paramètres!$A$1:$I$89,3,0)*0.475*44/12</f>
        <v>2.1552452700207762E-4</v>
      </c>
      <c r="FT175" s="22">
        <f t="shared" si="184"/>
        <v>83.112035124701947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1.1368683772161603E-12</v>
      </c>
      <c r="O176" s="13">
        <f>N176*VLOOKUP('Données projet'!$B$9,Paramètres!$A$1:$I$89,3,0)*VLOOKUP('Données projet'!$B$9,Paramètres!$A$1:$I$89,5,0)</f>
        <v>5.3205440053716299E-13</v>
      </c>
      <c r="P176" s="13">
        <f t="shared" si="141"/>
        <v>6.579711042921201E-12</v>
      </c>
      <c r="Q176" s="20">
        <f t="shared" si="162"/>
        <v>1.2386324814023317E-11</v>
      </c>
      <c r="R176" s="59">
        <f t="shared" si="109"/>
        <v>293.33333333334571</v>
      </c>
      <c r="S176" s="59">
        <f ca="1">AVERAGE(OFFSET($R$3,0,0,'Données projet'!$E$9+1,1))-AVERAGE(OFFSET($H$3,0,0,'Données projet'!$E$9+1,1))</f>
        <v>164.93438869099657</v>
      </c>
      <c r="T176" s="59">
        <f t="shared" si="142"/>
        <v>112.28641356594233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63.455305706930766</v>
      </c>
      <c r="AA176" s="21">
        <f>EXP(-LN(2)/25)*AA175+(1-EXP(-LN(2)/25))/(LN(2)/25)*Calculateur!V176*Calculateur!X176*VLOOKUP('Données projet'!$B$9,Paramètres!$A$1:$I$89,3,0)*0.475*44/12</f>
        <v>10.864815348923383</v>
      </c>
      <c r="AB176" s="21">
        <f>EXP(-LN(2)/2)*AB175+(1-EXP(-LN(2)/2))/(LN(2)/2)*V176*Y176*VLOOKUP('Données projet'!$B$9,Paramètres!$A$1:$I$89,3,0)*0.475*44/12</f>
        <v>8.8759245021010783E-6</v>
      </c>
      <c r="AC176" s="22">
        <f t="shared" si="163"/>
        <v>74.320129931778652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273.81843612193632</v>
      </c>
      <c r="AO176" s="59">
        <f t="shared" si="144"/>
        <v>241.86405419073208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-6.3550942286383367E-14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271.42245454555501</v>
      </c>
      <c r="BJ176" s="59">
        <f t="shared" si="146"/>
        <v>362.63944425429077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21.901212802611184</v>
      </c>
      <c r="BQ176" s="21">
        <f>EXP(-LN(2)/25)*BQ175+(1-EXP(-LN(2)/25))/(LN(2)/25)*Calculateur!BL176*Calculateur!BN176*VLOOKUP('Données projet'!$B$11,Paramètres!$A$1:$I$89,3,0)*0.475*44/12</f>
        <v>2.1858422134145581</v>
      </c>
      <c r="BR176" s="21">
        <f>EXP(-LN(2)/2)*BR175+(1-EXP(-LN(2)/2))/(LN(2)/2)*BL176*BO176*VLOOKUP('Données projet'!$B$11,Paramètres!$A$1:$I$89,3,0)*0.475*44/12</f>
        <v>5.9260416025914408E-17</v>
      </c>
      <c r="BS176" s="22">
        <f t="shared" si="169"/>
        <v>24.087055016025744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-3.1036506698001178E-14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154.35821558431712</v>
      </c>
      <c r="CE176" s="59">
        <f t="shared" si="148"/>
        <v>263.86720460501306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4.8417468587236598</v>
      </c>
      <c r="CL176" s="21">
        <f>EXP(-LN(2)/25)*CL175+(1-EXP(-LN(2)/25))/(LN(2)/25)*Calculateur!CG176*Calculateur!CI176*VLOOKUP('Données projet'!$B$12,Paramètres!$A$1:$I$89,3,0)*0.475*44/12</f>
        <v>3.7531149578939158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8.5948618166175752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213</v>
      </c>
      <c r="CU176" s="17">
        <f>CT176*VLOOKUP('Données projet'!$B$13,Paramètres!$A$1:$I$89,3,0)*VLOOKUP('Données projet'!$B$13,Paramètres!$A$1:$I$89,5,0)</f>
        <v>169.46279999999999</v>
      </c>
      <c r="CV176" s="13">
        <f t="shared" si="173"/>
        <v>42.969686502194378</v>
      </c>
      <c r="CW176" s="20">
        <f t="shared" si="174"/>
        <v>369.9865806579885</v>
      </c>
      <c r="CX176" s="59">
        <f t="shared" si="122"/>
        <v>663.31991399132176</v>
      </c>
      <c r="CY176" s="59">
        <f ca="1">AVERAGE(OFFSET($CX$3,0,0,'Données projet'!$E$13+1,1))-AVERAGE(OFFSET($H$3,0,0,'Données projet'!$E$13+1,1))</f>
        <v>157.25319335691853</v>
      </c>
      <c r="CZ176" s="59">
        <f t="shared" si="150"/>
        <v>159.50903492442171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1.7882399895388956</v>
      </c>
      <c r="DG176" s="21">
        <f>EXP(-LN(2)/25)*DG175+(1-EXP(-LN(2)/25))/(LN(2)/25)*Calculateur!DB176*Calculateur!DD176*VLOOKUP('Données projet'!$B$13,Paramètres!$A$1:$I$89,3,0)*0.475*44/12</f>
        <v>0.66308912485070737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2.451329114389603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227.99999999999994</v>
      </c>
      <c r="DP176" s="17">
        <f>DO176*VLOOKUP('Données projet'!$B$14,Paramètres!$A$1:$I$89,3,0)*VLOOKUP('Données projet'!$B$14,Paramètres!$A$1:$I$89,5,0)</f>
        <v>199.18079999999998</v>
      </c>
      <c r="DQ176" s="13">
        <f t="shared" si="176"/>
        <v>49.564089376413683</v>
      </c>
      <c r="DR176" s="20">
        <f t="shared" si="177"/>
        <v>433.23068233058711</v>
      </c>
      <c r="DS176" s="59">
        <f t="shared" si="125"/>
        <v>726.56401566392037</v>
      </c>
      <c r="DT176" s="59">
        <f ca="1">AVERAGE(OFFSET($DS$3,0,0,'Données projet'!$E$14+1,1))-AVERAGE(OFFSET($H$3,0,0,'Données projet'!$E$14+1,1))</f>
        <v>229.5312221178919</v>
      </c>
      <c r="DU176" s="59">
        <f t="shared" si="152"/>
        <v>218.1982095871906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4.5049070754252831</v>
      </c>
      <c r="EB176" s="21">
        <f>EXP(-LN(2)/25)*EB175+(1-EXP(-LN(2)/25))/(LN(2)/25)*Calculateur!DW176*Calculateur!DY176*VLOOKUP('Données projet'!$B$14,Paramètres!$A$1:$I$89,3,0)*0.475*44/12</f>
        <v>1.9215712861236183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6.4264783615489014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-4.5474735088646412E-13</v>
      </c>
      <c r="EK176" s="17">
        <f>EJ176*VLOOKUP('Données projet'!$B$15,Paramètres!$A$1:$I$89,3,0)*VLOOKUP('Données projet'!$B$15,Paramètres!$A$1:$I$89,5,0)</f>
        <v>-4.1145540308207271E-13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204.39656982394689</v>
      </c>
      <c r="EP176" s="59">
        <f t="shared" si="154"/>
        <v>134.95704640904546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112.0741846969272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112.0741846969272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3.4106051316484809E-13</v>
      </c>
      <c r="FF176" s="17">
        <f>FE176*VLOOKUP('Données projet'!$B$16,Paramètres!$A$1:$I$89,3,0)*VLOOKUP('Données projet'!$B$16,Paramètres!$A$1:$I$89,5,0)</f>
        <v>2.9262992029543969E-13</v>
      </c>
      <c r="FG176" s="13">
        <f t="shared" si="182"/>
        <v>3.8796387982050903E-12</v>
      </c>
      <c r="FH176" s="20">
        <f t="shared" si="183"/>
        <v>7.2667013513884219E-12</v>
      </c>
      <c r="FI176" s="59">
        <f t="shared" si="131"/>
        <v>293.33333333334059</v>
      </c>
      <c r="FJ176" s="59">
        <f ca="1">AVERAGE(OFFSET($FI$3,0,0,'Données projet'!$E$16+1,1))-AVERAGE(OFFSET($H$3,0,0,'Données projet'!$E$16+1,1))</f>
        <v>199.60585215726968</v>
      </c>
      <c r="FK176" s="59">
        <f t="shared" si="156"/>
        <v>137.37366750114404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54.18640927610052</v>
      </c>
      <c r="FR176" s="21">
        <f>EXP(-LN(2)/25)*FR175+(1-EXP(-LN(2)/25))/(LN(2)/25)*Calculateur!FM176*Calculateur!FO176*VLOOKUP('Données projet'!$B$16,Paramètres!$A$1:$I$89,3,0)*0.475*44/12</f>
        <v>27.080265052315482</v>
      </c>
      <c r="FS176" s="21">
        <f>EXP(-LN(2)/2)*FS175+(1-EXP(-LN(2)/2))/(LN(2)/2)*FM176*FP176*VLOOKUP('Données projet'!$B$16,Paramètres!$A$1:$I$89,3,0)*0.475*44/12</f>
        <v>1.5239885455519225E-4</v>
      </c>
      <c r="FT176" s="22">
        <f t="shared" si="184"/>
        <v>81.266826727270555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1.1368683772161603E-12</v>
      </c>
      <c r="O177" s="13">
        <f>N177*VLOOKUP('Données projet'!$B$9,Paramètres!$A$1:$I$89,3,0)*VLOOKUP('Données projet'!$B$9,Paramètres!$A$1:$I$89,5,0)</f>
        <v>5.3205440053716299E-13</v>
      </c>
      <c r="P177" s="13">
        <f t="shared" si="141"/>
        <v>6.579711042921201E-12</v>
      </c>
      <c r="Q177" s="20">
        <f t="shared" si="162"/>
        <v>1.2386324814023317E-11</v>
      </c>
      <c r="R177" s="59">
        <f t="shared" si="109"/>
        <v>293.33333333334571</v>
      </c>
      <c r="S177" s="59">
        <f ca="1">AVERAGE(OFFSET($R$3,0,0,'Données projet'!$E$9+1,1))-AVERAGE(OFFSET($H$3,0,0,'Données projet'!$E$9+1,1))</f>
        <v>164.93438869099657</v>
      </c>
      <c r="T177" s="59">
        <f t="shared" si="142"/>
        <v>112.28641356594233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62.210985865932642</v>
      </c>
      <c r="AA177" s="21">
        <f>EXP(-LN(2)/25)*AA176+(1-EXP(-LN(2)/25))/(LN(2)/25)*Calculateur!V177*Calculateur!X177*VLOOKUP('Données projet'!$B$9,Paramètres!$A$1:$I$89,3,0)*0.475*44/12</f>
        <v>10.567716401851266</v>
      </c>
      <c r="AB177" s="21">
        <f>EXP(-LN(2)/2)*AB176+(1-EXP(-LN(2)/2))/(LN(2)/2)*V177*Y177*VLOOKUP('Données projet'!$B$9,Paramètres!$A$1:$I$89,3,0)*0.475*44/12</f>
        <v>6.2762264047355031E-6</v>
      </c>
      <c r="AC177" s="22">
        <f t="shared" si="163"/>
        <v>72.778708544010314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273.81843612193632</v>
      </c>
      <c r="AO177" s="59">
        <f t="shared" si="144"/>
        <v>241.86405419073208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-6.3550942286383367E-14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271.42245454555501</v>
      </c>
      <c r="BJ177" s="59">
        <f t="shared" si="146"/>
        <v>362.63944425429077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21.471743377972754</v>
      </c>
      <c r="BQ177" s="21">
        <f>EXP(-LN(2)/25)*BQ176+(1-EXP(-LN(2)/25))/(LN(2)/25)*Calculateur!BL177*Calculateur!BN177*VLOOKUP('Données projet'!$B$11,Paramètres!$A$1:$I$89,3,0)*0.475*44/12</f>
        <v>2.1260702431402909</v>
      </c>
      <c r="BR177" s="21">
        <f>EXP(-LN(2)/2)*BR176+(1-EXP(-LN(2)/2))/(LN(2)/2)*BL177*BO177*VLOOKUP('Données projet'!$B$11,Paramètres!$A$1:$I$89,3,0)*0.475*44/12</f>
        <v>4.1903442027860034E-17</v>
      </c>
      <c r="BS177" s="22">
        <f t="shared" si="169"/>
        <v>23.597813621113044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-3.1036506698001178E-14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154.35821558431712</v>
      </c>
      <c r="CE177" s="59">
        <f t="shared" si="148"/>
        <v>263.86720460501306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4.7468031559980712</v>
      </c>
      <c r="CL177" s="21">
        <f>EXP(-LN(2)/25)*CL176+(1-EXP(-LN(2)/25))/(LN(2)/25)*Calculateur!CG177*Calculateur!CI177*VLOOKUP('Données projet'!$B$12,Paramètres!$A$1:$I$89,3,0)*0.475*44/12</f>
        <v>3.6504858320025688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8.3972889880006392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213</v>
      </c>
      <c r="CU177" s="17">
        <f>CT177*VLOOKUP('Données projet'!$B$13,Paramètres!$A$1:$I$89,3,0)*VLOOKUP('Données projet'!$B$13,Paramètres!$A$1:$I$89,5,0)</f>
        <v>169.46279999999999</v>
      </c>
      <c r="CV177" s="13">
        <f t="shared" si="173"/>
        <v>42.969686502194378</v>
      </c>
      <c r="CW177" s="20">
        <f t="shared" si="174"/>
        <v>369.9865806579885</v>
      </c>
      <c r="CX177" s="59">
        <f t="shared" si="122"/>
        <v>663.31991399132176</v>
      </c>
      <c r="CY177" s="59">
        <f ca="1">AVERAGE(OFFSET($CX$3,0,0,'Données projet'!$E$13+1,1))-AVERAGE(OFFSET($H$3,0,0,'Données projet'!$E$13+1,1))</f>
        <v>157.25319335691853</v>
      </c>
      <c r="CZ177" s="59">
        <f t="shared" si="150"/>
        <v>159.50903492442171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1.753173694062732</v>
      </c>
      <c r="DG177" s="21">
        <f>EXP(-LN(2)/25)*DG176+(1-EXP(-LN(2)/25))/(LN(2)/25)*Calculateur!DB177*Calculateur!DD177*VLOOKUP('Données projet'!$B$13,Paramètres!$A$1:$I$89,3,0)*0.475*44/12</f>
        <v>0.64495691786132325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2.3981306119240555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227.99999999999994</v>
      </c>
      <c r="DP177" s="17">
        <f>DO177*VLOOKUP('Données projet'!$B$14,Paramètres!$A$1:$I$89,3,0)*VLOOKUP('Données projet'!$B$14,Paramètres!$A$1:$I$89,5,0)</f>
        <v>199.18079999999998</v>
      </c>
      <c r="DQ177" s="13">
        <f t="shared" si="176"/>
        <v>49.564089376413683</v>
      </c>
      <c r="DR177" s="20">
        <f t="shared" si="177"/>
        <v>433.23068233058711</v>
      </c>
      <c r="DS177" s="59">
        <f t="shared" si="125"/>
        <v>726.56401566392037</v>
      </c>
      <c r="DT177" s="59">
        <f ca="1">AVERAGE(OFFSET($DS$3,0,0,'Données projet'!$E$14+1,1))-AVERAGE(OFFSET($H$3,0,0,'Données projet'!$E$14+1,1))</f>
        <v>229.5312221178919</v>
      </c>
      <c r="DU177" s="59">
        <f t="shared" si="152"/>
        <v>218.1982095871906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4.4165685953981946</v>
      </c>
      <c r="EB177" s="21">
        <f>EXP(-LN(2)/25)*EB176+(1-EXP(-LN(2)/25))/(LN(2)/25)*Calculateur!DW177*Calculateur!DY177*VLOOKUP('Données projet'!$B$14,Paramètres!$A$1:$I$89,3,0)*0.475*44/12</f>
        <v>1.8690258182535258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6.2855944136517206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-4.5474735088646412E-13</v>
      </c>
      <c r="EK177" s="17">
        <f>EJ177*VLOOKUP('Données projet'!$B$15,Paramètres!$A$1:$I$89,3,0)*VLOOKUP('Données projet'!$B$15,Paramètres!$A$1:$I$89,5,0)</f>
        <v>-4.1145540308207271E-13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204.39656982394689</v>
      </c>
      <c r="EP177" s="59">
        <f t="shared" si="154"/>
        <v>134.95704640904546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109.87647829352329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109.87647829352329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3.4106051316484809E-13</v>
      </c>
      <c r="FF177" s="17">
        <f>FE177*VLOOKUP('Données projet'!$B$16,Paramètres!$A$1:$I$89,3,0)*VLOOKUP('Données projet'!$B$16,Paramètres!$A$1:$I$89,5,0)</f>
        <v>2.9262992029543969E-13</v>
      </c>
      <c r="FG177" s="13">
        <f t="shared" si="182"/>
        <v>3.8796387982050903E-12</v>
      </c>
      <c r="FH177" s="20">
        <f t="shared" si="183"/>
        <v>7.2667013513884219E-12</v>
      </c>
      <c r="FI177" s="59">
        <f t="shared" si="131"/>
        <v>293.33333333334059</v>
      </c>
      <c r="FJ177" s="59">
        <f ca="1">AVERAGE(OFFSET($FI$3,0,0,'Données projet'!$E$16+1,1))-AVERAGE(OFFSET($H$3,0,0,'Données projet'!$E$16+1,1))</f>
        <v>199.60585215726968</v>
      </c>
      <c r="FK177" s="59">
        <f t="shared" si="156"/>
        <v>137.37366750114404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53.123846840642386</v>
      </c>
      <c r="FR177" s="21">
        <f>EXP(-LN(2)/25)*FR176+(1-EXP(-LN(2)/25))/(LN(2)/25)*Calculateur!FM177*Calculateur!FO177*VLOOKUP('Données projet'!$B$16,Paramètres!$A$1:$I$89,3,0)*0.475*44/12</f>
        <v>26.339753780370668</v>
      </c>
      <c r="FS177" s="21">
        <f>EXP(-LN(2)/2)*FS176+(1-EXP(-LN(2)/2))/(LN(2)/2)*FM177*FP177*VLOOKUP('Données projet'!$B$16,Paramètres!$A$1:$I$89,3,0)*0.475*44/12</f>
        <v>1.0776226350103881E-4</v>
      </c>
      <c r="FT177" s="22">
        <f t="shared" si="184"/>
        <v>79.463708383276554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1.1368683772161603E-12</v>
      </c>
      <c r="O178" s="13">
        <f>N178*VLOOKUP('Données projet'!$B$9,Paramètres!$A$1:$I$89,3,0)*VLOOKUP('Données projet'!$B$9,Paramètres!$A$1:$I$89,5,0)</f>
        <v>5.3205440053716299E-13</v>
      </c>
      <c r="P178" s="13">
        <f t="shared" si="141"/>
        <v>6.579711042921201E-12</v>
      </c>
      <c r="Q178" s="20">
        <f t="shared" si="162"/>
        <v>1.2386324814023317E-11</v>
      </c>
      <c r="R178" s="59">
        <f t="shared" si="109"/>
        <v>293.33333333334571</v>
      </c>
      <c r="S178" s="59">
        <f ca="1">AVERAGE(OFFSET($R$3,0,0,'Données projet'!$E$9+1,1))-AVERAGE(OFFSET($H$3,0,0,'Données projet'!$E$9+1,1))</f>
        <v>164.93438869099657</v>
      </c>
      <c r="T178" s="59">
        <f t="shared" si="142"/>
        <v>112.28641356594233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60.991066378056331</v>
      </c>
      <c r="AA178" s="21">
        <f>EXP(-LN(2)/25)*AA177+(1-EXP(-LN(2)/25))/(LN(2)/25)*Calculateur!V178*Calculateur!X178*VLOOKUP('Données projet'!$B$9,Paramètres!$A$1:$I$89,3,0)*0.475*44/12</f>
        <v>10.278741641110591</v>
      </c>
      <c r="AB178" s="21">
        <f>EXP(-LN(2)/2)*AB177+(1-EXP(-LN(2)/2))/(LN(2)/2)*V178*Y178*VLOOKUP('Données projet'!$B$9,Paramètres!$A$1:$I$89,3,0)*0.475*44/12</f>
        <v>4.4379622510505391E-6</v>
      </c>
      <c r="AC178" s="22">
        <f t="shared" si="163"/>
        <v>71.269812457129163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273.81843612193632</v>
      </c>
      <c r="AO178" s="59">
        <f t="shared" si="144"/>
        <v>241.86405419073208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-6.3550942286383367E-14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271.42245454555501</v>
      </c>
      <c r="BJ178" s="59">
        <f t="shared" si="146"/>
        <v>362.63944425429077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21.050695586800998</v>
      </c>
      <c r="BQ178" s="21">
        <f>EXP(-LN(2)/25)*BQ177+(1-EXP(-LN(2)/25))/(LN(2)/25)*Calculateur!BL178*Calculateur!BN178*VLOOKUP('Données projet'!$B$11,Paramètres!$A$1:$I$89,3,0)*0.475*44/12</f>
        <v>2.0679327405364449</v>
      </c>
      <c r="BR178" s="21">
        <f>EXP(-LN(2)/2)*BR177+(1-EXP(-LN(2)/2))/(LN(2)/2)*BL178*BO178*VLOOKUP('Données projet'!$B$11,Paramètres!$A$1:$I$89,3,0)*0.475*44/12</f>
        <v>2.9630208012957204E-17</v>
      </c>
      <c r="BS178" s="22">
        <f t="shared" si="169"/>
        <v>23.118628327337444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-3.1036506698001178E-14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154.35821558431712</v>
      </c>
      <c r="CE178" s="59">
        <f t="shared" si="148"/>
        <v>263.86720460501306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4.6537212413729909</v>
      </c>
      <c r="CL178" s="21">
        <f>EXP(-LN(2)/25)*CL177+(1-EXP(-LN(2)/25))/(LN(2)/25)*Calculateur!CG178*Calculateur!CI178*VLOOKUP('Données projet'!$B$12,Paramètres!$A$1:$I$89,3,0)*0.475*44/12</f>
        <v>3.5506631049557518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8.2043843463287427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213</v>
      </c>
      <c r="CU178" s="17">
        <f>CT178*VLOOKUP('Données projet'!$B$13,Paramètres!$A$1:$I$89,3,0)*VLOOKUP('Données projet'!$B$13,Paramètres!$A$1:$I$89,5,0)</f>
        <v>169.46279999999999</v>
      </c>
      <c r="CV178" s="13">
        <f t="shared" si="173"/>
        <v>42.969686502194378</v>
      </c>
      <c r="CW178" s="20">
        <f t="shared" si="174"/>
        <v>369.9865806579885</v>
      </c>
      <c r="CX178" s="59">
        <f t="shared" si="122"/>
        <v>663.31991399132176</v>
      </c>
      <c r="CY178" s="59">
        <f ca="1">AVERAGE(OFFSET($CX$3,0,0,'Données projet'!$E$13+1,1))-AVERAGE(OFFSET($H$3,0,0,'Données projet'!$E$13+1,1))</f>
        <v>157.25319335691853</v>
      </c>
      <c r="CZ178" s="59">
        <f t="shared" si="150"/>
        <v>159.50903492442171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1.7187950272525276</v>
      </c>
      <c r="DG178" s="21">
        <f>EXP(-LN(2)/25)*DG177+(1-EXP(-LN(2)/25))/(LN(2)/25)*Calculateur!DB178*Calculateur!DD178*VLOOKUP('Données projet'!$B$13,Paramètres!$A$1:$I$89,3,0)*0.475*44/12</f>
        <v>0.62732053702559509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2.3461155642781226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227.99999999999994</v>
      </c>
      <c r="DP178" s="17">
        <f>DO178*VLOOKUP('Données projet'!$B$14,Paramètres!$A$1:$I$89,3,0)*VLOOKUP('Données projet'!$B$14,Paramètres!$A$1:$I$89,5,0)</f>
        <v>199.18079999999998</v>
      </c>
      <c r="DQ178" s="13">
        <f t="shared" si="176"/>
        <v>49.564089376413683</v>
      </c>
      <c r="DR178" s="20">
        <f t="shared" si="177"/>
        <v>433.23068233058711</v>
      </c>
      <c r="DS178" s="59">
        <f t="shared" si="125"/>
        <v>726.56401566392037</v>
      </c>
      <c r="DT178" s="59">
        <f ca="1">AVERAGE(OFFSET($DS$3,0,0,'Données projet'!$E$14+1,1))-AVERAGE(OFFSET($H$3,0,0,'Données projet'!$E$14+1,1))</f>
        <v>229.5312221178919</v>
      </c>
      <c r="DU178" s="59">
        <f t="shared" si="152"/>
        <v>218.1982095871906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4.3299623790832849</v>
      </c>
      <c r="EB178" s="21">
        <f>EXP(-LN(2)/25)*EB177+(1-EXP(-LN(2)/25))/(LN(2)/25)*Calculateur!DW178*Calculateur!DY178*VLOOKUP('Données projet'!$B$14,Paramètres!$A$1:$I$89,3,0)*0.475*44/12</f>
        <v>1.8179172089655871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6.1478795880488715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-4.5474735088646412E-13</v>
      </c>
      <c r="EK178" s="17">
        <f>EJ178*VLOOKUP('Données projet'!$B$15,Paramètres!$A$1:$I$89,3,0)*VLOOKUP('Données projet'!$B$15,Paramètres!$A$1:$I$89,5,0)</f>
        <v>-4.1145540308207271E-13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204.39656982394689</v>
      </c>
      <c r="EP178" s="59">
        <f t="shared" si="154"/>
        <v>134.95704640904546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107.72186757222158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107.72186757222158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3.4106051316484809E-13</v>
      </c>
      <c r="FF178" s="17">
        <f>FE178*VLOOKUP('Données projet'!$B$16,Paramètres!$A$1:$I$89,3,0)*VLOOKUP('Données projet'!$B$16,Paramètres!$A$1:$I$89,5,0)</f>
        <v>2.9262992029543969E-13</v>
      </c>
      <c r="FG178" s="13">
        <f t="shared" si="182"/>
        <v>3.8796387982050903E-12</v>
      </c>
      <c r="FH178" s="20">
        <f t="shared" si="183"/>
        <v>7.2667013513884219E-12</v>
      </c>
      <c r="FI178" s="59">
        <f t="shared" si="131"/>
        <v>293.33333333334059</v>
      </c>
      <c r="FJ178" s="59">
        <f ca="1">AVERAGE(OFFSET($FI$3,0,0,'Données projet'!$E$16+1,1))-AVERAGE(OFFSET($H$3,0,0,'Données projet'!$E$16+1,1))</f>
        <v>199.60585215726968</v>
      </c>
      <c r="FK178" s="59">
        <f t="shared" si="156"/>
        <v>137.37366750114404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52.082120606444498</v>
      </c>
      <c r="FR178" s="21">
        <f>EXP(-LN(2)/25)*FR177+(1-EXP(-LN(2)/25))/(LN(2)/25)*Calculateur!FM178*Calculateur!FO178*VLOOKUP('Données projet'!$B$16,Paramètres!$A$1:$I$89,3,0)*0.475*44/12</f>
        <v>25.61949182809898</v>
      </c>
      <c r="FS178" s="21">
        <f>EXP(-LN(2)/2)*FS177+(1-EXP(-LN(2)/2))/(LN(2)/2)*FM178*FP178*VLOOKUP('Données projet'!$B$16,Paramètres!$A$1:$I$89,3,0)*0.475*44/12</f>
        <v>7.6199427277596124E-5</v>
      </c>
      <c r="FT178" s="22">
        <f t="shared" si="184"/>
        <v>77.701688633970761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1.1368683772161603E-12</v>
      </c>
      <c r="O179" s="13">
        <f>N179*VLOOKUP('Données projet'!$B$9,Paramètres!$A$1:$I$89,3,0)*VLOOKUP('Données projet'!$B$9,Paramètres!$A$1:$I$89,5,0)</f>
        <v>5.3205440053716299E-13</v>
      </c>
      <c r="P179" s="13">
        <f t="shared" si="141"/>
        <v>6.579711042921201E-12</v>
      </c>
      <c r="Q179" s="20">
        <f t="shared" si="162"/>
        <v>1.2386324814023317E-11</v>
      </c>
      <c r="R179" s="59">
        <f t="shared" si="109"/>
        <v>293.33333333334571</v>
      </c>
      <c r="S179" s="59">
        <f ca="1">AVERAGE(OFFSET($R$3,0,0,'Données projet'!$E$9+1,1))-AVERAGE(OFFSET($H$3,0,0,'Données projet'!$E$9+1,1))</f>
        <v>164.93438869099657</v>
      </c>
      <c r="T179" s="59">
        <f t="shared" si="142"/>
        <v>112.28641356594233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59.795068767259856</v>
      </c>
      <c r="AA179" s="21">
        <f>EXP(-LN(2)/25)*AA178+(1-EXP(-LN(2)/25))/(LN(2)/25)*Calculateur!V179*Calculateur!X179*VLOOKUP('Données projet'!$B$9,Paramètres!$A$1:$I$89,3,0)*0.475*44/12</f>
        <v>9.9976689103988914</v>
      </c>
      <c r="AB179" s="21">
        <f>EXP(-LN(2)/2)*AB178+(1-EXP(-LN(2)/2))/(LN(2)/2)*V179*Y179*VLOOKUP('Données projet'!$B$9,Paramètres!$A$1:$I$89,3,0)*0.475*44/12</f>
        <v>3.1381132023677515E-6</v>
      </c>
      <c r="AC179" s="22">
        <f t="shared" si="163"/>
        <v>69.79274081577195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273.81843612193632</v>
      </c>
      <c r="AO179" s="59">
        <f t="shared" si="144"/>
        <v>241.86405419073208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-6.3550942286383367E-14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271.42245454555501</v>
      </c>
      <c r="BJ179" s="59">
        <f t="shared" si="146"/>
        <v>362.63944425429077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20.637904286000328</v>
      </c>
      <c r="BQ179" s="21">
        <f>EXP(-LN(2)/25)*BQ178+(1-EXP(-LN(2)/25))/(LN(2)/25)*Calculateur!BL179*Calculateur!BN179*VLOOKUP('Données projet'!$B$11,Paramètres!$A$1:$I$89,3,0)*0.475*44/12</f>
        <v>2.0113850109986195</v>
      </c>
      <c r="BR179" s="21">
        <f>EXP(-LN(2)/2)*BR178+(1-EXP(-LN(2)/2))/(LN(2)/2)*BL179*BO179*VLOOKUP('Données projet'!$B$11,Paramètres!$A$1:$I$89,3,0)*0.475*44/12</f>
        <v>2.0951721013930017E-17</v>
      </c>
      <c r="BS179" s="22">
        <f t="shared" si="169"/>
        <v>22.649289296998948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-3.1036506698001178E-14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154.35821558431712</v>
      </c>
      <c r="CE179" s="59">
        <f t="shared" si="148"/>
        <v>263.86720460501306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4.5624646063193461</v>
      </c>
      <c r="CL179" s="21">
        <f>EXP(-LN(2)/25)*CL178+(1-EXP(-LN(2)/25))/(LN(2)/25)*Calculateur!CG179*Calculateur!CI179*VLOOKUP('Données projet'!$B$12,Paramètres!$A$1:$I$89,3,0)*0.475*44/12</f>
        <v>3.4535700356294794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8.016034641948826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213</v>
      </c>
      <c r="CU179" s="17">
        <f>CT179*VLOOKUP('Données projet'!$B$13,Paramètres!$A$1:$I$89,3,0)*VLOOKUP('Données projet'!$B$13,Paramètres!$A$1:$I$89,5,0)</f>
        <v>169.46279999999999</v>
      </c>
      <c r="CV179" s="13">
        <f t="shared" si="173"/>
        <v>42.969686502194378</v>
      </c>
      <c r="CW179" s="20">
        <f t="shared" si="174"/>
        <v>369.9865806579885</v>
      </c>
      <c r="CX179" s="59">
        <f t="shared" si="122"/>
        <v>663.31991399132176</v>
      </c>
      <c r="CY179" s="59">
        <f ca="1">AVERAGE(OFFSET($CX$3,0,0,'Données projet'!$E$13+1,1))-AVERAGE(OFFSET($H$3,0,0,'Données projet'!$E$13+1,1))</f>
        <v>157.25319335691853</v>
      </c>
      <c r="CZ179" s="59">
        <f t="shared" si="150"/>
        <v>159.50903492442171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1.685090505129555</v>
      </c>
      <c r="DG179" s="21">
        <f>EXP(-LN(2)/25)*DG178+(1-EXP(-LN(2)/25))/(LN(2)/25)*Calculateur!DB179*Calculateur!DD179*VLOOKUP('Données projet'!$B$13,Paramètres!$A$1:$I$89,3,0)*0.475*44/12</f>
        <v>0.61016642395127696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2.295256929080832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227.99999999999994</v>
      </c>
      <c r="DP179" s="17">
        <f>DO179*VLOOKUP('Données projet'!$B$14,Paramètres!$A$1:$I$89,3,0)*VLOOKUP('Données projet'!$B$14,Paramètres!$A$1:$I$89,5,0)</f>
        <v>199.18079999999998</v>
      </c>
      <c r="DQ179" s="13">
        <f t="shared" si="176"/>
        <v>49.564089376413683</v>
      </c>
      <c r="DR179" s="20">
        <f t="shared" si="177"/>
        <v>433.23068233058711</v>
      </c>
      <c r="DS179" s="59">
        <f t="shared" si="125"/>
        <v>726.56401566392037</v>
      </c>
      <c r="DT179" s="59">
        <f ca="1">AVERAGE(OFFSET($DS$3,0,0,'Données projet'!$E$14+1,1))-AVERAGE(OFFSET($H$3,0,0,'Données projet'!$E$14+1,1))</f>
        <v>229.5312221178919</v>
      </c>
      <c r="DU179" s="59">
        <f t="shared" si="152"/>
        <v>218.1982095871906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4.2450544578457343</v>
      </c>
      <c r="EB179" s="21">
        <f>EXP(-LN(2)/25)*EB178+(1-EXP(-LN(2)/25))/(LN(2)/25)*Calculateur!DW179*Calculateur!DY179*VLOOKUP('Données projet'!$B$14,Paramètres!$A$1:$I$89,3,0)*0.475*44/12</f>
        <v>1.7682061672863121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6.0132606251320464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-4.5474735088646412E-13</v>
      </c>
      <c r="EK179" s="17">
        <f>EJ179*VLOOKUP('Données projet'!$B$15,Paramètres!$A$1:$I$89,3,0)*VLOOKUP('Données projet'!$B$15,Paramètres!$A$1:$I$89,5,0)</f>
        <v>-4.1145540308207271E-13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204.39656982394689</v>
      </c>
      <c r="EP179" s="59">
        <f t="shared" si="154"/>
        <v>134.95704640904546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105.60950745298182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105.60950745298182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3.4106051316484809E-13</v>
      </c>
      <c r="FF179" s="17">
        <f>FE179*VLOOKUP('Données projet'!$B$16,Paramètres!$A$1:$I$89,3,0)*VLOOKUP('Données projet'!$B$16,Paramètres!$A$1:$I$89,5,0)</f>
        <v>2.9262992029543969E-13</v>
      </c>
      <c r="FG179" s="13">
        <f t="shared" si="182"/>
        <v>3.8796387982050903E-12</v>
      </c>
      <c r="FH179" s="20">
        <f t="shared" si="183"/>
        <v>7.2667013513884219E-12</v>
      </c>
      <c r="FI179" s="59">
        <f t="shared" si="131"/>
        <v>293.33333333334059</v>
      </c>
      <c r="FJ179" s="59">
        <f ca="1">AVERAGE(OFFSET($FI$3,0,0,'Données projet'!$E$16+1,1))-AVERAGE(OFFSET($H$3,0,0,'Données projet'!$E$16+1,1))</f>
        <v>199.60585215726968</v>
      </c>
      <c r="FK179" s="59">
        <f t="shared" si="156"/>
        <v>137.37366750114404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51.060821988308966</v>
      </c>
      <c r="FR179" s="21">
        <f>EXP(-LN(2)/25)*FR178+(1-EXP(-LN(2)/25))/(LN(2)/25)*Calculateur!FM179*Calculateur!FO179*VLOOKUP('Données projet'!$B$16,Paramètres!$A$1:$I$89,3,0)*0.475*44/12</f>
        <v>24.918925476789092</v>
      </c>
      <c r="FS179" s="21">
        <f>EXP(-LN(2)/2)*FS178+(1-EXP(-LN(2)/2))/(LN(2)/2)*FM179*FP179*VLOOKUP('Données projet'!$B$16,Paramètres!$A$1:$I$89,3,0)*0.475*44/12</f>
        <v>5.3881131750519404E-5</v>
      </c>
      <c r="FT179" s="22">
        <f t="shared" si="184"/>
        <v>75.979801346229806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1.1368683772161603E-12</v>
      </c>
      <c r="O180" s="13">
        <f>N180*VLOOKUP('Données projet'!$B$9,Paramètres!$A$1:$I$89,3,0)*VLOOKUP('Données projet'!$B$9,Paramètres!$A$1:$I$89,5,0)</f>
        <v>5.3205440053716299E-13</v>
      </c>
      <c r="P180" s="13">
        <f t="shared" si="141"/>
        <v>6.579711042921201E-12</v>
      </c>
      <c r="Q180" s="20">
        <f t="shared" si="162"/>
        <v>1.2386324814023317E-11</v>
      </c>
      <c r="R180" s="59">
        <f t="shared" si="109"/>
        <v>293.33333333334571</v>
      </c>
      <c r="S180" s="59">
        <f ca="1">AVERAGE(OFFSET($R$3,0,0,'Données projet'!$E$9+1,1))-AVERAGE(OFFSET($H$3,0,0,'Données projet'!$E$9+1,1))</f>
        <v>164.93438869099657</v>
      </c>
      <c r="T180" s="59">
        <f t="shared" si="142"/>
        <v>112.28641356594233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58.622523940124587</v>
      </c>
      <c r="AA180" s="21">
        <f>EXP(-LN(2)/25)*AA179+(1-EXP(-LN(2)/25))/(LN(2)/25)*Calculateur!V180*Calculateur!X180*VLOOKUP('Données projet'!$B$9,Paramètres!$A$1:$I$89,3,0)*0.475*44/12</f>
        <v>9.7242821282894756</v>
      </c>
      <c r="AB180" s="21">
        <f>EXP(-LN(2)/2)*AB179+(1-EXP(-LN(2)/2))/(LN(2)/2)*V180*Y180*VLOOKUP('Données projet'!$B$9,Paramètres!$A$1:$I$89,3,0)*0.475*44/12</f>
        <v>2.2189811255252696E-6</v>
      </c>
      <c r="AC180" s="22">
        <f t="shared" si="163"/>
        <v>68.346808287395191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273.81843612193632</v>
      </c>
      <c r="AO180" s="59">
        <f t="shared" si="144"/>
        <v>241.86405419073208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-6.3550942286383367E-14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271.42245454555501</v>
      </c>
      <c r="BJ180" s="59">
        <f t="shared" si="146"/>
        <v>362.63944425429077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20.233207570830526</v>
      </c>
      <c r="BQ180" s="21">
        <f>EXP(-LN(2)/25)*BQ179+(1-EXP(-LN(2)/25))/(LN(2)/25)*Calculateur!BL180*Calculateur!BN180*VLOOKUP('Données projet'!$B$11,Paramètres!$A$1:$I$89,3,0)*0.475*44/12</f>
        <v>1.9563835820987217</v>
      </c>
      <c r="BR180" s="21">
        <f>EXP(-LN(2)/2)*BR179+(1-EXP(-LN(2)/2))/(LN(2)/2)*BL180*BO180*VLOOKUP('Données projet'!$B$11,Paramètres!$A$1:$I$89,3,0)*0.475*44/12</f>
        <v>1.4815104006478602E-17</v>
      </c>
      <c r="BS180" s="22">
        <f t="shared" si="169"/>
        <v>22.189591152929246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-3.1036506698001178E-14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154.35821558431712</v>
      </c>
      <c r="CE180" s="59">
        <f t="shared" si="148"/>
        <v>263.86720460501306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4.4729974582180523</v>
      </c>
      <c r="CL180" s="21">
        <f>EXP(-LN(2)/25)*CL179+(1-EXP(-LN(2)/25))/(LN(2)/25)*Calculateur!CG180*Calculateur!CI180*VLOOKUP('Données projet'!$B$12,Paramètres!$A$1:$I$89,3,0)*0.475*44/12</f>
        <v>3.3591319813898362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7.832129439607888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213</v>
      </c>
      <c r="CU180" s="17">
        <f>CT180*VLOOKUP('Données projet'!$B$13,Paramètres!$A$1:$I$89,3,0)*VLOOKUP('Données projet'!$B$13,Paramètres!$A$1:$I$89,5,0)</f>
        <v>169.46279999999999</v>
      </c>
      <c r="CV180" s="13">
        <f t="shared" si="173"/>
        <v>42.969686502194378</v>
      </c>
      <c r="CW180" s="20">
        <f t="shared" si="174"/>
        <v>369.9865806579885</v>
      </c>
      <c r="CX180" s="59">
        <f t="shared" si="122"/>
        <v>663.31991399132176</v>
      </c>
      <c r="CY180" s="59">
        <f ca="1">AVERAGE(OFFSET($CX$3,0,0,'Données projet'!$E$13+1,1))-AVERAGE(OFFSET($H$3,0,0,'Données projet'!$E$13+1,1))</f>
        <v>157.25319335691853</v>
      </c>
      <c r="CZ180" s="59">
        <f t="shared" si="150"/>
        <v>159.50903492442171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1.6520469081276854</v>
      </c>
      <c r="DG180" s="21">
        <f>EXP(-LN(2)/25)*DG179+(1-EXP(-LN(2)/25))/(LN(2)/25)*Calculateur!DB180*Calculateur!DD180*VLOOKUP('Données projet'!$B$13,Paramètres!$A$1:$I$89,3,0)*0.475*44/12</f>
        <v>0.59348139100107156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2.2455282991287571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227.99999999999994</v>
      </c>
      <c r="DP180" s="17">
        <f>DO180*VLOOKUP('Données projet'!$B$14,Paramètres!$A$1:$I$89,3,0)*VLOOKUP('Données projet'!$B$14,Paramètres!$A$1:$I$89,5,0)</f>
        <v>199.18079999999998</v>
      </c>
      <c r="DQ180" s="13">
        <f t="shared" si="176"/>
        <v>49.564089376413683</v>
      </c>
      <c r="DR180" s="20">
        <f t="shared" si="177"/>
        <v>433.23068233058711</v>
      </c>
      <c r="DS180" s="59">
        <f t="shared" si="125"/>
        <v>726.56401566392037</v>
      </c>
      <c r="DT180" s="59">
        <f ca="1">AVERAGE(OFFSET($DS$3,0,0,'Données projet'!$E$14+1,1))-AVERAGE(OFFSET($H$3,0,0,'Données projet'!$E$14+1,1))</f>
        <v>229.5312221178919</v>
      </c>
      <c r="DU180" s="59">
        <f t="shared" si="152"/>
        <v>218.1982095871906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4.1618115291549334</v>
      </c>
      <c r="EB180" s="21">
        <f>EXP(-LN(2)/25)*EB179+(1-EXP(-LN(2)/25))/(LN(2)/25)*Calculateur!DW180*Calculateur!DY180*VLOOKUP('Données projet'!$B$14,Paramètres!$A$1:$I$89,3,0)*0.475*44/12</f>
        <v>1.7198544766559469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5.8816660058108798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-4.5474735088646412E-13</v>
      </c>
      <c r="EK180" s="17">
        <f>EJ180*VLOOKUP('Données projet'!$B$15,Paramètres!$A$1:$I$89,3,0)*VLOOKUP('Données projet'!$B$15,Paramètres!$A$1:$I$89,5,0)</f>
        <v>-4.1145540308207271E-13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204.39656982394689</v>
      </c>
      <c r="EP180" s="59">
        <f t="shared" si="154"/>
        <v>134.95704640904546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103.53856942726789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103.53856942726789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3.4106051316484809E-13</v>
      </c>
      <c r="FF180" s="17">
        <f>FE180*VLOOKUP('Données projet'!$B$16,Paramètres!$A$1:$I$89,3,0)*VLOOKUP('Données projet'!$B$16,Paramètres!$A$1:$I$89,5,0)</f>
        <v>2.9262992029543969E-13</v>
      </c>
      <c r="FG180" s="13">
        <f t="shared" si="182"/>
        <v>3.8796387982050903E-12</v>
      </c>
      <c r="FH180" s="20">
        <f t="shared" si="183"/>
        <v>7.2667013513884219E-12</v>
      </c>
      <c r="FI180" s="59">
        <f t="shared" si="131"/>
        <v>293.33333333334059</v>
      </c>
      <c r="FJ180" s="59">
        <f ca="1">AVERAGE(OFFSET($FI$3,0,0,'Données projet'!$E$16+1,1))-AVERAGE(OFFSET($H$3,0,0,'Données projet'!$E$16+1,1))</f>
        <v>199.60585215726968</v>
      </c>
      <c r="FK180" s="59">
        <f t="shared" si="156"/>
        <v>137.37366750114404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50.059550413144422</v>
      </c>
      <c r="FR180" s="21">
        <f>EXP(-LN(2)/25)*FR179+(1-EXP(-LN(2)/25))/(LN(2)/25)*Calculateur!FM180*Calculateur!FO180*VLOOKUP('Données projet'!$B$16,Paramètres!$A$1:$I$89,3,0)*0.475*44/12</f>
        <v>24.237516149196956</v>
      </c>
      <c r="FS180" s="21">
        <f>EXP(-LN(2)/2)*FS179+(1-EXP(-LN(2)/2))/(LN(2)/2)*FM180*FP180*VLOOKUP('Données projet'!$B$16,Paramètres!$A$1:$I$89,3,0)*0.475*44/12</f>
        <v>3.8099713638798062E-5</v>
      </c>
      <c r="FT180" s="22">
        <f t="shared" si="184"/>
        <v>74.297104662055006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1.1368683772161603E-12</v>
      </c>
      <c r="O181" s="13">
        <f>N181*VLOOKUP('Données projet'!$B$9,Paramètres!$A$1:$I$89,3,0)*VLOOKUP('Données projet'!$B$9,Paramètres!$A$1:$I$89,5,0)</f>
        <v>5.3205440053716299E-13</v>
      </c>
      <c r="P181" s="13">
        <f t="shared" si="141"/>
        <v>6.579711042921201E-12</v>
      </c>
      <c r="Q181" s="20">
        <f t="shared" si="162"/>
        <v>1.2386324814023317E-11</v>
      </c>
      <c r="R181" s="59">
        <f t="shared" si="109"/>
        <v>293.33333333334571</v>
      </c>
      <c r="S181" s="59">
        <f ca="1">AVERAGE(OFFSET($R$3,0,0,'Données projet'!$E$9+1,1))-AVERAGE(OFFSET($H$3,0,0,'Données projet'!$E$9+1,1))</f>
        <v>164.93438869099657</v>
      </c>
      <c r="T181" s="59">
        <f t="shared" si="142"/>
        <v>112.28641356594233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57.472972001867717</v>
      </c>
      <c r="AA181" s="21">
        <f>EXP(-LN(2)/25)*AA180+(1-EXP(-LN(2)/25))/(LN(2)/25)*Calculateur!V181*Calculateur!X181*VLOOKUP('Données projet'!$B$9,Paramètres!$A$1:$I$89,3,0)*0.475*44/12</f>
        <v>9.4583711221136273</v>
      </c>
      <c r="AB181" s="21">
        <f>EXP(-LN(2)/2)*AB180+(1-EXP(-LN(2)/2))/(LN(2)/2)*V181*Y181*VLOOKUP('Données projet'!$B$9,Paramètres!$A$1:$I$89,3,0)*0.475*44/12</f>
        <v>1.5690566011838758E-6</v>
      </c>
      <c r="AC181" s="22">
        <f t="shared" si="163"/>
        <v>66.931344693037957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273.81843612193632</v>
      </c>
      <c r="AO181" s="59">
        <f t="shared" si="144"/>
        <v>241.86405419073208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-6.3550942286383367E-14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271.42245454555501</v>
      </c>
      <c r="BJ181" s="59">
        <f t="shared" si="146"/>
        <v>362.63944425429077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19.83644671140458</v>
      </c>
      <c r="BQ181" s="21">
        <f>EXP(-LN(2)/25)*BQ180+(1-EXP(-LN(2)/25))/(LN(2)/25)*Calculateur!BL181*Calculateur!BN181*VLOOKUP('Données projet'!$B$11,Paramètres!$A$1:$I$89,3,0)*0.475*44/12</f>
        <v>1.9028861701644908</v>
      </c>
      <c r="BR181" s="21">
        <f>EXP(-LN(2)/2)*BR180+(1-EXP(-LN(2)/2))/(LN(2)/2)*BL181*BO181*VLOOKUP('Données projet'!$B$11,Paramètres!$A$1:$I$89,3,0)*0.475*44/12</f>
        <v>1.0475860506965008E-17</v>
      </c>
      <c r="BS181" s="22">
        <f t="shared" si="169"/>
        <v>21.739332881569069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-3.1036506698001178E-14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154.35821558431712</v>
      </c>
      <c r="CE181" s="59">
        <f t="shared" si="148"/>
        <v>263.86720460501306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4.3852847063214524</v>
      </c>
      <c r="CL181" s="21">
        <f>EXP(-LN(2)/25)*CL180+(1-EXP(-LN(2)/25))/(LN(2)/25)*Calculateur!CG181*Calculateur!CI181*VLOOKUP('Données projet'!$B$12,Paramètres!$A$1:$I$89,3,0)*0.475*44/12</f>
        <v>3.2672763407096577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7.6525610470311101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213</v>
      </c>
      <c r="CU181" s="17">
        <f>CT181*VLOOKUP('Données projet'!$B$13,Paramètres!$A$1:$I$89,3,0)*VLOOKUP('Données projet'!$B$13,Paramètres!$A$1:$I$89,5,0)</f>
        <v>169.46279999999999</v>
      </c>
      <c r="CV181" s="13">
        <f t="shared" si="173"/>
        <v>42.969686502194378</v>
      </c>
      <c r="CW181" s="20">
        <f t="shared" si="174"/>
        <v>369.9865806579885</v>
      </c>
      <c r="CX181" s="59">
        <f t="shared" si="122"/>
        <v>663.31991399132176</v>
      </c>
      <c r="CY181" s="59">
        <f ca="1">AVERAGE(OFFSET($CX$3,0,0,'Données projet'!$E$13+1,1))-AVERAGE(OFFSET($H$3,0,0,'Données projet'!$E$13+1,1))</f>
        <v>157.25319335691853</v>
      </c>
      <c r="CZ181" s="59">
        <f t="shared" si="150"/>
        <v>159.50903492442171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1.6196512759084183</v>
      </c>
      <c r="DG181" s="21">
        <f>EXP(-LN(2)/25)*DG180+(1-EXP(-LN(2)/25))/(LN(2)/25)*Calculateur!DB181*Calculateur!DD181*VLOOKUP('Données projet'!$B$13,Paramètres!$A$1:$I$89,3,0)*0.475*44/12</f>
        <v>0.57725261115431736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2.1969038870627355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227.99999999999994</v>
      </c>
      <c r="DP181" s="17">
        <f>DO181*VLOOKUP('Données projet'!$B$14,Paramètres!$A$1:$I$89,3,0)*VLOOKUP('Données projet'!$B$14,Paramètres!$A$1:$I$89,5,0)</f>
        <v>199.18079999999998</v>
      </c>
      <c r="DQ181" s="13">
        <f t="shared" si="176"/>
        <v>49.564089376413683</v>
      </c>
      <c r="DR181" s="20">
        <f t="shared" si="177"/>
        <v>433.23068233058711</v>
      </c>
      <c r="DS181" s="59">
        <f t="shared" si="125"/>
        <v>726.56401566392037</v>
      </c>
      <c r="DT181" s="59">
        <f ca="1">AVERAGE(OFFSET($DS$3,0,0,'Données projet'!$E$14+1,1))-AVERAGE(OFFSET($H$3,0,0,'Données projet'!$E$14+1,1))</f>
        <v>229.5312221178919</v>
      </c>
      <c r="DU181" s="59">
        <f t="shared" si="152"/>
        <v>218.1982095871906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4.0802009435225868</v>
      </c>
      <c r="EB181" s="21">
        <f>EXP(-LN(2)/25)*EB180+(1-EXP(-LN(2)/25))/(LN(2)/25)*Calculateur!DW181*Calculateur!DY181*VLOOKUP('Données projet'!$B$14,Paramètres!$A$1:$I$89,3,0)*0.475*44/12</f>
        <v>1.6728249655485739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5.7530259090711606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-4.5474735088646412E-13</v>
      </c>
      <c r="EK181" s="17">
        <f>EJ181*VLOOKUP('Données projet'!$B$15,Paramètres!$A$1:$I$89,3,0)*VLOOKUP('Données projet'!$B$15,Paramètres!$A$1:$I$89,5,0)</f>
        <v>-4.1145540308207271E-13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204.39656982394689</v>
      </c>
      <c r="EP181" s="59">
        <f t="shared" si="154"/>
        <v>134.95704640904546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101.50824123309074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101.50824123309074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3.4106051316484809E-13</v>
      </c>
      <c r="FF181" s="17">
        <f>FE181*VLOOKUP('Données projet'!$B$16,Paramètres!$A$1:$I$89,3,0)*VLOOKUP('Données projet'!$B$16,Paramètres!$A$1:$I$89,5,0)</f>
        <v>2.9262992029543969E-13</v>
      </c>
      <c r="FG181" s="13">
        <f t="shared" si="182"/>
        <v>3.8796387982050903E-12</v>
      </c>
      <c r="FH181" s="20">
        <f t="shared" si="183"/>
        <v>7.2667013513884219E-12</v>
      </c>
      <c r="FI181" s="59">
        <f t="shared" si="131"/>
        <v>293.33333333334059</v>
      </c>
      <c r="FJ181" s="59">
        <f ca="1">AVERAGE(OFFSET($FI$3,0,0,'Données projet'!$E$16+1,1))-AVERAGE(OFFSET($H$3,0,0,'Données projet'!$E$16+1,1))</f>
        <v>199.60585215726968</v>
      </c>
      <c r="FK181" s="59">
        <f t="shared" si="156"/>
        <v>137.37366750114404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49.077913162853498</v>
      </c>
      <c r="FR181" s="21">
        <f>EXP(-LN(2)/25)*FR180+(1-EXP(-LN(2)/25))/(LN(2)/25)*Calculateur!FM181*Calculateur!FO181*VLOOKUP('Données projet'!$B$16,Paramètres!$A$1:$I$89,3,0)*0.475*44/12</f>
        <v>23.574739995501588</v>
      </c>
      <c r="FS181" s="21">
        <f>EXP(-LN(2)/2)*FS180+(1-EXP(-LN(2)/2))/(LN(2)/2)*FM181*FP181*VLOOKUP('Données projet'!$B$16,Paramètres!$A$1:$I$89,3,0)*0.475*44/12</f>
        <v>2.6940565875259702E-5</v>
      </c>
      <c r="FT181" s="22">
        <f t="shared" si="184"/>
        <v>72.652680098920968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1.1368683772161603E-12</v>
      </c>
      <c r="O182" s="13">
        <f>N182*VLOOKUP('Données projet'!$B$9,Paramètres!$A$1:$I$89,3,0)*VLOOKUP('Données projet'!$B$9,Paramètres!$A$1:$I$89,5,0)</f>
        <v>5.3205440053716299E-13</v>
      </c>
      <c r="P182" s="13">
        <f t="shared" si="141"/>
        <v>6.579711042921201E-12</v>
      </c>
      <c r="Q182" s="20">
        <f t="shared" si="162"/>
        <v>1.2386324814023317E-11</v>
      </c>
      <c r="R182" s="59">
        <f t="shared" si="109"/>
        <v>293.33333333334571</v>
      </c>
      <c r="S182" s="59">
        <f ca="1">AVERAGE(OFFSET($R$3,0,0,'Données projet'!$E$9+1,1))-AVERAGE(OFFSET($H$3,0,0,'Données projet'!$E$9+1,1))</f>
        <v>164.93438869099657</v>
      </c>
      <c r="T182" s="59">
        <f t="shared" si="142"/>
        <v>112.28641356594233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56.345962075962611</v>
      </c>
      <c r="AA182" s="21">
        <f>EXP(-LN(2)/25)*AA181+(1-EXP(-LN(2)/25))/(LN(2)/25)*Calculateur!V182*Calculateur!X182*VLOOKUP('Données projet'!$B$9,Paramètres!$A$1:$I$89,3,0)*0.475*44/12</f>
        <v>9.1997314663853107</v>
      </c>
      <c r="AB182" s="21">
        <f>EXP(-LN(2)/2)*AB181+(1-EXP(-LN(2)/2))/(LN(2)/2)*V182*Y182*VLOOKUP('Données projet'!$B$9,Paramètres!$A$1:$I$89,3,0)*0.475*44/12</f>
        <v>1.1094905627626348E-6</v>
      </c>
      <c r="AC182" s="22">
        <f t="shared" si="163"/>
        <v>65.545694651838488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273.81843612193632</v>
      </c>
      <c r="AO182" s="59">
        <f t="shared" si="144"/>
        <v>241.86405419073208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-6.3550942286383367E-14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271.42245454555501</v>
      </c>
      <c r="BJ182" s="59">
        <f t="shared" si="146"/>
        <v>362.63944425429077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19.44746609043175</v>
      </c>
      <c r="BQ182" s="21">
        <f>EXP(-LN(2)/25)*BQ181+(1-EXP(-LN(2)/25))/(LN(2)/25)*Calculateur!BL182*Calculateur!BN182*VLOOKUP('Données projet'!$B$11,Paramètres!$A$1:$I$89,3,0)*0.475*44/12</f>
        <v>1.8508516477729082</v>
      </c>
      <c r="BR182" s="21">
        <f>EXP(-LN(2)/2)*BR181+(1-EXP(-LN(2)/2))/(LN(2)/2)*BL182*BO182*VLOOKUP('Données projet'!$B$11,Paramètres!$A$1:$I$89,3,0)*0.475*44/12</f>
        <v>7.407552003239301E-18</v>
      </c>
      <c r="BS182" s="22">
        <f t="shared" si="169"/>
        <v>21.298317738204659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-3.1036506698001178E-14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154.35821558431712</v>
      </c>
      <c r="CE182" s="59">
        <f t="shared" si="148"/>
        <v>263.86720460501306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4.2992919479900493</v>
      </c>
      <c r="CL182" s="21">
        <f>EXP(-LN(2)/25)*CL181+(1-EXP(-LN(2)/25))/(LN(2)/25)*Calculateur!CG182*Calculateur!CI182*VLOOKUP('Données projet'!$B$12,Paramètres!$A$1:$I$89,3,0)*0.475*44/12</f>
        <v>3.1779324973543566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7.4772244453444063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213</v>
      </c>
      <c r="CU182" s="17">
        <f>CT182*VLOOKUP('Données projet'!$B$13,Paramètres!$A$1:$I$89,3,0)*VLOOKUP('Données projet'!$B$13,Paramètres!$A$1:$I$89,5,0)</f>
        <v>169.46279999999999</v>
      </c>
      <c r="CV182" s="13">
        <f t="shared" si="173"/>
        <v>42.969686502194378</v>
      </c>
      <c r="CW182" s="20">
        <f t="shared" si="174"/>
        <v>369.9865806579885</v>
      </c>
      <c r="CX182" s="59">
        <f t="shared" si="122"/>
        <v>663.31991399132176</v>
      </c>
      <c r="CY182" s="59">
        <f ca="1">AVERAGE(OFFSET($CX$3,0,0,'Données projet'!$E$13+1,1))-AVERAGE(OFFSET($H$3,0,0,'Données projet'!$E$13+1,1))</f>
        <v>157.25319335691853</v>
      </c>
      <c r="CZ182" s="59">
        <f t="shared" si="150"/>
        <v>159.50903492442171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1.5878909022775864</v>
      </c>
      <c r="DG182" s="21">
        <f>EXP(-LN(2)/25)*DG181+(1-EXP(-LN(2)/25))/(LN(2)/25)*Calculateur!DB182*Calculateur!DD182*VLOOKUP('Données projet'!$B$13,Paramètres!$A$1:$I$89,3,0)*0.475*44/12</f>
        <v>0.56146760814590702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2.1493585104234936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227.99999999999994</v>
      </c>
      <c r="DP182" s="17">
        <f>DO182*VLOOKUP('Données projet'!$B$14,Paramètres!$A$1:$I$89,3,0)*VLOOKUP('Données projet'!$B$14,Paramètres!$A$1:$I$89,5,0)</f>
        <v>199.18079999999998</v>
      </c>
      <c r="DQ182" s="13">
        <f t="shared" si="176"/>
        <v>49.564089376413683</v>
      </c>
      <c r="DR182" s="20">
        <f t="shared" si="177"/>
        <v>433.23068233058711</v>
      </c>
      <c r="DS182" s="59">
        <f t="shared" si="125"/>
        <v>726.56401566392037</v>
      </c>
      <c r="DT182" s="59">
        <f ca="1">AVERAGE(OFFSET($DS$3,0,0,'Données projet'!$E$14+1,1))-AVERAGE(OFFSET($H$3,0,0,'Données projet'!$E$14+1,1))</f>
        <v>229.5312221178919</v>
      </c>
      <c r="DU182" s="59">
        <f t="shared" si="152"/>
        <v>218.1982095871906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4.0001906916969476</v>
      </c>
      <c r="EB182" s="21">
        <f>EXP(-LN(2)/25)*EB181+(1-EXP(-LN(2)/25))/(LN(2)/25)*Calculateur!DW182*Calculateur!DY182*VLOOKUP('Données projet'!$B$14,Paramètres!$A$1:$I$89,3,0)*0.475*44/12</f>
        <v>1.6270814788956065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5.6272721705925539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-4.5474735088646412E-13</v>
      </c>
      <c r="EK182" s="17">
        <f>EJ182*VLOOKUP('Données projet'!$B$15,Paramètres!$A$1:$I$89,3,0)*VLOOKUP('Données projet'!$B$15,Paramètres!$A$1:$I$89,5,0)</f>
        <v>-4.1145540308207271E-13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204.39656982394689</v>
      </c>
      <c r="EP182" s="59">
        <f t="shared" si="154"/>
        <v>134.95704640904546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99.517726536423496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99.517726536423496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3.4106051316484809E-13</v>
      </c>
      <c r="FF182" s="17">
        <f>FE182*VLOOKUP('Données projet'!$B$16,Paramètres!$A$1:$I$89,3,0)*VLOOKUP('Données projet'!$B$16,Paramètres!$A$1:$I$89,5,0)</f>
        <v>2.9262992029543969E-13</v>
      </c>
      <c r="FG182" s="13">
        <f t="shared" si="182"/>
        <v>3.8796387982050903E-12</v>
      </c>
      <c r="FH182" s="20">
        <f t="shared" si="183"/>
        <v>7.2667013513884219E-12</v>
      </c>
      <c r="FI182" s="59">
        <f t="shared" si="131"/>
        <v>293.33333333334059</v>
      </c>
      <c r="FJ182" s="59">
        <f ca="1">AVERAGE(OFFSET($FI$3,0,0,'Données projet'!$E$16+1,1))-AVERAGE(OFFSET($H$3,0,0,'Données projet'!$E$16+1,1))</f>
        <v>199.60585215726968</v>
      </c>
      <c r="FK182" s="59">
        <f t="shared" si="156"/>
        <v>137.37366750114404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48.11552522030118</v>
      </c>
      <c r="FR182" s="21">
        <f>EXP(-LN(2)/25)*FR181+(1-EXP(-LN(2)/25))/(LN(2)/25)*Calculateur!FM182*Calculateur!FO182*VLOOKUP('Données projet'!$B$16,Paramètres!$A$1:$I$89,3,0)*0.475*44/12</f>
        <v>22.930087490582903</v>
      </c>
      <c r="FS182" s="21">
        <f>EXP(-LN(2)/2)*FS181+(1-EXP(-LN(2)/2))/(LN(2)/2)*FM182*FP182*VLOOKUP('Données projet'!$B$16,Paramètres!$A$1:$I$89,3,0)*0.475*44/12</f>
        <v>1.9049856819399031E-5</v>
      </c>
      <c r="FT182" s="22">
        <f t="shared" si="184"/>
        <v>71.045631760740903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1.1368683772161603E-12</v>
      </c>
      <c r="O183" s="13">
        <f>N183*VLOOKUP('Données projet'!$B$9,Paramètres!$A$1:$I$89,3,0)*VLOOKUP('Données projet'!$B$9,Paramètres!$A$1:$I$89,5,0)</f>
        <v>5.3205440053716299E-13</v>
      </c>
      <c r="P183" s="13">
        <f t="shared" si="141"/>
        <v>6.579711042921201E-12</v>
      </c>
      <c r="Q183" s="20">
        <f t="shared" si="162"/>
        <v>1.2386324814023317E-11</v>
      </c>
      <c r="R183" s="59">
        <f t="shared" si="109"/>
        <v>293.33333333334571</v>
      </c>
      <c r="S183" s="59">
        <f ca="1">AVERAGE(OFFSET($R$3,0,0,'Données projet'!$E$9+1,1))-AVERAGE(OFFSET($H$3,0,0,'Données projet'!$E$9+1,1))</f>
        <v>164.93438869099657</v>
      </c>
      <c r="T183" s="59">
        <f t="shared" si="142"/>
        <v>112.28641356594233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55.241052127296328</v>
      </c>
      <c r="AA183" s="21">
        <f>EXP(-LN(2)/25)*AA182+(1-EXP(-LN(2)/25))/(LN(2)/25)*Calculateur!V183*Calculateur!X183*VLOOKUP('Données projet'!$B$9,Paramètres!$A$1:$I$89,3,0)*0.475*44/12</f>
        <v>8.9481643256441536</v>
      </c>
      <c r="AB183" s="21">
        <f>EXP(-LN(2)/2)*AB182+(1-EXP(-LN(2)/2))/(LN(2)/2)*V183*Y183*VLOOKUP('Données projet'!$B$9,Paramètres!$A$1:$I$89,3,0)*0.475*44/12</f>
        <v>7.8452830059193788E-7</v>
      </c>
      <c r="AC183" s="22">
        <f t="shared" si="163"/>
        <v>64.189217237468782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273.81843612193632</v>
      </c>
      <c r="AO183" s="59">
        <f t="shared" si="144"/>
        <v>241.86405419073208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-6.3550942286383367E-14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271.42245454555501</v>
      </c>
      <c r="BJ183" s="59">
        <f t="shared" si="146"/>
        <v>362.63944425429077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19.066113142181443</v>
      </c>
      <c r="BQ183" s="21">
        <f>EXP(-LN(2)/25)*BQ182+(1-EXP(-LN(2)/25))/(LN(2)/25)*Calculateur!BL183*Calculateur!BN183*VLOOKUP('Données projet'!$B$11,Paramètres!$A$1:$I$89,3,0)*0.475*44/12</f>
        <v>1.8002400121325002</v>
      </c>
      <c r="BR183" s="21">
        <f>EXP(-LN(2)/2)*BR182+(1-EXP(-LN(2)/2))/(LN(2)/2)*BL183*BO183*VLOOKUP('Données projet'!$B$11,Paramètres!$A$1:$I$89,3,0)*0.475*44/12</f>
        <v>5.2379302534825042E-18</v>
      </c>
      <c r="BS183" s="22">
        <f t="shared" si="169"/>
        <v>20.866353154313945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-3.1036506698001178E-14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154.35821558431712</v>
      </c>
      <c r="CE183" s="59">
        <f t="shared" si="148"/>
        <v>263.86720460501306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4.2149854551991215</v>
      </c>
      <c r="CL183" s="21">
        <f>EXP(-LN(2)/25)*CL182+(1-EXP(-LN(2)/25))/(LN(2)/25)*Calculateur!CG183*Calculateur!CI183*VLOOKUP('Données projet'!$B$12,Paramètres!$A$1:$I$89,3,0)*0.475*44/12</f>
        <v>3.091031766093995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7.306017221293116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213</v>
      </c>
      <c r="CU183" s="17">
        <f>CT183*VLOOKUP('Données projet'!$B$13,Paramètres!$A$1:$I$89,3,0)*VLOOKUP('Données projet'!$B$13,Paramètres!$A$1:$I$89,5,0)</f>
        <v>169.46279999999999</v>
      </c>
      <c r="CV183" s="13">
        <f t="shared" si="173"/>
        <v>42.969686502194378</v>
      </c>
      <c r="CW183" s="20">
        <f t="shared" si="174"/>
        <v>369.9865806579885</v>
      </c>
      <c r="CX183" s="59">
        <f t="shared" si="122"/>
        <v>663.31991399132176</v>
      </c>
      <c r="CY183" s="59">
        <f ca="1">AVERAGE(OFFSET($CX$3,0,0,'Données projet'!$E$13+1,1))-AVERAGE(OFFSET($H$3,0,0,'Données projet'!$E$13+1,1))</f>
        <v>157.25319335691853</v>
      </c>
      <c r="CZ183" s="59">
        <f t="shared" si="150"/>
        <v>159.50903492442171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1.5567533302017402</v>
      </c>
      <c r="DG183" s="21">
        <f>EXP(-LN(2)/25)*DG182+(1-EXP(-LN(2)/25))/(LN(2)/25)*Calculateur!DB183*Calculateur!DD183*VLOOKUP('Données projet'!$B$13,Paramètres!$A$1:$I$89,3,0)*0.475*44/12</f>
        <v>0.54611424687485888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2.1028675770765992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227.99999999999994</v>
      </c>
      <c r="DP183" s="17">
        <f>DO183*VLOOKUP('Données projet'!$B$14,Paramètres!$A$1:$I$89,3,0)*VLOOKUP('Données projet'!$B$14,Paramètres!$A$1:$I$89,5,0)</f>
        <v>199.18079999999998</v>
      </c>
      <c r="DQ183" s="13">
        <f t="shared" si="176"/>
        <v>49.564089376413683</v>
      </c>
      <c r="DR183" s="20">
        <f t="shared" si="177"/>
        <v>433.23068233058711</v>
      </c>
      <c r="DS183" s="59">
        <f t="shared" si="125"/>
        <v>726.56401566392037</v>
      </c>
      <c r="DT183" s="59">
        <f ca="1">AVERAGE(OFFSET($DS$3,0,0,'Données projet'!$E$14+1,1))-AVERAGE(OFFSET($H$3,0,0,'Données projet'!$E$14+1,1))</f>
        <v>229.5312221178919</v>
      </c>
      <c r="DU183" s="59">
        <f t="shared" si="152"/>
        <v>218.1982095871906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3.9217493921081745</v>
      </c>
      <c r="EB183" s="21">
        <f>EXP(-LN(2)/25)*EB182+(1-EXP(-LN(2)/25))/(LN(2)/25)*Calculateur!DW183*Calculateur!DY183*VLOOKUP('Données projet'!$B$14,Paramètres!$A$1:$I$89,3,0)*0.475*44/12</f>
        <v>1.5825888502907099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5.5043382423988847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-4.5474735088646412E-13</v>
      </c>
      <c r="EK183" s="17">
        <f>EJ183*VLOOKUP('Données projet'!$B$15,Paramètres!$A$1:$I$89,3,0)*VLOOKUP('Données projet'!$B$15,Paramètres!$A$1:$I$89,5,0)</f>
        <v>-4.1145540308207271E-13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204.39656982394689</v>
      </c>
      <c r="EP183" s="59">
        <f t="shared" si="154"/>
        <v>134.95704640904546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97.566244618863806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97.566244618863806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3.4106051316484809E-13</v>
      </c>
      <c r="FF183" s="17">
        <f>FE183*VLOOKUP('Données projet'!$B$16,Paramètres!$A$1:$I$89,3,0)*VLOOKUP('Données projet'!$B$16,Paramètres!$A$1:$I$89,5,0)</f>
        <v>2.9262992029543969E-13</v>
      </c>
      <c r="FG183" s="13">
        <f t="shared" si="182"/>
        <v>3.8796387982050903E-12</v>
      </c>
      <c r="FH183" s="20">
        <f t="shared" si="183"/>
        <v>7.2667013513884219E-12</v>
      </c>
      <c r="FI183" s="59">
        <f t="shared" si="131"/>
        <v>293.33333333334059</v>
      </c>
      <c r="FJ183" s="59">
        <f ca="1">AVERAGE(OFFSET($FI$3,0,0,'Données projet'!$E$16+1,1))-AVERAGE(OFFSET($H$3,0,0,'Données projet'!$E$16+1,1))</f>
        <v>199.60585215726968</v>
      </c>
      <c r="FK183" s="59">
        <f t="shared" si="156"/>
        <v>137.37366750114404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47.172009118303627</v>
      </c>
      <c r="FR183" s="21">
        <f>EXP(-LN(2)/25)*FR182+(1-EXP(-LN(2)/25))/(LN(2)/25)*Calculateur!FM183*Calculateur!FO183*VLOOKUP('Données projet'!$B$16,Paramètres!$A$1:$I$89,3,0)*0.475*44/12</f>
        <v>22.303063042312019</v>
      </c>
      <c r="FS183" s="21">
        <f>EXP(-LN(2)/2)*FS182+(1-EXP(-LN(2)/2))/(LN(2)/2)*FM183*FP183*VLOOKUP('Données projet'!$B$16,Paramètres!$A$1:$I$89,3,0)*0.475*44/12</f>
        <v>1.3470282937629851E-5</v>
      </c>
      <c r="FT183" s="22">
        <f t="shared" si="184"/>
        <v>69.475085630898576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1.1368683772161603E-12</v>
      </c>
      <c r="O184" s="13">
        <f>N184*VLOOKUP('Données projet'!$B$9,Paramètres!$A$1:$I$89,3,0)*VLOOKUP('Données projet'!$B$9,Paramètres!$A$1:$I$89,5,0)</f>
        <v>5.3205440053716299E-13</v>
      </c>
      <c r="P184" s="13">
        <f t="shared" si="141"/>
        <v>6.579711042921201E-12</v>
      </c>
      <c r="Q184" s="20">
        <f t="shared" si="162"/>
        <v>1.2386324814023317E-11</v>
      </c>
      <c r="R184" s="59">
        <f t="shared" si="109"/>
        <v>293.33333333334571</v>
      </c>
      <c r="S184" s="59">
        <f ca="1">AVERAGE(OFFSET($R$3,0,0,'Données projet'!$E$9+1,1))-AVERAGE(OFFSET($H$3,0,0,'Données projet'!$E$9+1,1))</f>
        <v>164.93438869099657</v>
      </c>
      <c r="T184" s="59">
        <f t="shared" si="142"/>
        <v>112.28641356594233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54.157808788794867</v>
      </c>
      <c r="AA184" s="21">
        <f>EXP(-LN(2)/25)*AA183+(1-EXP(-LN(2)/25))/(LN(2)/25)*Calculateur!V184*Calculateur!X184*VLOOKUP('Données projet'!$B$9,Paramètres!$A$1:$I$89,3,0)*0.475*44/12</f>
        <v>8.703476301595904</v>
      </c>
      <c r="AB184" s="21">
        <f>EXP(-LN(2)/2)*AB183+(1-EXP(-LN(2)/2))/(LN(2)/2)*V184*Y184*VLOOKUP('Données projet'!$B$9,Paramètres!$A$1:$I$89,3,0)*0.475*44/12</f>
        <v>5.5474528138131739E-7</v>
      </c>
      <c r="AC184" s="22">
        <f t="shared" si="163"/>
        <v>62.861285645136057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273.81843612193632</v>
      </c>
      <c r="AO184" s="59">
        <f t="shared" si="144"/>
        <v>241.86405419073208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-6.3550942286383367E-14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271.42245454555501</v>
      </c>
      <c r="BJ184" s="59">
        <f t="shared" si="146"/>
        <v>362.63944425429077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18.692238292643996</v>
      </c>
      <c r="BQ184" s="21">
        <f>EXP(-LN(2)/25)*BQ183+(1-EXP(-LN(2)/25))/(LN(2)/25)*Calculateur!BL184*Calculateur!BN184*VLOOKUP('Données projet'!$B$11,Paramètres!$A$1:$I$89,3,0)*0.475*44/12</f>
        <v>1.7510123543302292</v>
      </c>
      <c r="BR184" s="21">
        <f>EXP(-LN(2)/2)*BR183+(1-EXP(-LN(2)/2))/(LN(2)/2)*BL184*BO184*VLOOKUP('Données projet'!$B$11,Paramètres!$A$1:$I$89,3,0)*0.475*44/12</f>
        <v>3.7037760016196505E-18</v>
      </c>
      <c r="BS184" s="22">
        <f t="shared" si="169"/>
        <v>20.443250646974224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-3.1036506698001178E-14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154.35821558431712</v>
      </c>
      <c r="CE184" s="59">
        <f t="shared" si="148"/>
        <v>263.86720460501306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4.1323321613099404</v>
      </c>
      <c r="CL184" s="21">
        <f>EXP(-LN(2)/25)*CL183+(1-EXP(-LN(2)/25))/(LN(2)/25)*Calculateur!CG184*Calculateur!CI184*VLOOKUP('Données projet'!$B$12,Paramètres!$A$1:$I$89,3,0)*0.475*44/12</f>
        <v>3.006507339899859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7.1388395012097998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213</v>
      </c>
      <c r="CU184" s="17">
        <f>CT184*VLOOKUP('Données projet'!$B$13,Paramètres!$A$1:$I$89,3,0)*VLOOKUP('Données projet'!$B$13,Paramètres!$A$1:$I$89,5,0)</f>
        <v>169.46279999999999</v>
      </c>
      <c r="CV184" s="13">
        <f t="shared" si="173"/>
        <v>42.969686502194378</v>
      </c>
      <c r="CW184" s="20">
        <f t="shared" si="174"/>
        <v>369.9865806579885</v>
      </c>
      <c r="CX184" s="59">
        <f t="shared" si="122"/>
        <v>663.31991399132176</v>
      </c>
      <c r="CY184" s="59">
        <f ca="1">AVERAGE(OFFSET($CX$3,0,0,'Données projet'!$E$13+1,1))-AVERAGE(OFFSET($H$3,0,0,'Données projet'!$E$13+1,1))</f>
        <v>157.25319335691853</v>
      </c>
      <c r="CZ184" s="59">
        <f t="shared" si="150"/>
        <v>159.50903492442171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1.5262263469222577</v>
      </c>
      <c r="DG184" s="21">
        <f>EXP(-LN(2)/25)*DG183+(1-EXP(-LN(2)/25))/(LN(2)/25)*Calculateur!DB184*Calculateur!DD184*VLOOKUP('Données projet'!$B$13,Paramètres!$A$1:$I$89,3,0)*0.475*44/12</f>
        <v>0.53118072407516581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2.0574070709974235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227.99999999999994</v>
      </c>
      <c r="DP184" s="17">
        <f>DO184*VLOOKUP('Données projet'!$B$14,Paramètres!$A$1:$I$89,3,0)*VLOOKUP('Données projet'!$B$14,Paramètres!$A$1:$I$89,5,0)</f>
        <v>199.18079999999998</v>
      </c>
      <c r="DQ184" s="13">
        <f t="shared" si="176"/>
        <v>49.564089376413683</v>
      </c>
      <c r="DR184" s="20">
        <f t="shared" si="177"/>
        <v>433.23068233058711</v>
      </c>
      <c r="DS184" s="59">
        <f t="shared" si="125"/>
        <v>726.56401566392037</v>
      </c>
      <c r="DT184" s="59">
        <f ca="1">AVERAGE(OFFSET($DS$3,0,0,'Données projet'!$E$14+1,1))-AVERAGE(OFFSET($H$3,0,0,'Données projet'!$E$14+1,1))</f>
        <v>229.5312221178919</v>
      </c>
      <c r="DU184" s="59">
        <f t="shared" si="152"/>
        <v>218.1982095871906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3.8448462785598689</v>
      </c>
      <c r="EB184" s="21">
        <f>EXP(-LN(2)/25)*EB183+(1-EXP(-LN(2)/25))/(LN(2)/25)*Calculateur!DW184*Calculateur!DY184*VLOOKUP('Données projet'!$B$14,Paramètres!$A$1:$I$89,3,0)*0.475*44/12</f>
        <v>1.53931287495478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5.3841591535146485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-4.5474735088646412E-13</v>
      </c>
      <c r="EK184" s="17">
        <f>EJ184*VLOOKUP('Données projet'!$B$15,Paramètres!$A$1:$I$89,3,0)*VLOOKUP('Données projet'!$B$15,Paramètres!$A$1:$I$89,5,0)</f>
        <v>-4.1145540308207271E-13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204.39656982394689</v>
      </c>
      <c r="EP184" s="59">
        <f t="shared" si="154"/>
        <v>134.95704640904546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95.653030071421028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95.653030071421028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3.4106051316484809E-13</v>
      </c>
      <c r="FF184" s="17">
        <f>FE184*VLOOKUP('Données projet'!$B$16,Paramètres!$A$1:$I$89,3,0)*VLOOKUP('Données projet'!$B$16,Paramètres!$A$1:$I$89,5,0)</f>
        <v>2.9262992029543969E-13</v>
      </c>
      <c r="FG184" s="13">
        <f t="shared" si="182"/>
        <v>3.8796387982050903E-12</v>
      </c>
      <c r="FH184" s="20">
        <f t="shared" si="183"/>
        <v>7.2667013513884219E-12</v>
      </c>
      <c r="FI184" s="59">
        <f t="shared" si="131"/>
        <v>293.33333333334059</v>
      </c>
      <c r="FJ184" s="59">
        <f ca="1">AVERAGE(OFFSET($FI$3,0,0,'Données projet'!$E$16+1,1))-AVERAGE(OFFSET($H$3,0,0,'Données projet'!$E$16+1,1))</f>
        <v>199.60585215726968</v>
      </c>
      <c r="FK184" s="59">
        <f t="shared" si="156"/>
        <v>137.37366750114404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46.246994791578246</v>
      </c>
      <c r="FR184" s="21">
        <f>EXP(-LN(2)/25)*FR183+(1-EXP(-LN(2)/25))/(LN(2)/25)*Calculateur!FM184*Calculateur!FO184*VLOOKUP('Données projet'!$B$16,Paramètres!$A$1:$I$89,3,0)*0.475*44/12</f>
        <v>21.693184610552887</v>
      </c>
      <c r="FS184" s="21">
        <f>EXP(-LN(2)/2)*FS183+(1-EXP(-LN(2)/2))/(LN(2)/2)*FM184*FP184*VLOOKUP('Données projet'!$B$16,Paramètres!$A$1:$I$89,3,0)*0.475*44/12</f>
        <v>9.5249284096995155E-6</v>
      </c>
      <c r="FT184" s="22">
        <f t="shared" si="184"/>
        <v>67.940188927059552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1.1368683772161603E-12</v>
      </c>
      <c r="O185" s="13">
        <f>N185*VLOOKUP('Données projet'!$B$9,Paramètres!$A$1:$I$89,3,0)*VLOOKUP('Données projet'!$B$9,Paramètres!$A$1:$I$89,5,0)</f>
        <v>5.3205440053716299E-13</v>
      </c>
      <c r="P185" s="13">
        <f t="shared" si="141"/>
        <v>6.579711042921201E-12</v>
      </c>
      <c r="Q185" s="20">
        <f t="shared" si="162"/>
        <v>1.2386324814023317E-11</v>
      </c>
      <c r="R185" s="59">
        <f t="shared" si="109"/>
        <v>293.33333333334571</v>
      </c>
      <c r="S185" s="59">
        <f ca="1">AVERAGE(OFFSET($R$3,0,0,'Données projet'!$E$9+1,1))-AVERAGE(OFFSET($H$3,0,0,'Données projet'!$E$9+1,1))</f>
        <v>164.93438869099657</v>
      </c>
      <c r="T185" s="59">
        <f t="shared" si="142"/>
        <v>112.28641356594233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53.095807191448223</v>
      </c>
      <c r="AA185" s="21">
        <f>EXP(-LN(2)/25)*AA184+(1-EXP(-LN(2)/25))/(LN(2)/25)*Calculateur!V185*Calculateur!X185*VLOOKUP('Données projet'!$B$9,Paramètres!$A$1:$I$89,3,0)*0.475*44/12</f>
        <v>8.4654792844328366</v>
      </c>
      <c r="AB185" s="21">
        <f>EXP(-LN(2)/2)*AB184+(1-EXP(-LN(2)/2))/(LN(2)/2)*V185*Y185*VLOOKUP('Données projet'!$B$9,Paramètres!$A$1:$I$89,3,0)*0.475*44/12</f>
        <v>3.9226415029596894E-7</v>
      </c>
      <c r="AC185" s="22">
        <f t="shared" si="163"/>
        <v>61.56128686814521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273.81843612193632</v>
      </c>
      <c r="AO185" s="59">
        <f t="shared" si="144"/>
        <v>241.86405419073208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-6.3550942286383367E-14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271.42245454555501</v>
      </c>
      <c r="BJ185" s="59">
        <f t="shared" si="146"/>
        <v>362.63944425429077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18.325694900864836</v>
      </c>
      <c r="BQ185" s="21">
        <f>EXP(-LN(2)/25)*BQ184+(1-EXP(-LN(2)/25))/(LN(2)/25)*Calculateur!BL185*Calculateur!BN185*VLOOKUP('Données projet'!$B$11,Paramètres!$A$1:$I$89,3,0)*0.475*44/12</f>
        <v>1.7031308294193312</v>
      </c>
      <c r="BR185" s="21">
        <f>EXP(-LN(2)/2)*BR184+(1-EXP(-LN(2)/2))/(LN(2)/2)*BL185*BO185*VLOOKUP('Données projet'!$B$11,Paramètres!$A$1:$I$89,3,0)*0.475*44/12</f>
        <v>2.6189651267412521E-18</v>
      </c>
      <c r="BS185" s="22">
        <f t="shared" si="169"/>
        <v>20.028825730284169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-3.1036506698001178E-14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154.35821558431712</v>
      </c>
      <c r="CE185" s="59">
        <f t="shared" si="148"/>
        <v>263.86720460501306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4.0512996481003949</v>
      </c>
      <c r="CL185" s="21">
        <f>EXP(-LN(2)/25)*CL184+(1-EXP(-LN(2)/25))/(LN(2)/25)*Calculateur!CG185*Calculateur!CI185*VLOOKUP('Données projet'!$B$12,Paramètres!$A$1:$I$89,3,0)*0.475*44/12</f>
        <v>2.924294238584948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6.9755938866853429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213</v>
      </c>
      <c r="CU185" s="17">
        <f>CT185*VLOOKUP('Données projet'!$B$13,Paramètres!$A$1:$I$89,3,0)*VLOOKUP('Données projet'!$B$13,Paramètres!$A$1:$I$89,5,0)</f>
        <v>169.46279999999999</v>
      </c>
      <c r="CV185" s="13">
        <f t="shared" si="173"/>
        <v>42.969686502194378</v>
      </c>
      <c r="CW185" s="20">
        <f t="shared" si="174"/>
        <v>369.9865806579885</v>
      </c>
      <c r="CX185" s="59">
        <f t="shared" si="122"/>
        <v>663.31991399132176</v>
      </c>
      <c r="CY185" s="59">
        <f ca="1">AVERAGE(OFFSET($CX$3,0,0,'Données projet'!$E$13+1,1))-AVERAGE(OFFSET($H$3,0,0,'Données projet'!$E$13+1,1))</f>
        <v>157.25319335691853</v>
      </c>
      <c r="CZ185" s="59">
        <f t="shared" si="150"/>
        <v>159.50903492442171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1.4962979791652644</v>
      </c>
      <c r="DG185" s="21">
        <f>EXP(-LN(2)/25)*DG184+(1-EXP(-LN(2)/25))/(LN(2)/25)*Calculateur!DB185*Calculateur!DD185*VLOOKUP('Données projet'!$B$13,Paramètres!$A$1:$I$89,3,0)*0.475*44/12</f>
        <v>0.51665555924175011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2.0129535384070145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227.99999999999994</v>
      </c>
      <c r="DP185" s="17">
        <f>DO185*VLOOKUP('Données projet'!$B$14,Paramètres!$A$1:$I$89,3,0)*VLOOKUP('Données projet'!$B$14,Paramètres!$A$1:$I$89,5,0)</f>
        <v>199.18079999999998</v>
      </c>
      <c r="DQ185" s="13">
        <f t="shared" si="176"/>
        <v>49.564089376413683</v>
      </c>
      <c r="DR185" s="20">
        <f t="shared" si="177"/>
        <v>433.23068233058711</v>
      </c>
      <c r="DS185" s="59">
        <f t="shared" si="125"/>
        <v>726.56401566392037</v>
      </c>
      <c r="DT185" s="59">
        <f ca="1">AVERAGE(OFFSET($DS$3,0,0,'Données projet'!$E$14+1,1))-AVERAGE(OFFSET($H$3,0,0,'Données projet'!$E$14+1,1))</f>
        <v>229.5312221178919</v>
      </c>
      <c r="DU185" s="59">
        <f t="shared" si="152"/>
        <v>218.1982095871906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3.7694511881619781</v>
      </c>
      <c r="EB185" s="21">
        <f>EXP(-LN(2)/25)*EB184+(1-EXP(-LN(2)/25))/(LN(2)/25)*Calculateur!DW185*Calculateur!DY185*VLOOKUP('Données projet'!$B$14,Paramètres!$A$1:$I$89,3,0)*0.475*44/12</f>
        <v>1.4972202834401955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5.2666714716021739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-4.5474735088646412E-13</v>
      </c>
      <c r="EK185" s="17">
        <f>EJ185*VLOOKUP('Données projet'!$B$15,Paramètres!$A$1:$I$89,3,0)*VLOOKUP('Données projet'!$B$15,Paramètres!$A$1:$I$89,5,0)</f>
        <v>-4.1145540308207271E-13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204.39656982394689</v>
      </c>
      <c r="EP185" s="59">
        <f t="shared" si="154"/>
        <v>134.95704640904546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93.777332494307956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93.777332494307956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3.4106051316484809E-13</v>
      </c>
      <c r="FF185" s="17">
        <f>FE185*VLOOKUP('Données projet'!$B$16,Paramètres!$A$1:$I$89,3,0)*VLOOKUP('Données projet'!$B$16,Paramètres!$A$1:$I$89,5,0)</f>
        <v>2.9262992029543969E-13</v>
      </c>
      <c r="FG185" s="13">
        <f t="shared" si="182"/>
        <v>3.8796387982050903E-12</v>
      </c>
      <c r="FH185" s="20">
        <f t="shared" si="183"/>
        <v>7.2667013513884219E-12</v>
      </c>
      <c r="FI185" s="59">
        <f t="shared" si="131"/>
        <v>293.33333333334059</v>
      </c>
      <c r="FJ185" s="59">
        <f ca="1">AVERAGE(OFFSET($FI$3,0,0,'Données projet'!$E$16+1,1))-AVERAGE(OFFSET($H$3,0,0,'Données projet'!$E$16+1,1))</f>
        <v>199.60585215726968</v>
      </c>
      <c r="FK185" s="59">
        <f t="shared" si="156"/>
        <v>137.37366750114404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45.340119431596925</v>
      </c>
      <c r="FR185" s="21">
        <f>EXP(-LN(2)/25)*FR184+(1-EXP(-LN(2)/25))/(LN(2)/25)*Calculateur!FM185*Calculateur!FO185*VLOOKUP('Données projet'!$B$16,Paramètres!$A$1:$I$89,3,0)*0.475*44/12</f>
        <v>21.099983336582319</v>
      </c>
      <c r="FS185" s="21">
        <f>EXP(-LN(2)/2)*FS184+(1-EXP(-LN(2)/2))/(LN(2)/2)*FM185*FP185*VLOOKUP('Données projet'!$B$16,Paramètres!$A$1:$I$89,3,0)*0.475*44/12</f>
        <v>6.7351414688149255E-6</v>
      </c>
      <c r="FT185" s="22">
        <f t="shared" si="184"/>
        <v>66.440109503320713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1.1368683772161603E-12</v>
      </c>
      <c r="O186" s="13">
        <f>N186*VLOOKUP('Données projet'!$B$9,Paramètres!$A$1:$I$89,3,0)*VLOOKUP('Données projet'!$B$9,Paramètres!$A$1:$I$89,5,0)</f>
        <v>5.3205440053716299E-13</v>
      </c>
      <c r="P186" s="13">
        <f t="shared" si="141"/>
        <v>6.579711042921201E-12</v>
      </c>
      <c r="Q186" s="20">
        <f t="shared" si="162"/>
        <v>1.2386324814023317E-11</v>
      </c>
      <c r="R186" s="59">
        <f t="shared" si="109"/>
        <v>293.33333333334571</v>
      </c>
      <c r="S186" s="59">
        <f ca="1">AVERAGE(OFFSET($R$3,0,0,'Données projet'!$E$9+1,1))-AVERAGE(OFFSET($H$3,0,0,'Données projet'!$E$9+1,1))</f>
        <v>164.93438869099657</v>
      </c>
      <c r="T186" s="59">
        <f t="shared" si="142"/>
        <v>112.28641356594233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52.05463079766853</v>
      </c>
      <c r="AA186" s="21">
        <f>EXP(-LN(2)/25)*AA185+(1-EXP(-LN(2)/25))/(LN(2)/25)*Calculateur!V186*Calculateur!X186*VLOOKUP('Données projet'!$B$9,Paramètres!$A$1:$I$89,3,0)*0.475*44/12</f>
        <v>8.2339903082198127</v>
      </c>
      <c r="AB186" s="21">
        <f>EXP(-LN(2)/2)*AB185+(1-EXP(-LN(2)/2))/(LN(2)/2)*V186*Y186*VLOOKUP('Données projet'!$B$9,Paramètres!$A$1:$I$89,3,0)*0.475*44/12</f>
        <v>2.773726406906587E-7</v>
      </c>
      <c r="AC186" s="22">
        <f t="shared" si="163"/>
        <v>60.288621383260981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273.81843612193632</v>
      </c>
      <c r="AO186" s="59">
        <f t="shared" si="144"/>
        <v>241.86405419073208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-6.3550942286383367E-14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271.42245454555501</v>
      </c>
      <c r="BJ186" s="59">
        <f t="shared" si="146"/>
        <v>362.63944425429077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17.966339201429072</v>
      </c>
      <c r="BQ186" s="21">
        <f>EXP(-LN(2)/25)*BQ185+(1-EXP(-LN(2)/25))/(LN(2)/25)*Calculateur!BL186*Calculateur!BN186*VLOOKUP('Données projet'!$B$11,Paramètres!$A$1:$I$89,3,0)*0.475*44/12</f>
        <v>1.6565586273251018</v>
      </c>
      <c r="BR186" s="21">
        <f>EXP(-LN(2)/2)*BR185+(1-EXP(-LN(2)/2))/(LN(2)/2)*BL186*BO186*VLOOKUP('Données projet'!$B$11,Paramètres!$A$1:$I$89,3,0)*0.475*44/12</f>
        <v>1.8518880008098253E-18</v>
      </c>
      <c r="BS186" s="22">
        <f t="shared" si="169"/>
        <v>19.622897828754173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-3.1036506698001178E-14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154.35821558431712</v>
      </c>
      <c r="CE186" s="59">
        <f t="shared" si="148"/>
        <v>263.86720460501306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3.9718561330499358</v>
      </c>
      <c r="CL186" s="21">
        <f>EXP(-LN(2)/25)*CL185+(1-EXP(-LN(2)/25))/(LN(2)/25)*Calculateur!CG186*Calculateur!CI186*VLOOKUP('Données projet'!$B$12,Paramètres!$A$1:$I$89,3,0)*0.475*44/12</f>
        <v>2.8443292588488922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6.816185391898828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213</v>
      </c>
      <c r="CU186" s="17">
        <f>CT186*VLOOKUP('Données projet'!$B$13,Paramètres!$A$1:$I$89,3,0)*VLOOKUP('Données projet'!$B$13,Paramètres!$A$1:$I$89,5,0)</f>
        <v>169.46279999999999</v>
      </c>
      <c r="CV186" s="13">
        <f t="shared" si="173"/>
        <v>42.969686502194378</v>
      </c>
      <c r="CW186" s="20">
        <f t="shared" si="174"/>
        <v>369.9865806579885</v>
      </c>
      <c r="CX186" s="59">
        <f t="shared" si="122"/>
        <v>663.31991399132176</v>
      </c>
      <c r="CY186" s="59">
        <f ca="1">AVERAGE(OFFSET($CX$3,0,0,'Données projet'!$E$13+1,1))-AVERAGE(OFFSET($H$3,0,0,'Données projet'!$E$13+1,1))</f>
        <v>157.25319335691853</v>
      </c>
      <c r="CZ186" s="59">
        <f t="shared" si="150"/>
        <v>159.50903492442171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1.466956488445484</v>
      </c>
      <c r="DG186" s="21">
        <f>EXP(-LN(2)/25)*DG185+(1-EXP(-LN(2)/25))/(LN(2)/25)*Calculateur!DB186*Calculateur!DD186*VLOOKUP('Données projet'!$B$13,Paramètres!$A$1:$I$89,3,0)*0.475*44/12</f>
        <v>0.50252758580454937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1.9694840742500332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227.99999999999994</v>
      </c>
      <c r="DP186" s="17">
        <f>DO186*VLOOKUP('Données projet'!$B$14,Paramètres!$A$1:$I$89,3,0)*VLOOKUP('Données projet'!$B$14,Paramètres!$A$1:$I$89,5,0)</f>
        <v>199.18079999999998</v>
      </c>
      <c r="DQ186" s="13">
        <f t="shared" si="176"/>
        <v>49.564089376413683</v>
      </c>
      <c r="DR186" s="20">
        <f t="shared" si="177"/>
        <v>433.23068233058711</v>
      </c>
      <c r="DS186" s="59">
        <f t="shared" si="125"/>
        <v>726.56401566392037</v>
      </c>
      <c r="DT186" s="59">
        <f ca="1">AVERAGE(OFFSET($DS$3,0,0,'Données projet'!$E$14+1,1))-AVERAGE(OFFSET($H$3,0,0,'Données projet'!$E$14+1,1))</f>
        <v>229.5312221178919</v>
      </c>
      <c r="DU186" s="59">
        <f t="shared" si="152"/>
        <v>218.1982095871906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3.6955345495003256</v>
      </c>
      <c r="EB186" s="21">
        <f>EXP(-LN(2)/25)*EB185+(1-EXP(-LN(2)/25))/(LN(2)/25)*Calculateur!DW186*Calculateur!DY186*VLOOKUP('Données projet'!$B$14,Paramètres!$A$1:$I$89,3,0)*0.475*44/12</f>
        <v>1.4562787160541306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5.1518132655544564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-4.5474735088646412E-13</v>
      </c>
      <c r="EK186" s="17">
        <f>EJ186*VLOOKUP('Données projet'!$B$15,Paramètres!$A$1:$I$89,3,0)*VLOOKUP('Données projet'!$B$15,Paramètres!$A$1:$I$89,5,0)</f>
        <v>-4.1145540308207271E-13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204.39656982394689</v>
      </c>
      <c r="EP186" s="59">
        <f t="shared" si="154"/>
        <v>134.95704640904546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91.938416202619507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91.938416202619507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3.4106051316484809E-13</v>
      </c>
      <c r="FF186" s="17">
        <f>FE186*VLOOKUP('Données projet'!$B$16,Paramètres!$A$1:$I$89,3,0)*VLOOKUP('Données projet'!$B$16,Paramètres!$A$1:$I$89,5,0)</f>
        <v>2.9262992029543969E-13</v>
      </c>
      <c r="FG186" s="13">
        <f t="shared" si="182"/>
        <v>3.8796387982050903E-12</v>
      </c>
      <c r="FH186" s="20">
        <f t="shared" si="183"/>
        <v>7.2667013513884219E-12</v>
      </c>
      <c r="FI186" s="59">
        <f t="shared" si="131"/>
        <v>293.33333333334059</v>
      </c>
      <c r="FJ186" s="59">
        <f ca="1">AVERAGE(OFFSET($FI$3,0,0,'Données projet'!$E$16+1,1))-AVERAGE(OFFSET($H$3,0,0,'Données projet'!$E$16+1,1))</f>
        <v>199.60585215726968</v>
      </c>
      <c r="FK186" s="59">
        <f t="shared" si="156"/>
        <v>137.37366750114404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44.451027344285485</v>
      </c>
      <c r="FR186" s="21">
        <f>EXP(-LN(2)/25)*FR185+(1-EXP(-LN(2)/25))/(LN(2)/25)*Calculateur!FM186*Calculateur!FO186*VLOOKUP('Données projet'!$B$16,Paramètres!$A$1:$I$89,3,0)*0.475*44/12</f>
        <v>20.523003182643578</v>
      </c>
      <c r="FS186" s="21">
        <f>EXP(-LN(2)/2)*FS185+(1-EXP(-LN(2)/2))/(LN(2)/2)*FM186*FP186*VLOOKUP('Données projet'!$B$16,Paramètres!$A$1:$I$89,3,0)*0.475*44/12</f>
        <v>4.7624642048497577E-6</v>
      </c>
      <c r="FT186" s="22">
        <f t="shared" si="184"/>
        <v>64.974035289393257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1.1368683772161603E-12</v>
      </c>
      <c r="O187" s="13">
        <f>N187*VLOOKUP('Données projet'!$B$9,Paramètres!$A$1:$I$89,3,0)*VLOOKUP('Données projet'!$B$9,Paramètres!$A$1:$I$89,5,0)</f>
        <v>5.3205440053716299E-13</v>
      </c>
      <c r="P187" s="13">
        <f t="shared" si="141"/>
        <v>6.579711042921201E-12</v>
      </c>
      <c r="Q187" s="20">
        <f t="shared" si="162"/>
        <v>1.2386324814023317E-11</v>
      </c>
      <c r="R187" s="59">
        <f t="shared" si="109"/>
        <v>293.33333333334571</v>
      </c>
      <c r="S187" s="59">
        <f ca="1">AVERAGE(OFFSET($R$3,0,0,'Données projet'!$E$9+1,1))-AVERAGE(OFFSET($H$3,0,0,'Données projet'!$E$9+1,1))</f>
        <v>164.93438869099657</v>
      </c>
      <c r="T187" s="59">
        <f t="shared" si="142"/>
        <v>112.28641356594233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51.033871237915967</v>
      </c>
      <c r="AA187" s="21">
        <f>EXP(-LN(2)/25)*AA186+(1-EXP(-LN(2)/25))/(LN(2)/25)*Calculateur!V187*Calculateur!X187*VLOOKUP('Données projet'!$B$9,Paramètres!$A$1:$I$89,3,0)*0.475*44/12</f>
        <v>8.0088314102348104</v>
      </c>
      <c r="AB187" s="21">
        <f>EXP(-LN(2)/2)*AB186+(1-EXP(-LN(2)/2))/(LN(2)/2)*V187*Y187*VLOOKUP('Données projet'!$B$9,Paramètres!$A$1:$I$89,3,0)*0.475*44/12</f>
        <v>1.9613207514798447E-7</v>
      </c>
      <c r="AC187" s="22">
        <f t="shared" si="163"/>
        <v>59.042702844282857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273.81843612193632</v>
      </c>
      <c r="AO187" s="59">
        <f t="shared" si="144"/>
        <v>241.86405419073208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-6.3550942286383367E-14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271.42245454555501</v>
      </c>
      <c r="BJ187" s="59">
        <f t="shared" si="146"/>
        <v>362.63944425429077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17.614030248073909</v>
      </c>
      <c r="BQ187" s="21">
        <f>EXP(-LN(2)/25)*BQ186+(1-EXP(-LN(2)/25))/(LN(2)/25)*Calculateur!BL187*Calculateur!BN187*VLOOKUP('Données projet'!$B$11,Paramètres!$A$1:$I$89,3,0)*0.475*44/12</f>
        <v>1.6112599445462648</v>
      </c>
      <c r="BR187" s="21">
        <f>EXP(-LN(2)/2)*BR186+(1-EXP(-LN(2)/2))/(LN(2)/2)*BL187*BO187*VLOOKUP('Données projet'!$B$11,Paramètres!$A$1:$I$89,3,0)*0.475*44/12</f>
        <v>1.3094825633706261E-18</v>
      </c>
      <c r="BS187" s="22">
        <f t="shared" si="169"/>
        <v>19.225290192620175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-3.1036506698001178E-14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154.35821558431712</v>
      </c>
      <c r="CE187" s="59">
        <f t="shared" si="148"/>
        <v>263.86720460501306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3.8939704568738565</v>
      </c>
      <c r="CL187" s="21">
        <f>EXP(-LN(2)/25)*CL186+(1-EXP(-LN(2)/25))/(LN(2)/25)*Calculateur!CG187*Calculateur!CI187*VLOOKUP('Données projet'!$B$12,Paramètres!$A$1:$I$89,3,0)*0.475*44/12</f>
        <v>2.7665509256888945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6.6605213825627505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213</v>
      </c>
      <c r="CU187" s="17">
        <f>CT187*VLOOKUP('Données projet'!$B$13,Paramètres!$A$1:$I$89,3,0)*VLOOKUP('Données projet'!$B$13,Paramètres!$A$1:$I$89,5,0)</f>
        <v>169.46279999999999</v>
      </c>
      <c r="CV187" s="13">
        <f t="shared" si="173"/>
        <v>42.969686502194378</v>
      </c>
      <c r="CW187" s="20">
        <f t="shared" si="174"/>
        <v>369.9865806579885</v>
      </c>
      <c r="CX187" s="59">
        <f t="shared" si="122"/>
        <v>663.31991399132176</v>
      </c>
      <c r="CY187" s="59">
        <f ca="1">AVERAGE(OFFSET($CX$3,0,0,'Données projet'!$E$13+1,1))-AVERAGE(OFFSET($H$3,0,0,'Données projet'!$E$13+1,1))</f>
        <v>157.25319335691853</v>
      </c>
      <c r="CZ187" s="59">
        <f t="shared" si="150"/>
        <v>159.50903492442171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1.4381903664621762</v>
      </c>
      <c r="DG187" s="21">
        <f>EXP(-LN(2)/25)*DG186+(1-EXP(-LN(2)/25))/(LN(2)/25)*Calculateur!DB187*Calculateur!DD187*VLOOKUP('Données projet'!$B$13,Paramètres!$A$1:$I$89,3,0)*0.475*44/12</f>
        <v>0.48878594254394675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1.9269763090061229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227.99999999999994</v>
      </c>
      <c r="DP187" s="17">
        <f>DO187*VLOOKUP('Données projet'!$B$14,Paramètres!$A$1:$I$89,3,0)*VLOOKUP('Données projet'!$B$14,Paramètres!$A$1:$I$89,5,0)</f>
        <v>199.18079999999998</v>
      </c>
      <c r="DQ187" s="13">
        <f t="shared" si="176"/>
        <v>49.564089376413683</v>
      </c>
      <c r="DR187" s="20">
        <f t="shared" si="177"/>
        <v>433.23068233058711</v>
      </c>
      <c r="DS187" s="59">
        <f t="shared" si="125"/>
        <v>726.56401566392037</v>
      </c>
      <c r="DT187" s="59">
        <f ca="1">AVERAGE(OFFSET($DS$3,0,0,'Données projet'!$E$14+1,1))-AVERAGE(OFFSET($H$3,0,0,'Données projet'!$E$14+1,1))</f>
        <v>229.5312221178919</v>
      </c>
      <c r="DU187" s="59">
        <f t="shared" si="152"/>
        <v>218.1982095871906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3.6230673710381303</v>
      </c>
      <c r="EB187" s="21">
        <f>EXP(-LN(2)/25)*EB186+(1-EXP(-LN(2)/25))/(LN(2)/25)*Calculateur!DW187*Calculateur!DY187*VLOOKUP('Données projet'!$B$14,Paramètres!$A$1:$I$89,3,0)*0.475*44/12</f>
        <v>1.4164566979812612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5.0395240690193912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-4.5474735088646412E-13</v>
      </c>
      <c r="EK187" s="17">
        <f>EJ187*VLOOKUP('Données projet'!$B$15,Paramètres!$A$1:$I$89,3,0)*VLOOKUP('Données projet'!$B$15,Paramètres!$A$1:$I$89,5,0)</f>
        <v>-4.1145540308207271E-13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204.39656982394689</v>
      </c>
      <c r="EP187" s="59">
        <f t="shared" si="154"/>
        <v>134.95704640904546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90.135559937782887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90.135559937782887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3.4106051316484809E-13</v>
      </c>
      <c r="FF187" s="17">
        <f>FE187*VLOOKUP('Données projet'!$B$16,Paramètres!$A$1:$I$89,3,0)*VLOOKUP('Données projet'!$B$16,Paramètres!$A$1:$I$89,5,0)</f>
        <v>2.9262992029543969E-13</v>
      </c>
      <c r="FG187" s="13">
        <f t="shared" si="182"/>
        <v>3.8796387982050903E-12</v>
      </c>
      <c r="FH187" s="20">
        <f t="shared" si="183"/>
        <v>7.2667013513884219E-12</v>
      </c>
      <c r="FI187" s="59">
        <f t="shared" si="131"/>
        <v>293.33333333334059</v>
      </c>
      <c r="FJ187" s="59">
        <f ca="1">AVERAGE(OFFSET($FI$3,0,0,'Données projet'!$E$16+1,1))-AVERAGE(OFFSET($H$3,0,0,'Données projet'!$E$16+1,1))</f>
        <v>199.60585215726968</v>
      </c>
      <c r="FK187" s="59">
        <f t="shared" si="156"/>
        <v>137.37366750114404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43.579369810513597</v>
      </c>
      <c r="FR187" s="21">
        <f>EXP(-LN(2)/25)*FR186+(1-EXP(-LN(2)/25))/(LN(2)/25)*Calculateur!FM187*Calculateur!FO187*VLOOKUP('Données projet'!$B$16,Paramètres!$A$1:$I$89,3,0)*0.475*44/12</f>
        <v>19.961800581356357</v>
      </c>
      <c r="FS187" s="21">
        <f>EXP(-LN(2)/2)*FS186+(1-EXP(-LN(2)/2))/(LN(2)/2)*FM187*FP187*VLOOKUP('Données projet'!$B$16,Paramètres!$A$1:$I$89,3,0)*0.475*44/12</f>
        <v>3.3675707344074628E-6</v>
      </c>
      <c r="FT187" s="22">
        <f t="shared" si="184"/>
        <v>63.541173759440689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1.1368683772161603E-12</v>
      </c>
      <c r="O188" s="13">
        <f>N188*VLOOKUP('Données projet'!$B$9,Paramètres!$A$1:$I$89,3,0)*VLOOKUP('Données projet'!$B$9,Paramètres!$A$1:$I$89,5,0)</f>
        <v>5.3205440053716299E-13</v>
      </c>
      <c r="P188" s="13">
        <f t="shared" si="141"/>
        <v>6.579711042921201E-12</v>
      </c>
      <c r="Q188" s="20">
        <f t="shared" si="162"/>
        <v>1.2386324814023317E-11</v>
      </c>
      <c r="R188" s="59">
        <f t="shared" si="109"/>
        <v>293.33333333334571</v>
      </c>
      <c r="S188" s="59">
        <f ca="1">AVERAGE(OFFSET($R$3,0,0,'Données projet'!$E$9+1,1))-AVERAGE(OFFSET($H$3,0,0,'Données projet'!$E$9+1,1))</f>
        <v>164.93438869099657</v>
      </c>
      <c r="T188" s="59">
        <f t="shared" si="142"/>
        <v>112.28641356594233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50.033128150528299</v>
      </c>
      <c r="AA188" s="21">
        <f>EXP(-LN(2)/25)*AA187+(1-EXP(-LN(2)/25))/(LN(2)/25)*Calculateur!V188*Calculateur!X188*VLOOKUP('Données projet'!$B$9,Paramètres!$A$1:$I$89,3,0)*0.475*44/12</f>
        <v>7.7898294941557999</v>
      </c>
      <c r="AB188" s="21">
        <f>EXP(-LN(2)/2)*AB187+(1-EXP(-LN(2)/2))/(LN(2)/2)*V188*Y188*VLOOKUP('Données projet'!$B$9,Paramètres!$A$1:$I$89,3,0)*0.475*44/12</f>
        <v>1.3868632034532935E-7</v>
      </c>
      <c r="AC188" s="22">
        <f t="shared" si="163"/>
        <v>57.822957783370413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273.81843612193632</v>
      </c>
      <c r="AO188" s="59">
        <f t="shared" si="144"/>
        <v>241.86405419073208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-6.3550942286383367E-14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271.42245454555501</v>
      </c>
      <c r="BJ188" s="59">
        <f t="shared" si="146"/>
        <v>362.63944425429077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17.268629858406801</v>
      </c>
      <c r="BQ188" s="21">
        <f>EXP(-LN(2)/25)*BQ187+(1-EXP(-LN(2)/25))/(LN(2)/25)*Calculateur!BL188*Calculateur!BN188*VLOOKUP('Données projet'!$B$11,Paramètres!$A$1:$I$89,3,0)*0.475*44/12</f>
        <v>1.5671999566301693</v>
      </c>
      <c r="BR188" s="21">
        <f>EXP(-LN(2)/2)*BR187+(1-EXP(-LN(2)/2))/(LN(2)/2)*BL188*BO188*VLOOKUP('Données projet'!$B$11,Paramètres!$A$1:$I$89,3,0)*0.475*44/12</f>
        <v>9.2594400040491263E-19</v>
      </c>
      <c r="BS188" s="22">
        <f t="shared" si="169"/>
        <v>18.83582981503697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-3.1036506698001178E-14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154.35821558431712</v>
      </c>
      <c r="CE188" s="59">
        <f t="shared" si="148"/>
        <v>263.86720460501306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3.8176120713020185</v>
      </c>
      <c r="CL188" s="21">
        <f>EXP(-LN(2)/25)*CL187+(1-EXP(-LN(2)/25))/(LN(2)/25)*Calculateur!CG188*Calculateur!CI188*VLOOKUP('Données projet'!$B$12,Paramètres!$A$1:$I$89,3,0)*0.475*44/12</f>
        <v>2.6908994451393413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6.5085115164413594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213</v>
      </c>
      <c r="CU188" s="17">
        <f>CT188*VLOOKUP('Données projet'!$B$13,Paramètres!$A$1:$I$89,3,0)*VLOOKUP('Données projet'!$B$13,Paramètres!$A$1:$I$89,5,0)</f>
        <v>169.46279999999999</v>
      </c>
      <c r="CV188" s="13">
        <f t="shared" si="173"/>
        <v>42.969686502194378</v>
      </c>
      <c r="CW188" s="20">
        <f t="shared" si="174"/>
        <v>369.9865806579885</v>
      </c>
      <c r="CX188" s="59">
        <f t="shared" si="122"/>
        <v>663.31991399132176</v>
      </c>
      <c r="CY188" s="59">
        <f ca="1">AVERAGE(OFFSET($CX$3,0,0,'Données projet'!$E$13+1,1))-AVERAGE(OFFSET($H$3,0,0,'Données projet'!$E$13+1,1))</f>
        <v>157.25319335691853</v>
      </c>
      <c r="CZ188" s="59">
        <f t="shared" si="150"/>
        <v>159.50903492442171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1.4099883305853593</v>
      </c>
      <c r="DG188" s="21">
        <f>EXP(-LN(2)/25)*DG187+(1-EXP(-LN(2)/25))/(LN(2)/25)*Calculateur!DB188*Calculateur!DD188*VLOOKUP('Données projet'!$B$13,Paramètres!$A$1:$I$89,3,0)*0.475*44/12</f>
        <v>0.47542006524094693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1.8854083958263064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227.99999999999994</v>
      </c>
      <c r="DP188" s="17">
        <f>DO188*VLOOKUP('Données projet'!$B$14,Paramètres!$A$1:$I$89,3,0)*VLOOKUP('Données projet'!$B$14,Paramètres!$A$1:$I$89,5,0)</f>
        <v>199.18079999999998</v>
      </c>
      <c r="DQ188" s="13">
        <f t="shared" si="176"/>
        <v>49.564089376413683</v>
      </c>
      <c r="DR188" s="20">
        <f t="shared" si="177"/>
        <v>433.23068233058711</v>
      </c>
      <c r="DS188" s="59">
        <f t="shared" si="125"/>
        <v>726.56401566392037</v>
      </c>
      <c r="DT188" s="59">
        <f ca="1">AVERAGE(OFFSET($DS$3,0,0,'Données projet'!$E$14+1,1))-AVERAGE(OFFSET($H$3,0,0,'Données projet'!$E$14+1,1))</f>
        <v>229.5312221178919</v>
      </c>
      <c r="DU188" s="59">
        <f t="shared" si="152"/>
        <v>218.1982095871906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3.5520212297449638</v>
      </c>
      <c r="EB188" s="21">
        <f>EXP(-LN(2)/25)*EB187+(1-EXP(-LN(2)/25))/(LN(2)/25)*Calculateur!DW188*Calculateur!DY188*VLOOKUP('Données projet'!$B$14,Paramètres!$A$1:$I$89,3,0)*0.475*44/12</f>
        <v>1.3777236150867431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4.9297448448317072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-4.5474735088646412E-13</v>
      </c>
      <c r="EK188" s="17">
        <f>EJ188*VLOOKUP('Données projet'!$B$15,Paramètres!$A$1:$I$89,3,0)*VLOOKUP('Données projet'!$B$15,Paramètres!$A$1:$I$89,5,0)</f>
        <v>-4.1145540308207271E-13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204.39656982394689</v>
      </c>
      <c r="EP188" s="59">
        <f t="shared" si="154"/>
        <v>134.95704640904546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88.368056584665979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88.368056584665979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3.4106051316484809E-13</v>
      </c>
      <c r="FF188" s="17">
        <f>FE188*VLOOKUP('Données projet'!$B$16,Paramètres!$A$1:$I$89,3,0)*VLOOKUP('Données projet'!$B$16,Paramètres!$A$1:$I$89,5,0)</f>
        <v>2.9262992029543969E-13</v>
      </c>
      <c r="FG188" s="13">
        <f t="shared" si="182"/>
        <v>3.8796387982050903E-12</v>
      </c>
      <c r="FH188" s="20">
        <f t="shared" si="183"/>
        <v>7.2667013513884219E-12</v>
      </c>
      <c r="FI188" s="59">
        <f t="shared" si="131"/>
        <v>293.33333333334059</v>
      </c>
      <c r="FJ188" s="59">
        <f ca="1">AVERAGE(OFFSET($FI$3,0,0,'Données projet'!$E$16+1,1))-AVERAGE(OFFSET($H$3,0,0,'Données projet'!$E$16+1,1))</f>
        <v>199.60585215726968</v>
      </c>
      <c r="FK188" s="59">
        <f t="shared" si="156"/>
        <v>137.37366750114404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42.724804949320372</v>
      </c>
      <c r="FR188" s="21">
        <f>EXP(-LN(2)/25)*FR187+(1-EXP(-LN(2)/25))/(LN(2)/25)*Calculateur!FM188*Calculateur!FO188*VLOOKUP('Données projet'!$B$16,Paramètres!$A$1:$I$89,3,0)*0.475*44/12</f>
        <v>19.415944094713698</v>
      </c>
      <c r="FS188" s="21">
        <f>EXP(-LN(2)/2)*FS187+(1-EXP(-LN(2)/2))/(LN(2)/2)*FM188*FP188*VLOOKUP('Données projet'!$B$16,Paramètres!$A$1:$I$89,3,0)*0.475*44/12</f>
        <v>2.3812321024248789E-6</v>
      </c>
      <c r="FT188" s="22">
        <f t="shared" si="184"/>
        <v>62.140751425266167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1.1368683772161603E-12</v>
      </c>
      <c r="O189" s="13">
        <f>N189*VLOOKUP('Données projet'!$B$9,Paramètres!$A$1:$I$89,3,0)*VLOOKUP('Données projet'!$B$9,Paramètres!$A$1:$I$89,5,0)</f>
        <v>5.3205440053716299E-13</v>
      </c>
      <c r="P189" s="13">
        <f t="shared" si="141"/>
        <v>6.579711042921201E-12</v>
      </c>
      <c r="Q189" s="20">
        <f t="shared" si="162"/>
        <v>1.2386324814023317E-11</v>
      </c>
      <c r="R189" s="59">
        <f t="shared" si="109"/>
        <v>293.33333333334571</v>
      </c>
      <c r="S189" s="59">
        <f ca="1">AVERAGE(OFFSET($R$3,0,0,'Données projet'!$E$9+1,1))-AVERAGE(OFFSET($H$3,0,0,'Données projet'!$E$9+1,1))</f>
        <v>164.93438869099657</v>
      </c>
      <c r="T189" s="59">
        <f t="shared" si="142"/>
        <v>112.28641356594233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49.052009024691287</v>
      </c>
      <c r="AA189" s="21">
        <f>EXP(-LN(2)/25)*AA188+(1-EXP(-LN(2)/25))/(LN(2)/25)*Calculateur!V189*Calculateur!X189*VLOOKUP('Données projet'!$B$9,Paramètres!$A$1:$I$89,3,0)*0.475*44/12</f>
        <v>7.5768161969887808</v>
      </c>
      <c r="AB189" s="21">
        <f>EXP(-LN(2)/2)*AB188+(1-EXP(-LN(2)/2))/(LN(2)/2)*V189*Y189*VLOOKUP('Données projet'!$B$9,Paramètres!$A$1:$I$89,3,0)*0.475*44/12</f>
        <v>9.8066037573992235E-8</v>
      </c>
      <c r="AC189" s="22">
        <f t="shared" si="163"/>
        <v>56.628825319746106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273.81843612193632</v>
      </c>
      <c r="AO189" s="59">
        <f t="shared" si="144"/>
        <v>241.86405419073208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-6.3550942286383367E-14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271.42245454555501</v>
      </c>
      <c r="BJ189" s="59">
        <f t="shared" si="146"/>
        <v>362.63944425429077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16.930002559707628</v>
      </c>
      <c r="BQ189" s="21">
        <f>EXP(-LN(2)/25)*BQ188+(1-EXP(-LN(2)/25))/(LN(2)/25)*Calculateur!BL189*Calculateur!BN189*VLOOKUP('Données projet'!$B$11,Paramètres!$A$1:$I$89,3,0)*0.475*44/12</f>
        <v>1.5243447914006536</v>
      </c>
      <c r="BR189" s="21">
        <f>EXP(-LN(2)/2)*BR188+(1-EXP(-LN(2)/2))/(LN(2)/2)*BL189*BO189*VLOOKUP('Données projet'!$B$11,Paramètres!$A$1:$I$89,3,0)*0.475*44/12</f>
        <v>6.5474128168531303E-19</v>
      </c>
      <c r="BS189" s="22">
        <f t="shared" si="169"/>
        <v>18.454347351108282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-3.1036506698001178E-14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154.35821558431712</v>
      </c>
      <c r="CE189" s="59">
        <f t="shared" si="148"/>
        <v>263.86720460501306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3.7427510270972277</v>
      </c>
      <c r="CL189" s="21">
        <f>EXP(-LN(2)/25)*CL188+(1-EXP(-LN(2)/25))/(LN(2)/25)*Calculateur!CG189*Calculateur!CI189*VLOOKUP('Données projet'!$B$12,Paramètres!$A$1:$I$89,3,0)*0.475*44/12</f>
        <v>2.6173166583037544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6.3600676854009821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213</v>
      </c>
      <c r="CU189" s="17">
        <f>CT189*VLOOKUP('Données projet'!$B$13,Paramètres!$A$1:$I$89,3,0)*VLOOKUP('Données projet'!$B$13,Paramètres!$A$1:$I$89,5,0)</f>
        <v>169.46279999999999</v>
      </c>
      <c r="CV189" s="13">
        <f t="shared" si="173"/>
        <v>42.969686502194378</v>
      </c>
      <c r="CW189" s="20">
        <f t="shared" si="174"/>
        <v>369.9865806579885</v>
      </c>
      <c r="CX189" s="59">
        <f t="shared" si="122"/>
        <v>663.31991399132176</v>
      </c>
      <c r="CY189" s="59">
        <f ca="1">AVERAGE(OFFSET($CX$3,0,0,'Données projet'!$E$13+1,1))-AVERAGE(OFFSET($H$3,0,0,'Données projet'!$E$13+1,1))</f>
        <v>157.25319335691853</v>
      </c>
      <c r="CZ189" s="59">
        <f t="shared" si="150"/>
        <v>159.50903492442171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1.3823393194305433</v>
      </c>
      <c r="DG189" s="21">
        <f>EXP(-LN(2)/25)*DG188+(1-EXP(-LN(2)/25))/(LN(2)/25)*Calculateur!DB189*Calculateur!DD189*VLOOKUP('Données projet'!$B$13,Paramètres!$A$1:$I$89,3,0)*0.475*44/12</f>
        <v>0.46241967855567861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1.844758997986222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227.99999999999994</v>
      </c>
      <c r="DP189" s="17">
        <f>DO189*VLOOKUP('Données projet'!$B$14,Paramètres!$A$1:$I$89,3,0)*VLOOKUP('Données projet'!$B$14,Paramètres!$A$1:$I$89,5,0)</f>
        <v>199.18079999999998</v>
      </c>
      <c r="DQ189" s="13">
        <f t="shared" si="176"/>
        <v>49.564089376413683</v>
      </c>
      <c r="DR189" s="20">
        <f t="shared" si="177"/>
        <v>433.23068233058711</v>
      </c>
      <c r="DS189" s="59">
        <f t="shared" si="125"/>
        <v>726.56401566392037</v>
      </c>
      <c r="DT189" s="59">
        <f ca="1">AVERAGE(OFFSET($DS$3,0,0,'Données projet'!$E$14+1,1))-AVERAGE(OFFSET($H$3,0,0,'Données projet'!$E$14+1,1))</f>
        <v>229.5312221178919</v>
      </c>
      <c r="DU189" s="59">
        <f t="shared" si="152"/>
        <v>218.1982095871906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3.4823682599486894</v>
      </c>
      <c r="EB189" s="21">
        <f>EXP(-LN(2)/25)*EB188+(1-EXP(-LN(2)/25))/(LN(2)/25)*Calculateur!DW189*Calculateur!DY189*VLOOKUP('Données projet'!$B$14,Paramètres!$A$1:$I$89,3,0)*0.475*44/12</f>
        <v>1.3400496903808601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4.8224179503295499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-4.5474735088646412E-13</v>
      </c>
      <c r="EK189" s="17">
        <f>EJ189*VLOOKUP('Données projet'!$B$15,Paramètres!$A$1:$I$89,3,0)*VLOOKUP('Données projet'!$B$15,Paramètres!$A$1:$I$89,5,0)</f>
        <v>-4.1145540308207271E-13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204.39656982394689</v>
      </c>
      <c r="EP189" s="59">
        <f t="shared" si="154"/>
        <v>134.95704640904546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86.635212894233092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86.635212894233092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3.4106051316484809E-13</v>
      </c>
      <c r="FF189" s="17">
        <f>FE189*VLOOKUP('Données projet'!$B$16,Paramètres!$A$1:$I$89,3,0)*VLOOKUP('Données projet'!$B$16,Paramètres!$A$1:$I$89,5,0)</f>
        <v>2.9262992029543969E-13</v>
      </c>
      <c r="FG189" s="13">
        <f t="shared" si="182"/>
        <v>3.8796387982050903E-12</v>
      </c>
      <c r="FH189" s="20">
        <f t="shared" si="183"/>
        <v>7.2667013513884219E-12</v>
      </c>
      <c r="FI189" s="59">
        <f t="shared" si="131"/>
        <v>293.33333333334059</v>
      </c>
      <c r="FJ189" s="59">
        <f ca="1">AVERAGE(OFFSET($FI$3,0,0,'Données projet'!$E$16+1,1))-AVERAGE(OFFSET($H$3,0,0,'Données projet'!$E$16+1,1))</f>
        <v>199.60585215726968</v>
      </c>
      <c r="FK189" s="59">
        <f t="shared" si="156"/>
        <v>137.37366750114404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41.886997583822051</v>
      </c>
      <c r="FR189" s="21">
        <f>EXP(-LN(2)/25)*FR188+(1-EXP(-LN(2)/25))/(LN(2)/25)*Calculateur!FM189*Calculateur!FO189*VLOOKUP('Données projet'!$B$16,Paramètres!$A$1:$I$89,3,0)*0.475*44/12</f>
        <v>18.885014082403629</v>
      </c>
      <c r="FS189" s="21">
        <f>EXP(-LN(2)/2)*FS188+(1-EXP(-LN(2)/2))/(LN(2)/2)*FM189*FP189*VLOOKUP('Données projet'!$B$16,Paramètres!$A$1:$I$89,3,0)*0.475*44/12</f>
        <v>1.6837853672037314E-6</v>
      </c>
      <c r="FT189" s="22">
        <f t="shared" si="184"/>
        <v>60.772013350011051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1.1368683772161603E-12</v>
      </c>
      <c r="O190" s="13">
        <f>N190*VLOOKUP('Données projet'!$B$9,Paramètres!$A$1:$I$89,3,0)*VLOOKUP('Données projet'!$B$9,Paramètres!$A$1:$I$89,5,0)</f>
        <v>5.3205440053716299E-13</v>
      </c>
      <c r="P190" s="13">
        <f t="shared" si="141"/>
        <v>6.579711042921201E-12</v>
      </c>
      <c r="Q190" s="20">
        <f t="shared" si="162"/>
        <v>1.2386324814023317E-11</v>
      </c>
      <c r="R190" s="59">
        <f t="shared" si="109"/>
        <v>293.33333333334571</v>
      </c>
      <c r="S190" s="59">
        <f ca="1">AVERAGE(OFFSET($R$3,0,0,'Données projet'!$E$9+1,1))-AVERAGE(OFFSET($H$3,0,0,'Données projet'!$E$9+1,1))</f>
        <v>164.93438869099657</v>
      </c>
      <c r="T190" s="59">
        <f t="shared" si="142"/>
        <v>112.28641356594233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48.090129046488364</v>
      </c>
      <c r="AA190" s="21">
        <f>EXP(-LN(2)/25)*AA189+(1-EXP(-LN(2)/25))/(LN(2)/25)*Calculateur!V190*Calculateur!X190*VLOOKUP('Données projet'!$B$9,Paramètres!$A$1:$I$89,3,0)*0.475*44/12</f>
        <v>7.3696277596346755</v>
      </c>
      <c r="AB190" s="21">
        <f>EXP(-LN(2)/2)*AB189+(1-EXP(-LN(2)/2))/(LN(2)/2)*V190*Y190*VLOOKUP('Données projet'!$B$9,Paramètres!$A$1:$I$89,3,0)*0.475*44/12</f>
        <v>6.9343160172664674E-8</v>
      </c>
      <c r="AC190" s="22">
        <f t="shared" si="163"/>
        <v>55.459756875466198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273.81843612193632</v>
      </c>
      <c r="AO190" s="59">
        <f t="shared" si="144"/>
        <v>241.86405419073208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-6.3550942286383367E-14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271.42245454555501</v>
      </c>
      <c r="BJ190" s="59">
        <f t="shared" si="146"/>
        <v>362.63944425429077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16.598015535793689</v>
      </c>
      <c r="BQ190" s="21">
        <f>EXP(-LN(2)/25)*BQ189+(1-EXP(-LN(2)/25))/(LN(2)/25)*Calculateur!BL190*Calculateur!BN190*VLOOKUP('Données projet'!$B$11,Paramètres!$A$1:$I$89,3,0)*0.475*44/12</f>
        <v>1.4826615029179941</v>
      </c>
      <c r="BR190" s="21">
        <f>EXP(-LN(2)/2)*BR189+(1-EXP(-LN(2)/2))/(LN(2)/2)*BL190*BO190*VLOOKUP('Données projet'!$B$11,Paramètres!$A$1:$I$89,3,0)*0.475*44/12</f>
        <v>4.6297200020245631E-19</v>
      </c>
      <c r="BS190" s="22">
        <f t="shared" si="169"/>
        <v>18.080677038711684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-3.1036506698001178E-14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154.35821558431712</v>
      </c>
      <c r="CE190" s="59">
        <f t="shared" si="148"/>
        <v>263.86720460501306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3.6693579623085646</v>
      </c>
      <c r="CL190" s="21">
        <f>EXP(-LN(2)/25)*CL189+(1-EXP(-LN(2)/25))/(LN(2)/25)*Calculateur!CG190*Calculateur!CI190*VLOOKUP('Données projet'!$B$12,Paramètres!$A$1:$I$89,3,0)*0.475*44/12</f>
        <v>2.545745996643737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6.2151039589523016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213</v>
      </c>
      <c r="CU190" s="17">
        <f>CT190*VLOOKUP('Données projet'!$B$13,Paramètres!$A$1:$I$89,3,0)*VLOOKUP('Données projet'!$B$13,Paramètres!$A$1:$I$89,5,0)</f>
        <v>169.46279999999999</v>
      </c>
      <c r="CV190" s="13">
        <f t="shared" si="173"/>
        <v>42.969686502194378</v>
      </c>
      <c r="CW190" s="20">
        <f t="shared" si="174"/>
        <v>369.9865806579885</v>
      </c>
      <c r="CX190" s="59">
        <f t="shared" si="122"/>
        <v>663.31991399132176</v>
      </c>
      <c r="CY190" s="59">
        <f ca="1">AVERAGE(OFFSET($CX$3,0,0,'Données projet'!$E$13+1,1))-AVERAGE(OFFSET($H$3,0,0,'Données projet'!$E$13+1,1))</f>
        <v>157.25319335691853</v>
      </c>
      <c r="CZ190" s="59">
        <f t="shared" si="150"/>
        <v>159.50903492442171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1.3552324885202418</v>
      </c>
      <c r="DG190" s="21">
        <f>EXP(-LN(2)/25)*DG189+(1-EXP(-LN(2)/25))/(LN(2)/25)*Calculateur!DB190*Calculateur!DD190*VLOOKUP('Données projet'!$B$13,Paramètres!$A$1:$I$89,3,0)*0.475*44/12</f>
        <v>0.44977478812797955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1.8050072766482215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227.99999999999994</v>
      </c>
      <c r="DP190" s="17">
        <f>DO190*VLOOKUP('Données projet'!$B$14,Paramètres!$A$1:$I$89,3,0)*VLOOKUP('Données projet'!$B$14,Paramètres!$A$1:$I$89,5,0)</f>
        <v>199.18079999999998</v>
      </c>
      <c r="DQ190" s="13">
        <f t="shared" si="176"/>
        <v>49.564089376413683</v>
      </c>
      <c r="DR190" s="20">
        <f t="shared" si="177"/>
        <v>433.23068233058711</v>
      </c>
      <c r="DS190" s="59">
        <f t="shared" si="125"/>
        <v>726.56401566392037</v>
      </c>
      <c r="DT190" s="59">
        <f ca="1">AVERAGE(OFFSET($DS$3,0,0,'Données projet'!$E$14+1,1))-AVERAGE(OFFSET($H$3,0,0,'Données projet'!$E$14+1,1))</f>
        <v>229.5312221178919</v>
      </c>
      <c r="DU190" s="59">
        <f t="shared" si="152"/>
        <v>218.1982095871906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3.4140811424060029</v>
      </c>
      <c r="EB190" s="21">
        <f>EXP(-LN(2)/25)*EB189+(1-EXP(-LN(2)/25))/(LN(2)/25)*Calculateur!DW190*Calculateur!DY190*VLOOKUP('Données projet'!$B$14,Paramètres!$A$1:$I$89,3,0)*0.475*44/12</f>
        <v>1.303405961127245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4.717487103533248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-4.5474735088646412E-13</v>
      </c>
      <c r="EK190" s="17">
        <f>EJ190*VLOOKUP('Données projet'!$B$15,Paramètres!$A$1:$I$89,3,0)*VLOOKUP('Données projet'!$B$15,Paramètres!$A$1:$I$89,5,0)</f>
        <v>-4.1145540308207271E-13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204.39656982394689</v>
      </c>
      <c r="EP190" s="59">
        <f t="shared" si="154"/>
        <v>134.95704640904546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84.93634921163931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84.93634921163931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3.4106051316484809E-13</v>
      </c>
      <c r="FF190" s="17">
        <f>FE190*VLOOKUP('Données projet'!$B$16,Paramètres!$A$1:$I$89,3,0)*VLOOKUP('Données projet'!$B$16,Paramètres!$A$1:$I$89,5,0)</f>
        <v>2.9262992029543969E-13</v>
      </c>
      <c r="FG190" s="13">
        <f t="shared" si="182"/>
        <v>3.8796387982050903E-12</v>
      </c>
      <c r="FH190" s="20">
        <f t="shared" si="183"/>
        <v>7.2667013513884219E-12</v>
      </c>
      <c r="FI190" s="59">
        <f t="shared" si="131"/>
        <v>293.33333333334059</v>
      </c>
      <c r="FJ190" s="59">
        <f ca="1">AVERAGE(OFFSET($FI$3,0,0,'Données projet'!$E$16+1,1))-AVERAGE(OFFSET($H$3,0,0,'Données projet'!$E$16+1,1))</f>
        <v>199.60585215726968</v>
      </c>
      <c r="FK190" s="59">
        <f t="shared" si="156"/>
        <v>137.37366750114404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41.065619109749115</v>
      </c>
      <c r="FR190" s="21">
        <f>EXP(-LN(2)/25)*FR189+(1-EXP(-LN(2)/25))/(LN(2)/25)*Calculateur!FM190*Calculateur!FO190*VLOOKUP('Données projet'!$B$16,Paramètres!$A$1:$I$89,3,0)*0.475*44/12</f>
        <v>18.368602379200574</v>
      </c>
      <c r="FS190" s="21">
        <f>EXP(-LN(2)/2)*FS189+(1-EXP(-LN(2)/2))/(LN(2)/2)*FM190*FP190*VLOOKUP('Données projet'!$B$16,Paramètres!$A$1:$I$89,3,0)*0.475*44/12</f>
        <v>1.1906160512124394E-6</v>
      </c>
      <c r="FT190" s="22">
        <f t="shared" si="184"/>
        <v>59.434222679565742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1.1368683772161603E-12</v>
      </c>
      <c r="O191" s="13">
        <f>N191*VLOOKUP('Données projet'!$B$9,Paramètres!$A$1:$I$89,3,0)*VLOOKUP('Données projet'!$B$9,Paramètres!$A$1:$I$89,5,0)</f>
        <v>5.3205440053716299E-13</v>
      </c>
      <c r="P191" s="13">
        <f t="shared" si="141"/>
        <v>6.579711042921201E-12</v>
      </c>
      <c r="Q191" s="20">
        <f t="shared" si="162"/>
        <v>1.2386324814023317E-11</v>
      </c>
      <c r="R191" s="59">
        <f t="shared" si="109"/>
        <v>293.33333333334571</v>
      </c>
      <c r="S191" s="59">
        <f ca="1">AVERAGE(OFFSET($R$3,0,0,'Données projet'!$E$9+1,1))-AVERAGE(OFFSET($H$3,0,0,'Données projet'!$E$9+1,1))</f>
        <v>164.93438869099657</v>
      </c>
      <c r="T191" s="59">
        <f t="shared" si="142"/>
        <v>112.28641356594233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47.147110947969146</v>
      </c>
      <c r="AA191" s="21">
        <f>EXP(-LN(2)/25)*AA190+(1-EXP(-LN(2)/25))/(LN(2)/25)*Calculateur!V191*Calculateur!X191*VLOOKUP('Données projet'!$B$9,Paramètres!$A$1:$I$89,3,0)*0.475*44/12</f>
        <v>7.1681049009955853</v>
      </c>
      <c r="AB191" s="21">
        <f>EXP(-LN(2)/2)*AB190+(1-EXP(-LN(2)/2))/(LN(2)/2)*V191*Y191*VLOOKUP('Données projet'!$B$9,Paramètres!$A$1:$I$89,3,0)*0.475*44/12</f>
        <v>4.9033018786996118E-8</v>
      </c>
      <c r="AC191" s="22">
        <f t="shared" si="163"/>
        <v>54.315215897997753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273.81843612193632</v>
      </c>
      <c r="AO191" s="59">
        <f t="shared" si="144"/>
        <v>241.86405419073208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-6.3550942286383367E-14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271.42245454555501</v>
      </c>
      <c r="BJ191" s="59">
        <f t="shared" si="146"/>
        <v>362.63944425429077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16.27253857492661</v>
      </c>
      <c r="BQ191" s="21">
        <f>EXP(-LN(2)/25)*BQ190+(1-EXP(-LN(2)/25))/(LN(2)/25)*Calculateur!BL191*Calculateur!BN191*VLOOKUP('Données projet'!$B$11,Paramètres!$A$1:$I$89,3,0)*0.475*44/12</f>
        <v>1.4421180461509218</v>
      </c>
      <c r="BR191" s="21">
        <f>EXP(-LN(2)/2)*BR190+(1-EXP(-LN(2)/2))/(LN(2)/2)*BL191*BO191*VLOOKUP('Données projet'!$B$11,Paramètres!$A$1:$I$89,3,0)*0.475*44/12</f>
        <v>3.2737064084265651E-19</v>
      </c>
      <c r="BS191" s="22">
        <f t="shared" si="169"/>
        <v>17.71465662107753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-3.1036506698001178E-14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154.35821558431712</v>
      </c>
      <c r="CE191" s="59">
        <f t="shared" si="148"/>
        <v>263.86720460501306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3.5974040907550577</v>
      </c>
      <c r="CL191" s="21">
        <f>EXP(-LN(2)/25)*CL190+(1-EXP(-LN(2)/25))/(LN(2)/25)*Calculateur!CG191*Calculateur!CI191*VLOOKUP('Données projet'!$B$12,Paramètres!$A$1:$I$89,3,0)*0.475*44/12</f>
        <v>2.4761324384905503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6.0735365292456081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213</v>
      </c>
      <c r="CU191" s="17">
        <f>CT191*VLOOKUP('Données projet'!$B$13,Paramètres!$A$1:$I$89,3,0)*VLOOKUP('Données projet'!$B$13,Paramètres!$A$1:$I$89,5,0)</f>
        <v>169.46279999999999</v>
      </c>
      <c r="CV191" s="13">
        <f t="shared" si="173"/>
        <v>42.969686502194378</v>
      </c>
      <c r="CW191" s="20">
        <f t="shared" si="174"/>
        <v>369.9865806579885</v>
      </c>
      <c r="CX191" s="59">
        <f t="shared" si="122"/>
        <v>663.31991399132176</v>
      </c>
      <c r="CY191" s="59">
        <f ca="1">AVERAGE(OFFSET($CX$3,0,0,'Données projet'!$E$13+1,1))-AVERAGE(OFFSET($H$3,0,0,'Données projet'!$E$13+1,1))</f>
        <v>157.25319335691853</v>
      </c>
      <c r="CZ191" s="59">
        <f t="shared" si="150"/>
        <v>159.50903492442171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1.3286572060305568</v>
      </c>
      <c r="DG191" s="21">
        <f>EXP(-LN(2)/25)*DG190+(1-EXP(-LN(2)/25))/(LN(2)/25)*Calculateur!DB191*Calculateur!DD191*VLOOKUP('Données projet'!$B$13,Paramètres!$A$1:$I$89,3,0)*0.475*44/12</f>
        <v>0.43747567289399181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1.7661328789245485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227.99999999999994</v>
      </c>
      <c r="DP191" s="17">
        <f>DO191*VLOOKUP('Données projet'!$B$14,Paramètres!$A$1:$I$89,3,0)*VLOOKUP('Données projet'!$B$14,Paramètres!$A$1:$I$89,5,0)</f>
        <v>199.18079999999998</v>
      </c>
      <c r="DQ191" s="13">
        <f t="shared" si="176"/>
        <v>49.564089376413683</v>
      </c>
      <c r="DR191" s="20">
        <f t="shared" si="177"/>
        <v>433.23068233058711</v>
      </c>
      <c r="DS191" s="59">
        <f t="shared" si="125"/>
        <v>726.56401566392037</v>
      </c>
      <c r="DT191" s="59">
        <f ca="1">AVERAGE(OFFSET($DS$3,0,0,'Données projet'!$E$14+1,1))-AVERAGE(OFFSET($H$3,0,0,'Données projet'!$E$14+1,1))</f>
        <v>229.5312221178919</v>
      </c>
      <c r="DU191" s="59">
        <f t="shared" si="152"/>
        <v>218.1982095871906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3.3471330935872996</v>
      </c>
      <c r="EB191" s="21">
        <f>EXP(-LN(2)/25)*EB190+(1-EXP(-LN(2)/25))/(LN(2)/25)*Calculateur!DW191*Calculateur!DY191*VLOOKUP('Données projet'!$B$14,Paramètres!$A$1:$I$89,3,0)*0.475*44/12</f>
        <v>1.2677642565770799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4.6148973501643793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-4.5474735088646412E-13</v>
      </c>
      <c r="EK191" s="17">
        <f>EJ191*VLOOKUP('Données projet'!$B$15,Paramètres!$A$1:$I$89,3,0)*VLOOKUP('Données projet'!$B$15,Paramètres!$A$1:$I$89,5,0)</f>
        <v>-4.1145540308207271E-13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204.39656982394689</v>
      </c>
      <c r="EP191" s="59">
        <f t="shared" si="154"/>
        <v>134.95704640904546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83.270799209656658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83.270799209656658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3.4106051316484809E-13</v>
      </c>
      <c r="FF191" s="17">
        <f>FE191*VLOOKUP('Données projet'!$B$16,Paramètres!$A$1:$I$89,3,0)*VLOOKUP('Données projet'!$B$16,Paramètres!$A$1:$I$89,5,0)</f>
        <v>2.9262992029543969E-13</v>
      </c>
      <c r="FG191" s="13">
        <f t="shared" si="182"/>
        <v>3.8796387982050903E-12</v>
      </c>
      <c r="FH191" s="20">
        <f t="shared" si="183"/>
        <v>7.2667013513884219E-12</v>
      </c>
      <c r="FI191" s="59">
        <f t="shared" si="131"/>
        <v>293.33333333334059</v>
      </c>
      <c r="FJ191" s="59">
        <f ca="1">AVERAGE(OFFSET($FI$3,0,0,'Données projet'!$E$16+1,1))-AVERAGE(OFFSET($H$3,0,0,'Données projet'!$E$16+1,1))</f>
        <v>199.60585215726968</v>
      </c>
      <c r="FK191" s="59">
        <f t="shared" si="156"/>
        <v>137.37366750114404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40.260347366561348</v>
      </c>
      <c r="FR191" s="21">
        <f>EXP(-LN(2)/25)*FR190+(1-EXP(-LN(2)/25))/(LN(2)/25)*Calculateur!FM191*Calculateur!FO191*VLOOKUP('Données projet'!$B$16,Paramètres!$A$1:$I$89,3,0)*0.475*44/12</f>
        <v>17.866311981178516</v>
      </c>
      <c r="FS191" s="21">
        <f>EXP(-LN(2)/2)*FS190+(1-EXP(-LN(2)/2))/(LN(2)/2)*FM191*FP191*VLOOKUP('Données projet'!$B$16,Paramètres!$A$1:$I$89,3,0)*0.475*44/12</f>
        <v>8.4189268360186569E-7</v>
      </c>
      <c r="FT191" s="22">
        <f t="shared" si="184"/>
        <v>58.126660189632545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1.1368683772161603E-12</v>
      </c>
      <c r="O192" s="13">
        <f>N192*VLOOKUP('Données projet'!$B$9,Paramètres!$A$1:$I$89,3,0)*VLOOKUP('Données projet'!$B$9,Paramètres!$A$1:$I$89,5,0)</f>
        <v>5.3205440053716299E-13</v>
      </c>
      <c r="P192" s="13">
        <f t="shared" si="141"/>
        <v>6.579711042921201E-12</v>
      </c>
      <c r="Q192" s="20">
        <f t="shared" si="162"/>
        <v>1.2386324814023317E-11</v>
      </c>
      <c r="R192" s="59">
        <f t="shared" si="109"/>
        <v>293.33333333334571</v>
      </c>
      <c r="S192" s="59">
        <f ca="1">AVERAGE(OFFSET($R$3,0,0,'Données projet'!$E$9+1,1))-AVERAGE(OFFSET($H$3,0,0,'Données projet'!$E$9+1,1))</f>
        <v>164.93438869099657</v>
      </c>
      <c r="T192" s="59">
        <f t="shared" si="142"/>
        <v>112.28641356594233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46.222584859177644</v>
      </c>
      <c r="AA192" s="21">
        <f>EXP(-LN(2)/25)*AA191+(1-EXP(-LN(2)/25))/(LN(2)/25)*Calculateur!V192*Calculateur!X192*VLOOKUP('Données projet'!$B$9,Paramètres!$A$1:$I$89,3,0)*0.475*44/12</f>
        <v>6.9720926955236076</v>
      </c>
      <c r="AB192" s="21">
        <f>EXP(-LN(2)/2)*AB191+(1-EXP(-LN(2)/2))/(LN(2)/2)*V192*Y192*VLOOKUP('Données projet'!$B$9,Paramètres!$A$1:$I$89,3,0)*0.475*44/12</f>
        <v>3.4671580086332337E-8</v>
      </c>
      <c r="AC192" s="22">
        <f t="shared" si="163"/>
        <v>53.19467758937283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273.81843612193632</v>
      </c>
      <c r="AO192" s="59">
        <f t="shared" si="144"/>
        <v>241.86405419073208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-6.3550942286383367E-14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271.42245454555501</v>
      </c>
      <c r="BJ192" s="59">
        <f t="shared" si="146"/>
        <v>362.63944425429077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15.953444018740791</v>
      </c>
      <c r="BQ192" s="21">
        <f>EXP(-LN(2)/25)*BQ191+(1-EXP(-LN(2)/25))/(LN(2)/25)*Calculateur!BL192*Calculateur!BN192*VLOOKUP('Données projet'!$B$11,Paramètres!$A$1:$I$89,3,0)*0.475*44/12</f>
        <v>1.4026832523412327</v>
      </c>
      <c r="BR192" s="21">
        <f>EXP(-LN(2)/2)*BR191+(1-EXP(-LN(2)/2))/(LN(2)/2)*BL192*BO192*VLOOKUP('Données projet'!$B$11,Paramètres!$A$1:$I$89,3,0)*0.475*44/12</f>
        <v>2.3148600010122816E-19</v>
      </c>
      <c r="BS192" s="22">
        <f t="shared" si="169"/>
        <v>17.356127271082023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-3.1036506698001178E-14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154.35821558431712</v>
      </c>
      <c r="CE192" s="59">
        <f t="shared" si="148"/>
        <v>263.86720460501306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3.526861190735187</v>
      </c>
      <c r="CL192" s="21">
        <f>EXP(-LN(2)/25)*CL191+(1-EXP(-LN(2)/25))/(LN(2)/25)*Calculateur!CG192*Calculateur!CI192*VLOOKUP('Données projet'!$B$12,Paramètres!$A$1:$I$89,3,0)*0.475*44/12</f>
        <v>2.4084224667458805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5.935283657481067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213</v>
      </c>
      <c r="CU192" s="17">
        <f>CT192*VLOOKUP('Données projet'!$B$13,Paramètres!$A$1:$I$89,3,0)*VLOOKUP('Données projet'!$B$13,Paramètres!$A$1:$I$89,5,0)</f>
        <v>169.46279999999999</v>
      </c>
      <c r="CV192" s="13">
        <f t="shared" si="173"/>
        <v>42.969686502194378</v>
      </c>
      <c r="CW192" s="20">
        <f t="shared" si="174"/>
        <v>369.9865806579885</v>
      </c>
      <c r="CX192" s="59">
        <f t="shared" si="122"/>
        <v>663.31991399132176</v>
      </c>
      <c r="CY192" s="59">
        <f ca="1">AVERAGE(OFFSET($CX$3,0,0,'Données projet'!$E$13+1,1))-AVERAGE(OFFSET($H$3,0,0,'Données projet'!$E$13+1,1))</f>
        <v>157.25319335691853</v>
      </c>
      <c r="CZ192" s="59">
        <f t="shared" si="150"/>
        <v>159.50903492442171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1.3026030486211728</v>
      </c>
      <c r="DG192" s="21">
        <f>EXP(-LN(2)/25)*DG191+(1-EXP(-LN(2)/25))/(LN(2)/25)*Calculateur!DB192*Calculateur!DD192*VLOOKUP('Données projet'!$B$13,Paramètres!$A$1:$I$89,3,0)*0.475*44/12</f>
        <v>0.42551287761285983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1.7281159262340327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227.99999999999994</v>
      </c>
      <c r="DP192" s="17">
        <f>DO192*VLOOKUP('Données projet'!$B$14,Paramètres!$A$1:$I$89,3,0)*VLOOKUP('Données projet'!$B$14,Paramètres!$A$1:$I$89,5,0)</f>
        <v>199.18079999999998</v>
      </c>
      <c r="DQ192" s="13">
        <f t="shared" si="176"/>
        <v>49.564089376413683</v>
      </c>
      <c r="DR192" s="20">
        <f t="shared" si="177"/>
        <v>433.23068233058711</v>
      </c>
      <c r="DS192" s="59">
        <f t="shared" si="125"/>
        <v>726.56401566392037</v>
      </c>
      <c r="DT192" s="59">
        <f ca="1">AVERAGE(OFFSET($DS$3,0,0,'Données projet'!$E$14+1,1))-AVERAGE(OFFSET($H$3,0,0,'Données projet'!$E$14+1,1))</f>
        <v>229.5312221178919</v>
      </c>
      <c r="DU192" s="59">
        <f t="shared" si="152"/>
        <v>218.1982095871906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3.2814978551716534</v>
      </c>
      <c r="EB192" s="21">
        <f>EXP(-LN(2)/25)*EB191+(1-EXP(-LN(2)/25))/(LN(2)/25)*Calculateur!DW192*Calculateur!DY192*VLOOKUP('Données projet'!$B$14,Paramètres!$A$1:$I$89,3,0)*0.475*44/12</f>
        <v>1.233097176312155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4.5145950314838084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-4.5474735088646412E-13</v>
      </c>
      <c r="EK192" s="17">
        <f>EJ192*VLOOKUP('Données projet'!$B$15,Paramètres!$A$1:$I$89,3,0)*VLOOKUP('Données projet'!$B$15,Paramètres!$A$1:$I$89,5,0)</f>
        <v>-4.1145540308207271E-13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204.39656982394689</v>
      </c>
      <c r="EP192" s="59">
        <f t="shared" si="154"/>
        <v>134.95704640904546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81.637909627327701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81.637909627327701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3.4106051316484809E-13</v>
      </c>
      <c r="FF192" s="17">
        <f>FE192*VLOOKUP('Données projet'!$B$16,Paramètres!$A$1:$I$89,3,0)*VLOOKUP('Données projet'!$B$16,Paramètres!$A$1:$I$89,5,0)</f>
        <v>2.9262992029543969E-13</v>
      </c>
      <c r="FG192" s="13">
        <f t="shared" si="182"/>
        <v>3.8796387982050903E-12</v>
      </c>
      <c r="FH192" s="20">
        <f t="shared" si="183"/>
        <v>7.2667013513884219E-12</v>
      </c>
      <c r="FI192" s="59">
        <f t="shared" si="131"/>
        <v>293.33333333334059</v>
      </c>
      <c r="FJ192" s="59">
        <f ca="1">AVERAGE(OFFSET($FI$3,0,0,'Données projet'!$E$16+1,1))-AVERAGE(OFFSET($H$3,0,0,'Données projet'!$E$16+1,1))</f>
        <v>199.60585215726968</v>
      </c>
      <c r="FK192" s="59">
        <f t="shared" si="156"/>
        <v>137.37366750114404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39.470866511090229</v>
      </c>
      <c r="FR192" s="21">
        <f>EXP(-LN(2)/25)*FR191+(1-EXP(-LN(2)/25))/(LN(2)/25)*Calculateur!FM192*Calculateur!FO192*VLOOKUP('Données projet'!$B$16,Paramètres!$A$1:$I$89,3,0)*0.475*44/12</f>
        <v>17.377756740504676</v>
      </c>
      <c r="FS192" s="21">
        <f>EXP(-LN(2)/2)*FS191+(1-EXP(-LN(2)/2))/(LN(2)/2)*FM192*FP192*VLOOKUP('Données projet'!$B$16,Paramètres!$A$1:$I$89,3,0)*0.475*44/12</f>
        <v>5.9530802560621972E-7</v>
      </c>
      <c r="FT192" s="22">
        <f t="shared" si="184"/>
        <v>56.848623846902925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1.1368683772161603E-12</v>
      </c>
      <c r="O193" s="13">
        <f>N193*VLOOKUP('Données projet'!$B$9,Paramètres!$A$1:$I$89,3,0)*VLOOKUP('Données projet'!$B$9,Paramètres!$A$1:$I$89,5,0)</f>
        <v>5.3205440053716299E-13</v>
      </c>
      <c r="P193" s="13">
        <f t="shared" si="141"/>
        <v>6.579711042921201E-12</v>
      </c>
      <c r="Q193" s="20">
        <f t="shared" si="162"/>
        <v>1.2386324814023317E-11</v>
      </c>
      <c r="R193" s="59">
        <f t="shared" si="109"/>
        <v>293.33333333334571</v>
      </c>
      <c r="S193" s="59">
        <f ca="1">AVERAGE(OFFSET($R$3,0,0,'Données projet'!$E$9+1,1))-AVERAGE(OFFSET($H$3,0,0,'Données projet'!$E$9+1,1))</f>
        <v>164.93438869099657</v>
      </c>
      <c r="T193" s="59">
        <f t="shared" si="142"/>
        <v>112.28641356594233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45.31618816308211</v>
      </c>
      <c r="AA193" s="21">
        <f>EXP(-LN(2)/25)*AA192+(1-EXP(-LN(2)/25))/(LN(2)/25)*Calculateur!V193*Calculateur!X193*VLOOKUP('Données projet'!$B$9,Paramètres!$A$1:$I$89,3,0)*0.475*44/12</f>
        <v>6.7814404541180942</v>
      </c>
      <c r="AB193" s="21">
        <f>EXP(-LN(2)/2)*AB192+(1-EXP(-LN(2)/2))/(LN(2)/2)*V193*Y193*VLOOKUP('Données projet'!$B$9,Paramètres!$A$1:$I$89,3,0)*0.475*44/12</f>
        <v>2.4516509393498059E-8</v>
      </c>
      <c r="AC193" s="22">
        <f t="shared" si="163"/>
        <v>52.09762864171671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273.81843612193632</v>
      </c>
      <c r="AO193" s="59">
        <f t="shared" si="144"/>
        <v>241.86405419073208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-6.3550942286383367E-14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271.42245454555501</v>
      </c>
      <c r="BJ193" s="59">
        <f t="shared" si="146"/>
        <v>362.63944425429077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15.640606712173314</v>
      </c>
      <c r="BQ193" s="21">
        <f>EXP(-LN(2)/25)*BQ192+(1-EXP(-LN(2)/25))/(LN(2)/25)*Calculateur!BL193*Calculateur!BN193*VLOOKUP('Données projet'!$B$11,Paramètres!$A$1:$I$89,3,0)*0.475*44/12</f>
        <v>1.3643268050420554</v>
      </c>
      <c r="BR193" s="21">
        <f>EXP(-LN(2)/2)*BR192+(1-EXP(-LN(2)/2))/(LN(2)/2)*BL193*BO193*VLOOKUP('Données projet'!$B$11,Paramètres!$A$1:$I$89,3,0)*0.475*44/12</f>
        <v>1.6368532042132826E-19</v>
      </c>
      <c r="BS193" s="22">
        <f t="shared" si="169"/>
        <v>17.00493351721537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-3.1036506698001178E-14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154.35821558431712</v>
      </c>
      <c r="CE193" s="59">
        <f t="shared" si="148"/>
        <v>263.86720460501306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3.4577015939577858</v>
      </c>
      <c r="CL193" s="21">
        <f>EXP(-LN(2)/25)*CL192+(1-EXP(-LN(2)/25))/(LN(2)/25)*Calculateur!CG193*Calculateur!CI193*VLOOKUP('Données projet'!$B$12,Paramètres!$A$1:$I$89,3,0)*0.475*44/12</f>
        <v>2.3425640277392814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5.8002656216970667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213</v>
      </c>
      <c r="CU193" s="17">
        <f>CT193*VLOOKUP('Données projet'!$B$13,Paramètres!$A$1:$I$89,3,0)*VLOOKUP('Données projet'!$B$13,Paramètres!$A$1:$I$89,5,0)</f>
        <v>169.46279999999999</v>
      </c>
      <c r="CV193" s="13">
        <f t="shared" si="173"/>
        <v>42.969686502194378</v>
      </c>
      <c r="CW193" s="20">
        <f t="shared" si="174"/>
        <v>369.9865806579885</v>
      </c>
      <c r="CX193" s="59">
        <f t="shared" si="122"/>
        <v>663.31991399132176</v>
      </c>
      <c r="CY193" s="59">
        <f ca="1">AVERAGE(OFFSET($CX$3,0,0,'Données projet'!$E$13+1,1))-AVERAGE(OFFSET($H$3,0,0,'Données projet'!$E$13+1,1))</f>
        <v>157.25319335691853</v>
      </c>
      <c r="CZ193" s="59">
        <f t="shared" si="150"/>
        <v>159.50903492442171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1.2770597973471201</v>
      </c>
      <c r="DG193" s="21">
        <f>EXP(-LN(2)/25)*DG192+(1-EXP(-LN(2)/25))/(LN(2)/25)*Calculateur!DB193*Calculateur!DD193*VLOOKUP('Données projet'!$B$13,Paramètres!$A$1:$I$89,3,0)*0.475*44/12</f>
        <v>0.41387720559778646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1.6909370029449065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227.99999999999994</v>
      </c>
      <c r="DP193" s="17">
        <f>DO193*VLOOKUP('Données projet'!$B$14,Paramètres!$A$1:$I$89,3,0)*VLOOKUP('Données projet'!$B$14,Paramètres!$A$1:$I$89,5,0)</f>
        <v>199.18079999999998</v>
      </c>
      <c r="DQ193" s="13">
        <f t="shared" si="176"/>
        <v>49.564089376413683</v>
      </c>
      <c r="DR193" s="20">
        <f t="shared" si="177"/>
        <v>433.23068233058711</v>
      </c>
      <c r="DS193" s="59">
        <f t="shared" si="125"/>
        <v>726.56401566392037</v>
      </c>
      <c r="DT193" s="59">
        <f ca="1">AVERAGE(OFFSET($DS$3,0,0,'Données projet'!$E$14+1,1))-AVERAGE(OFFSET($H$3,0,0,'Données projet'!$E$14+1,1))</f>
        <v>229.5312221178919</v>
      </c>
      <c r="DU193" s="59">
        <f t="shared" si="152"/>
        <v>218.1982095871906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3.2171496837477958</v>
      </c>
      <c r="EB193" s="21">
        <f>EXP(-LN(2)/25)*EB192+(1-EXP(-LN(2)/25))/(LN(2)/25)*Calculateur!DW193*Calculateur!DY193*VLOOKUP('Données projet'!$B$14,Paramètres!$A$1:$I$89,3,0)*0.475*44/12</f>
        <v>1.1993780691801368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4.4165277529279328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-4.5474735088646412E-13</v>
      </c>
      <c r="EK193" s="17">
        <f>EJ193*VLOOKUP('Données projet'!$B$15,Paramètres!$A$1:$I$89,3,0)*VLOOKUP('Données projet'!$B$15,Paramètres!$A$1:$I$89,5,0)</f>
        <v>-4.1145540308207271E-13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204.39656982394689</v>
      </c>
      <c r="EP193" s="59">
        <f t="shared" si="154"/>
        <v>134.95704640904546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80.037040013743905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80.037040013743905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3.4106051316484809E-13</v>
      </c>
      <c r="FF193" s="17">
        <f>FE193*VLOOKUP('Données projet'!$B$16,Paramètres!$A$1:$I$89,3,0)*VLOOKUP('Données projet'!$B$16,Paramètres!$A$1:$I$89,5,0)</f>
        <v>2.9262992029543969E-13</v>
      </c>
      <c r="FG193" s="13">
        <f t="shared" si="182"/>
        <v>3.8796387982050903E-12</v>
      </c>
      <c r="FH193" s="20">
        <f t="shared" si="183"/>
        <v>7.2667013513884219E-12</v>
      </c>
      <c r="FI193" s="59">
        <f t="shared" si="131"/>
        <v>293.33333333334059</v>
      </c>
      <c r="FJ193" s="59">
        <f ca="1">AVERAGE(OFFSET($FI$3,0,0,'Données projet'!$E$16+1,1))-AVERAGE(OFFSET($H$3,0,0,'Données projet'!$E$16+1,1))</f>
        <v>199.60585215726968</v>
      </c>
      <c r="FK193" s="59">
        <f t="shared" si="156"/>
        <v>137.37366750114404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38.696866893659127</v>
      </c>
      <c r="FR193" s="21">
        <f>EXP(-LN(2)/25)*FR192+(1-EXP(-LN(2)/25))/(LN(2)/25)*Calculateur!FM193*Calculateur!FO193*VLOOKUP('Données projet'!$B$16,Paramètres!$A$1:$I$89,3,0)*0.475*44/12</f>
        <v>16.902561068579065</v>
      </c>
      <c r="FS193" s="21">
        <f>EXP(-LN(2)/2)*FS192+(1-EXP(-LN(2)/2))/(LN(2)/2)*FM193*FP193*VLOOKUP('Données projet'!$B$16,Paramètres!$A$1:$I$89,3,0)*0.475*44/12</f>
        <v>4.2094634180093284E-7</v>
      </c>
      <c r="FT193" s="22">
        <f t="shared" si="184"/>
        <v>55.599428383184538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1.1368683772161603E-12</v>
      </c>
      <c r="O194" s="13">
        <f>N194*VLOOKUP('Données projet'!$B$9,Paramètres!$A$1:$I$89,3,0)*VLOOKUP('Données projet'!$B$9,Paramètres!$A$1:$I$89,5,0)</f>
        <v>5.3205440053716299E-13</v>
      </c>
      <c r="P194" s="13">
        <f t="shared" si="141"/>
        <v>6.579711042921201E-12</v>
      </c>
      <c r="Q194" s="20">
        <f t="shared" si="162"/>
        <v>1.2386324814023317E-11</v>
      </c>
      <c r="R194" s="59">
        <f t="shared" si="109"/>
        <v>293.33333333334571</v>
      </c>
      <c r="S194" s="59">
        <f ca="1">AVERAGE(OFFSET($R$3,0,0,'Données projet'!$E$9+1,1))-AVERAGE(OFFSET($H$3,0,0,'Données projet'!$E$9+1,1))</f>
        <v>164.93438869099657</v>
      </c>
      <c r="T194" s="59">
        <f t="shared" si="142"/>
        <v>112.28641356594233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44.427565353349614</v>
      </c>
      <c r="AA194" s="21">
        <f>EXP(-LN(2)/25)*AA193+(1-EXP(-LN(2)/25))/(LN(2)/25)*Calculateur!V194*Calculateur!X194*VLOOKUP('Données projet'!$B$9,Paramètres!$A$1:$I$89,3,0)*0.475*44/12</f>
        <v>6.5960016082797805</v>
      </c>
      <c r="AB194" s="21">
        <f>EXP(-LN(2)/2)*AB193+(1-EXP(-LN(2)/2))/(LN(2)/2)*V194*Y194*VLOOKUP('Données projet'!$B$9,Paramètres!$A$1:$I$89,3,0)*0.475*44/12</f>
        <v>1.7335790043166169E-8</v>
      </c>
      <c r="AC194" s="22">
        <f t="shared" si="163"/>
        <v>51.023566978965185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273.81843612193632</v>
      </c>
      <c r="AO194" s="59">
        <f t="shared" si="144"/>
        <v>241.86405419073208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-6.3550942286383367E-14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271.42245454555501</v>
      </c>
      <c r="BJ194" s="59">
        <f t="shared" si="146"/>
        <v>362.63944425429077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15.33390395437571</v>
      </c>
      <c r="BQ194" s="21">
        <f>EXP(-LN(2)/25)*BQ193+(1-EXP(-LN(2)/25))/(LN(2)/25)*Calculateur!BL194*Calculateur!BN194*VLOOKUP('Données projet'!$B$11,Paramètres!$A$1:$I$89,3,0)*0.475*44/12</f>
        <v>1.3270192168113519</v>
      </c>
      <c r="BR194" s="21">
        <f>EXP(-LN(2)/2)*BR193+(1-EXP(-LN(2)/2))/(LN(2)/2)*BL194*BO194*VLOOKUP('Données projet'!$B$11,Paramètres!$A$1:$I$89,3,0)*0.475*44/12</f>
        <v>1.1574300005061408E-19</v>
      </c>
      <c r="BS194" s="22">
        <f t="shared" si="169"/>
        <v>16.660923171187061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-3.1036506698001178E-14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154.35821558431712</v>
      </c>
      <c r="CE194" s="59">
        <f t="shared" si="148"/>
        <v>263.86720460501306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3.3898981746900003</v>
      </c>
      <c r="CL194" s="21">
        <f>EXP(-LN(2)/25)*CL193+(1-EXP(-LN(2)/25))/(LN(2)/25)*Calculateur!CG194*Calculateur!CI194*VLOOKUP('Données projet'!$B$12,Paramètres!$A$1:$I$89,3,0)*0.475*44/12</f>
        <v>2.2785064912106625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5.6684046659006633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213</v>
      </c>
      <c r="CU194" s="17">
        <f>CT194*VLOOKUP('Données projet'!$B$13,Paramètres!$A$1:$I$89,3,0)*VLOOKUP('Données projet'!$B$13,Paramètres!$A$1:$I$89,5,0)</f>
        <v>169.46279999999999</v>
      </c>
      <c r="CV194" s="13">
        <f t="shared" si="173"/>
        <v>42.969686502194378</v>
      </c>
      <c r="CW194" s="20">
        <f t="shared" si="174"/>
        <v>369.9865806579885</v>
      </c>
      <c r="CX194" s="59">
        <f t="shared" si="122"/>
        <v>663.31991399132176</v>
      </c>
      <c r="CY194" s="59">
        <f ca="1">AVERAGE(OFFSET($CX$3,0,0,'Données projet'!$E$13+1,1))-AVERAGE(OFFSET($H$3,0,0,'Données projet'!$E$13+1,1))</f>
        <v>157.25319335691853</v>
      </c>
      <c r="CZ194" s="59">
        <f t="shared" si="150"/>
        <v>159.50903492442171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1.2520174336507066</v>
      </c>
      <c r="DG194" s="21">
        <f>EXP(-LN(2)/25)*DG193+(1-EXP(-LN(2)/25))/(LN(2)/25)*Calculateur!DB194*Calculateur!DD194*VLOOKUP('Données projet'!$B$13,Paramètres!$A$1:$I$89,3,0)*0.475*44/12</f>
        <v>0.40255971164585869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1.6545771452965652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227.99999999999994</v>
      </c>
      <c r="DP194" s="17">
        <f>DO194*VLOOKUP('Données projet'!$B$14,Paramètres!$A$1:$I$89,3,0)*VLOOKUP('Données projet'!$B$14,Paramètres!$A$1:$I$89,5,0)</f>
        <v>199.18079999999998</v>
      </c>
      <c r="DQ194" s="13">
        <f t="shared" si="176"/>
        <v>49.564089376413683</v>
      </c>
      <c r="DR194" s="20">
        <f t="shared" si="177"/>
        <v>433.23068233058711</v>
      </c>
      <c r="DS194" s="59">
        <f t="shared" si="125"/>
        <v>726.56401566392037</v>
      </c>
      <c r="DT194" s="59">
        <f ca="1">AVERAGE(OFFSET($DS$3,0,0,'Données projet'!$E$14+1,1))-AVERAGE(OFFSET($H$3,0,0,'Données projet'!$E$14+1,1))</f>
        <v>229.5312221178919</v>
      </c>
      <c r="DU194" s="59">
        <f t="shared" si="152"/>
        <v>218.1982095871906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3.1540633407170509</v>
      </c>
      <c r="EB194" s="21">
        <f>EXP(-LN(2)/25)*EB193+(1-EXP(-LN(2)/25))/(LN(2)/25)*Calculateur!DW194*Calculateur!DY194*VLOOKUP('Données projet'!$B$14,Paramètres!$A$1:$I$89,3,0)*0.475*44/12</f>
        <v>1.1665810128058545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4.3206443535229049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-4.5474735088646412E-13</v>
      </c>
      <c r="EK194" s="17">
        <f>EJ194*VLOOKUP('Données projet'!$B$15,Paramètres!$A$1:$I$89,3,0)*VLOOKUP('Données projet'!$B$15,Paramètres!$A$1:$I$89,5,0)</f>
        <v>-4.1145540308207271E-13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204.39656982394689</v>
      </c>
      <c r="EP194" s="59">
        <f t="shared" si="154"/>
        <v>134.95704640904546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78.467562476848443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78.467562476848443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3.4106051316484809E-13</v>
      </c>
      <c r="FF194" s="17">
        <f>FE194*VLOOKUP('Données projet'!$B$16,Paramètres!$A$1:$I$89,3,0)*VLOOKUP('Données projet'!$B$16,Paramètres!$A$1:$I$89,5,0)</f>
        <v>2.9262992029543969E-13</v>
      </c>
      <c r="FG194" s="13">
        <f t="shared" si="182"/>
        <v>3.8796387982050903E-12</v>
      </c>
      <c r="FH194" s="20">
        <f t="shared" si="183"/>
        <v>7.2667013513884219E-12</v>
      </c>
      <c r="FI194" s="59">
        <f t="shared" si="131"/>
        <v>293.33333333334059</v>
      </c>
      <c r="FJ194" s="59">
        <f ca="1">AVERAGE(OFFSET($FI$3,0,0,'Données projet'!$E$16+1,1))-AVERAGE(OFFSET($H$3,0,0,'Données projet'!$E$16+1,1))</f>
        <v>199.60585215726968</v>
      </c>
      <c r="FK194" s="59">
        <f t="shared" si="156"/>
        <v>137.37366750114404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37.9380449366327</v>
      </c>
      <c r="FR194" s="21">
        <f>EXP(-LN(2)/25)*FR193+(1-EXP(-LN(2)/25))/(LN(2)/25)*Calculateur!FM194*Calculateur!FO194*VLOOKUP('Données projet'!$B$16,Paramètres!$A$1:$I$89,3,0)*0.475*44/12</f>
        <v>16.440359647291714</v>
      </c>
      <c r="FS194" s="21">
        <f>EXP(-LN(2)/2)*FS193+(1-EXP(-LN(2)/2))/(LN(2)/2)*FM194*FP194*VLOOKUP('Données projet'!$B$16,Paramètres!$A$1:$I$89,3,0)*0.475*44/12</f>
        <v>2.9765401280310986E-7</v>
      </c>
      <c r="FT194" s="22">
        <f t="shared" si="184"/>
        <v>54.378404881578426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1.1368683772161603E-12</v>
      </c>
      <c r="O195" s="13">
        <f>N195*VLOOKUP('Données projet'!$B$9,Paramètres!$A$1:$I$89,3,0)*VLOOKUP('Données projet'!$B$9,Paramètres!$A$1:$I$89,5,0)</f>
        <v>5.3205440053716299E-13</v>
      </c>
      <c r="P195" s="13">
        <f t="shared" si="141"/>
        <v>6.579711042921201E-12</v>
      </c>
      <c r="Q195" s="20">
        <f t="shared" si="162"/>
        <v>1.2386324814023317E-11</v>
      </c>
      <c r="R195" s="59">
        <f t="shared" ref="R195:R203" si="191">Q195+(I195+J195)*44/12</f>
        <v>293.33333333334571</v>
      </c>
      <c r="S195" s="59">
        <f ca="1">AVERAGE(OFFSET($R$3,0,0,'Données projet'!$E$9+1,1))-AVERAGE(OFFSET($H$3,0,0,'Données projet'!$E$9+1,1))</f>
        <v>164.93438869099657</v>
      </c>
      <c r="T195" s="59">
        <f t="shared" si="142"/>
        <v>112.28641356594233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43.556367894909577</v>
      </c>
      <c r="AA195" s="21">
        <f>EXP(-LN(2)/25)*AA194+(1-EXP(-LN(2)/25))/(LN(2)/25)*Calculateur!V195*Calculateur!X195*VLOOKUP('Données projet'!$B$9,Paramètres!$A$1:$I$89,3,0)*0.475*44/12</f>
        <v>6.4156335974327208</v>
      </c>
      <c r="AB195" s="21">
        <f>EXP(-LN(2)/2)*AB194+(1-EXP(-LN(2)/2))/(LN(2)/2)*V195*Y195*VLOOKUP('Données projet'!$B$9,Paramètres!$A$1:$I$89,3,0)*0.475*44/12</f>
        <v>1.2258254696749029E-8</v>
      </c>
      <c r="AC195" s="22">
        <f t="shared" si="163"/>
        <v>49.972001504600556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273.81843612193632</v>
      </c>
      <c r="AO195" s="59">
        <f t="shared" si="144"/>
        <v>241.86405419073208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-6.3550942286383367E-14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271.42245454555501</v>
      </c>
      <c r="BJ195" s="59">
        <f t="shared" si="146"/>
        <v>362.63944425429077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15.033215450588306</v>
      </c>
      <c r="BQ195" s="21">
        <f>EXP(-LN(2)/25)*BQ194+(1-EXP(-LN(2)/25))/(LN(2)/25)*Calculateur!BL195*Calculateur!BN195*VLOOKUP('Données projet'!$B$11,Paramètres!$A$1:$I$89,3,0)*0.475*44/12</f>
        <v>1.2907318065427378</v>
      </c>
      <c r="BR195" s="21">
        <f>EXP(-LN(2)/2)*BR194+(1-EXP(-LN(2)/2))/(LN(2)/2)*BL195*BO195*VLOOKUP('Données projet'!$B$11,Paramètres!$A$1:$I$89,3,0)*0.475*44/12</f>
        <v>8.1842660210664128E-20</v>
      </c>
      <c r="BS195" s="22">
        <f t="shared" si="169"/>
        <v>16.323947257131046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-3.1036506698001178E-14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154.35821558431712</v>
      </c>
      <c r="CE195" s="59">
        <f t="shared" si="148"/>
        <v>263.86720460501306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3.3234243391180542</v>
      </c>
      <c r="CL195" s="21">
        <f>EXP(-LN(2)/25)*CL194+(1-EXP(-LN(2)/25))/(LN(2)/25)*Calculateur!CG195*Calculateur!CI195*VLOOKUP('Données projet'!$B$12,Paramètres!$A$1:$I$89,3,0)*0.475*44/12</f>
        <v>2.216200611387058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5.5396249505051127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213</v>
      </c>
      <c r="CU195" s="17">
        <f>CT195*VLOOKUP('Données projet'!$B$13,Paramètres!$A$1:$I$89,3,0)*VLOOKUP('Données projet'!$B$13,Paramètres!$A$1:$I$89,5,0)</f>
        <v>169.46279999999999</v>
      </c>
      <c r="CV195" s="13">
        <f t="shared" si="173"/>
        <v>42.969686502194378</v>
      </c>
      <c r="CW195" s="20">
        <f t="shared" si="174"/>
        <v>369.9865806579885</v>
      </c>
      <c r="CX195" s="59">
        <f t="shared" si="122"/>
        <v>663.31991399132176</v>
      </c>
      <c r="CY195" s="59">
        <f ca="1">AVERAGE(OFFSET($CX$3,0,0,'Données projet'!$E$13+1,1))-AVERAGE(OFFSET($H$3,0,0,'Données projet'!$E$13+1,1))</f>
        <v>157.25319335691853</v>
      </c>
      <c r="CZ195" s="59">
        <f t="shared" si="150"/>
        <v>159.50903492442171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1.2274661354320462</v>
      </c>
      <c r="DG195" s="21">
        <f>EXP(-LN(2)/25)*DG194+(1-EXP(-LN(2)/25))/(LN(2)/25)*Calculateur!DB195*Calculateur!DD195*VLOOKUP('Données projet'!$B$13,Paramètres!$A$1:$I$89,3,0)*0.475*44/12</f>
        <v>0.39155169516120752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1.6190178305932537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227.99999999999994</v>
      </c>
      <c r="DP195" s="17">
        <f>DO195*VLOOKUP('Données projet'!$B$14,Paramètres!$A$1:$I$89,3,0)*VLOOKUP('Données projet'!$B$14,Paramètres!$A$1:$I$89,5,0)</f>
        <v>199.18079999999998</v>
      </c>
      <c r="DQ195" s="13">
        <f t="shared" si="176"/>
        <v>49.564089376413683</v>
      </c>
      <c r="DR195" s="20">
        <f t="shared" si="177"/>
        <v>433.23068233058711</v>
      </c>
      <c r="DS195" s="59">
        <f t="shared" si="125"/>
        <v>726.56401566392037</v>
      </c>
      <c r="DT195" s="59">
        <f ca="1">AVERAGE(OFFSET($DS$3,0,0,'Données projet'!$E$14+1,1))-AVERAGE(OFFSET($H$3,0,0,'Données projet'!$E$14+1,1))</f>
        <v>229.5312221178919</v>
      </c>
      <c r="DU195" s="59">
        <f t="shared" si="152"/>
        <v>218.1982095871906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3.092214082394269</v>
      </c>
      <c r="EB195" s="21">
        <f>EXP(-LN(2)/25)*EB194+(1-EXP(-LN(2)/25))/(LN(2)/25)*Calculateur!DW195*Calculateur!DY195*VLOOKUP('Données projet'!$B$14,Paramètres!$A$1:$I$89,3,0)*0.475*44/12</f>
        <v>1.1346807936628491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4.2268948760571181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-4.5474735088646412E-13</v>
      </c>
      <c r="EK195" s="17">
        <f>EJ195*VLOOKUP('Données projet'!$B$15,Paramètres!$A$1:$I$89,3,0)*VLOOKUP('Données projet'!$B$15,Paramètres!$A$1:$I$89,5,0)</f>
        <v>-4.1145540308207271E-13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204.39656982394689</v>
      </c>
      <c r="EP195" s="59">
        <f t="shared" si="154"/>
        <v>134.95704640904546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76.928861437164727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76.928861437164727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3.4106051316484809E-13</v>
      </c>
      <c r="FF195" s="17">
        <f>FE195*VLOOKUP('Données projet'!$B$16,Paramètres!$A$1:$I$89,3,0)*VLOOKUP('Données projet'!$B$16,Paramètres!$A$1:$I$89,5,0)</f>
        <v>2.9262992029543969E-13</v>
      </c>
      <c r="FG195" s="13">
        <f t="shared" si="182"/>
        <v>3.8796387982050903E-12</v>
      </c>
      <c r="FH195" s="20">
        <f t="shared" si="183"/>
        <v>7.2667013513884219E-12</v>
      </c>
      <c r="FI195" s="59">
        <f t="shared" si="131"/>
        <v>293.33333333334059</v>
      </c>
      <c r="FJ195" s="59">
        <f ca="1">AVERAGE(OFFSET($FI$3,0,0,'Données projet'!$E$16+1,1))-AVERAGE(OFFSET($H$3,0,0,'Données projet'!$E$16+1,1))</f>
        <v>199.60585215726968</v>
      </c>
      <c r="FK195" s="59">
        <f t="shared" si="156"/>
        <v>137.37366750114404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37.194103015347864</v>
      </c>
      <c r="FR195" s="21">
        <f>EXP(-LN(2)/25)*FR194+(1-EXP(-LN(2)/25))/(LN(2)/25)*Calculateur!FM195*Calculateur!FO195*VLOOKUP('Données projet'!$B$16,Paramètres!$A$1:$I$89,3,0)*0.475*44/12</f>
        <v>15.990797148175584</v>
      </c>
      <c r="FS195" s="21">
        <f>EXP(-LN(2)/2)*FS194+(1-EXP(-LN(2)/2))/(LN(2)/2)*FM195*FP195*VLOOKUP('Données projet'!$B$16,Paramètres!$A$1:$I$89,3,0)*0.475*44/12</f>
        <v>2.1047317090046642E-7</v>
      </c>
      <c r="FT195" s="22">
        <f t="shared" si="184"/>
        <v>53.184900373996619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1.1368683772161603E-12</v>
      </c>
      <c r="O196" s="13">
        <f>N196*VLOOKUP('Données projet'!$B$9,Paramètres!$A$1:$I$89,3,0)*VLOOKUP('Données projet'!$B$9,Paramètres!$A$1:$I$89,5,0)</f>
        <v>5.3205440053716299E-13</v>
      </c>
      <c r="P196" s="13">
        <f t="shared" si="141"/>
        <v>6.579711042921201E-12</v>
      </c>
      <c r="Q196" s="20">
        <f t="shared" si="162"/>
        <v>1.2386324814023317E-11</v>
      </c>
      <c r="R196" s="59">
        <f t="shared" si="191"/>
        <v>293.33333333334571</v>
      </c>
      <c r="S196" s="59">
        <f ca="1">AVERAGE(OFFSET($R$3,0,0,'Données projet'!$E$9+1,1))-AVERAGE(OFFSET($H$3,0,0,'Données projet'!$E$9+1,1))</f>
        <v>164.93438869099657</v>
      </c>
      <c r="T196" s="59">
        <f t="shared" si="142"/>
        <v>112.28641356594233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42.702254087251568</v>
      </c>
      <c r="AA196" s="21">
        <f>EXP(-LN(2)/25)*AA195+(1-EXP(-LN(2)/25))/(LN(2)/25)*Calculateur!V196*Calculateur!X196*VLOOKUP('Données projet'!$B$9,Paramètres!$A$1:$I$89,3,0)*0.475*44/12</f>
        <v>6.2401977593274154</v>
      </c>
      <c r="AB196" s="21">
        <f>EXP(-LN(2)/2)*AB195+(1-EXP(-LN(2)/2))/(LN(2)/2)*V196*Y196*VLOOKUP('Données projet'!$B$9,Paramètres!$A$1:$I$89,3,0)*0.475*44/12</f>
        <v>8.6678950215830843E-9</v>
      </c>
      <c r="AC196" s="22">
        <f t="shared" si="163"/>
        <v>48.94245185524688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273.81843612193632</v>
      </c>
      <c r="AO196" s="59">
        <f t="shared" si="144"/>
        <v>241.86405419073208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-6.3550942286383367E-14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271.42245454555501</v>
      </c>
      <c r="BJ196" s="59">
        <f t="shared" si="146"/>
        <v>362.63944425429077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14.738423264958296</v>
      </c>
      <c r="BQ196" s="21">
        <f>EXP(-LN(2)/25)*BQ195+(1-EXP(-LN(2)/25))/(LN(2)/25)*Calculateur!BL196*Calculateur!BN196*VLOOKUP('Données projet'!$B$11,Paramètres!$A$1:$I$89,3,0)*0.475*44/12</f>
        <v>1.2554366774161909</v>
      </c>
      <c r="BR196" s="21">
        <f>EXP(-LN(2)/2)*BR195+(1-EXP(-LN(2)/2))/(LN(2)/2)*BL196*BO196*VLOOKUP('Données projet'!$B$11,Paramètres!$A$1:$I$89,3,0)*0.475*44/12</f>
        <v>5.7871500025307039E-20</v>
      </c>
      <c r="BS196" s="22">
        <f t="shared" si="169"/>
        <v>15.993859942374486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-3.1036506698001178E-14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154.35821558431712</v>
      </c>
      <c r="CE196" s="59">
        <f t="shared" si="148"/>
        <v>263.86720460501306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3.2582540149166377</v>
      </c>
      <c r="CL196" s="21">
        <f>EXP(-LN(2)/25)*CL195+(1-EXP(-LN(2)/25))/(LN(2)/25)*Calculateur!CG196*Calculateur!CI196*VLOOKUP('Données projet'!$B$12,Paramètres!$A$1:$I$89,3,0)*0.475*44/12</f>
        <v>2.1555984891237538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5.413852504040392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213</v>
      </c>
      <c r="CU196" s="17">
        <f>CT196*VLOOKUP('Données projet'!$B$13,Paramètres!$A$1:$I$89,3,0)*VLOOKUP('Données projet'!$B$13,Paramètres!$A$1:$I$89,5,0)</f>
        <v>169.46279999999999</v>
      </c>
      <c r="CV196" s="13">
        <f t="shared" si="173"/>
        <v>42.969686502194378</v>
      </c>
      <c r="CW196" s="20">
        <f t="shared" si="174"/>
        <v>369.9865806579885</v>
      </c>
      <c r="CX196" s="59">
        <f t="shared" ref="CX196:CX203" si="196">CW196+(CO196+CP196)*44/12</f>
        <v>663.31991399132176</v>
      </c>
      <c r="CY196" s="59">
        <f ca="1">AVERAGE(OFFSET($CX$3,0,0,'Données projet'!$E$13+1,1))-AVERAGE(OFFSET($H$3,0,0,'Données projet'!$E$13+1,1))</f>
        <v>157.25319335691853</v>
      </c>
      <c r="CZ196" s="59">
        <f t="shared" si="150"/>
        <v>159.50903492442171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1.2033962731966403</v>
      </c>
      <c r="DG196" s="21">
        <f>EXP(-LN(2)/25)*DG195+(1-EXP(-LN(2)/25))/(LN(2)/25)*Calculateur!DB196*Calculateur!DD196*VLOOKUP('Données projet'!$B$13,Paramètres!$A$1:$I$89,3,0)*0.475*44/12</f>
        <v>0.38084469346621558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1.5842409666628559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227.99999999999994</v>
      </c>
      <c r="DP196" s="17">
        <f>DO196*VLOOKUP('Données projet'!$B$14,Paramètres!$A$1:$I$89,3,0)*VLOOKUP('Données projet'!$B$14,Paramètres!$A$1:$I$89,5,0)</f>
        <v>199.18079999999998</v>
      </c>
      <c r="DQ196" s="13">
        <f t="shared" si="176"/>
        <v>49.564089376413683</v>
      </c>
      <c r="DR196" s="20">
        <f t="shared" si="177"/>
        <v>433.23068233058711</v>
      </c>
      <c r="DS196" s="59">
        <f t="shared" ref="DS196:DS203" si="197">DR196+(DJ196+DK196)*44/12</f>
        <v>726.56401566392037</v>
      </c>
      <c r="DT196" s="59">
        <f ca="1">AVERAGE(OFFSET($DS$3,0,0,'Données projet'!$E$14+1,1))-AVERAGE(OFFSET($H$3,0,0,'Données projet'!$E$14+1,1))</f>
        <v>229.5312221178919</v>
      </c>
      <c r="DU196" s="59">
        <f t="shared" si="152"/>
        <v>218.1982095871906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3.0315776503028742</v>
      </c>
      <c r="EB196" s="21">
        <f>EXP(-LN(2)/25)*EB195+(1-EXP(-LN(2)/25))/(LN(2)/25)*Calculateur!DW196*Calculateur!DY196*VLOOKUP('Données projet'!$B$14,Paramètres!$A$1:$I$89,3,0)*0.475*44/12</f>
        <v>1.103652887689869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4.1352305379927436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-4.5474735088646412E-13</v>
      </c>
      <c r="EK196" s="17">
        <f>EJ196*VLOOKUP('Données projet'!$B$15,Paramètres!$A$1:$I$89,3,0)*VLOOKUP('Données projet'!$B$15,Paramètres!$A$1:$I$89,5,0)</f>
        <v>-4.1145540308207271E-13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204.39656982394689</v>
      </c>
      <c r="EP196" s="59">
        <f t="shared" si="154"/>
        <v>134.95704640904546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75.420333386354244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75.420333386354244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3.4106051316484809E-13</v>
      </c>
      <c r="FF196" s="17">
        <f>FE196*VLOOKUP('Données projet'!$B$16,Paramètres!$A$1:$I$89,3,0)*VLOOKUP('Données projet'!$B$16,Paramètres!$A$1:$I$89,5,0)</f>
        <v>2.9262992029543969E-13</v>
      </c>
      <c r="FG196" s="13">
        <f t="shared" si="182"/>
        <v>3.8796387982050903E-12</v>
      </c>
      <c r="FH196" s="20">
        <f t="shared" si="183"/>
        <v>7.2667013513884219E-12</v>
      </c>
      <c r="FI196" s="59">
        <f t="shared" ref="FI196:FI203" si="199">FH196+(EZ196+FA196)*44/12</f>
        <v>293.33333333334059</v>
      </c>
      <c r="FJ196" s="59">
        <f ca="1">AVERAGE(OFFSET($FI$3,0,0,'Données projet'!$E$16+1,1))-AVERAGE(OFFSET($H$3,0,0,'Données projet'!$E$16+1,1))</f>
        <v>199.60585215726968</v>
      </c>
      <c r="FK196" s="59">
        <f t="shared" si="156"/>
        <v>137.37366750114404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36.464749341379658</v>
      </c>
      <c r="FR196" s="21">
        <f>EXP(-LN(2)/25)*FR195+(1-EXP(-LN(2)/25))/(LN(2)/25)*Calculateur!FM196*Calculateur!FO196*VLOOKUP('Données projet'!$B$16,Paramètres!$A$1:$I$89,3,0)*0.475*44/12</f>
        <v>15.553527959239249</v>
      </c>
      <c r="FS196" s="21">
        <f>EXP(-LN(2)/2)*FS195+(1-EXP(-LN(2)/2))/(LN(2)/2)*FM196*FP196*VLOOKUP('Données projet'!$B$16,Paramètres!$A$1:$I$89,3,0)*0.475*44/12</f>
        <v>1.4882700640155493E-7</v>
      </c>
      <c r="FT196" s="22">
        <f t="shared" si="184"/>
        <v>52.018277449445911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1.1368683772161603E-12</v>
      </c>
      <c r="O197" s="13">
        <f>N197*VLOOKUP('Données projet'!$B$9,Paramètres!$A$1:$I$89,3,0)*VLOOKUP('Données projet'!$B$9,Paramètres!$A$1:$I$89,5,0)</f>
        <v>5.3205440053716299E-13</v>
      </c>
      <c r="P197" s="13">
        <f t="shared" ref="P197:P203" si="203">EXP(-1.0587+0.8836*LN(O197)+0.284)</f>
        <v>6.579711042921201E-12</v>
      </c>
      <c r="Q197" s="20">
        <f t="shared" si="162"/>
        <v>1.2386324814023317E-11</v>
      </c>
      <c r="R197" s="59">
        <f t="shared" si="191"/>
        <v>293.33333333334571</v>
      </c>
      <c r="S197" s="59">
        <f ca="1">AVERAGE(OFFSET($R$3,0,0,'Données projet'!$E$9+1,1))-AVERAGE(OFFSET($H$3,0,0,'Données projet'!$E$9+1,1))</f>
        <v>164.93438869099657</v>
      </c>
      <c r="T197" s="59">
        <f t="shared" ref="T197:T203" si="204">$T$3</f>
        <v>112.28641356594233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41.864888930403751</v>
      </c>
      <c r="AA197" s="21">
        <f>EXP(-LN(2)/25)*AA196+(1-EXP(-LN(2)/25))/(LN(2)/25)*Calculateur!V197*Calculateur!X197*VLOOKUP('Données projet'!$B$9,Paramètres!$A$1:$I$89,3,0)*0.475*44/12</f>
        <v>6.0695592234408693</v>
      </c>
      <c r="AB197" s="21">
        <f>EXP(-LN(2)/2)*AB196+(1-EXP(-LN(2)/2))/(LN(2)/2)*V197*Y197*VLOOKUP('Données projet'!$B$9,Paramètres!$A$1:$I$89,3,0)*0.475*44/12</f>
        <v>6.1291273483745147E-9</v>
      </c>
      <c r="AC197" s="22">
        <f t="shared" si="163"/>
        <v>47.934448159973748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273.81843612193632</v>
      </c>
      <c r="AO197" s="59">
        <f t="shared" ref="AO197:AO203" si="205">$AO$3</f>
        <v>241.86405419073208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-6.3550942286383367E-14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271.42245454555501</v>
      </c>
      <c r="BJ197" s="59">
        <f t="shared" ref="BJ197:BJ203" si="206">$BJ$3</f>
        <v>362.63944425429077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14.449411774283011</v>
      </c>
      <c r="BQ197" s="21">
        <f>EXP(-LN(2)/25)*BQ196+(1-EXP(-LN(2)/25))/(LN(2)/25)*Calculateur!BL197*Calculateur!BN197*VLOOKUP('Données projet'!$B$11,Paramètres!$A$1:$I$89,3,0)*0.475*44/12</f>
        <v>1.2211066954516996</v>
      </c>
      <c r="BR197" s="21">
        <f>EXP(-LN(2)/2)*BR196+(1-EXP(-LN(2)/2))/(LN(2)/2)*BL197*BO197*VLOOKUP('Données projet'!$B$11,Paramètres!$A$1:$I$89,3,0)*0.475*44/12</f>
        <v>4.0921330105332064E-20</v>
      </c>
      <c r="BS197" s="22">
        <f t="shared" si="169"/>
        <v>15.670518469734709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-3.1036506698001178E-14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154.35821558431712</v>
      </c>
      <c r="CE197" s="59">
        <f t="shared" ref="CE197:CE203" si="207">$CE$3</f>
        <v>263.86720460501306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3.1943616410228381</v>
      </c>
      <c r="CL197" s="21">
        <f>EXP(-LN(2)/25)*CL196+(1-EXP(-LN(2)/25))/(LN(2)/25)*Calculateur!CG197*Calculateur!CI197*VLOOKUP('Données projet'!$B$12,Paramètres!$A$1:$I$89,3,0)*0.475*44/12</f>
        <v>2.0966535350806668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5.2910151761035049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213</v>
      </c>
      <c r="CU197" s="17">
        <f>CT197*VLOOKUP('Données projet'!$B$13,Paramètres!$A$1:$I$89,3,0)*VLOOKUP('Données projet'!$B$13,Paramètres!$A$1:$I$89,5,0)</f>
        <v>169.46279999999999</v>
      </c>
      <c r="CV197" s="13">
        <f t="shared" si="173"/>
        <v>42.969686502194378</v>
      </c>
      <c r="CW197" s="20">
        <f t="shared" si="174"/>
        <v>369.9865806579885</v>
      </c>
      <c r="CX197" s="59">
        <f t="shared" si="196"/>
        <v>663.31991399132176</v>
      </c>
      <c r="CY197" s="59">
        <f ca="1">AVERAGE(OFFSET($CX$3,0,0,'Données projet'!$E$13+1,1))-AVERAGE(OFFSET($H$3,0,0,'Données projet'!$E$13+1,1))</f>
        <v>157.25319335691853</v>
      </c>
      <c r="CZ197" s="59">
        <f t="shared" ref="CZ197:CZ203" si="208">$CZ$3</f>
        <v>159.50903492442171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1.1797984062785045</v>
      </c>
      <c r="DG197" s="21">
        <f>EXP(-LN(2)/25)*DG196+(1-EXP(-LN(2)/25))/(LN(2)/25)*Calculateur!DB197*Calculateur!DD197*VLOOKUP('Données projet'!$B$13,Paramètres!$A$1:$I$89,3,0)*0.475*44/12</f>
        <v>0.37043047529562989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1.5502288815741343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227.99999999999994</v>
      </c>
      <c r="DP197" s="17">
        <f>DO197*VLOOKUP('Données projet'!$B$14,Paramètres!$A$1:$I$89,3,0)*VLOOKUP('Données projet'!$B$14,Paramètres!$A$1:$I$89,5,0)</f>
        <v>199.18079999999998</v>
      </c>
      <c r="DQ197" s="13">
        <f t="shared" si="176"/>
        <v>49.564089376413683</v>
      </c>
      <c r="DR197" s="20">
        <f t="shared" si="177"/>
        <v>433.23068233058711</v>
      </c>
      <c r="DS197" s="59">
        <f t="shared" si="197"/>
        <v>726.56401566392037</v>
      </c>
      <c r="DT197" s="59">
        <f ca="1">AVERAGE(OFFSET($DS$3,0,0,'Données projet'!$E$14+1,1))-AVERAGE(OFFSET($H$3,0,0,'Données projet'!$E$14+1,1))</f>
        <v>229.5312221178919</v>
      </c>
      <c r="DU197" s="59">
        <f t="shared" ref="DU197:DU203" si="209">$DU$3</f>
        <v>218.1982095871906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2.9721302616602201</v>
      </c>
      <c r="EB197" s="21">
        <f>EXP(-LN(2)/25)*EB196+(1-EXP(-LN(2)/25))/(LN(2)/25)*Calculateur!DW197*Calculateur!DY197*VLOOKUP('Données projet'!$B$14,Paramètres!$A$1:$I$89,3,0)*0.475*44/12</f>
        <v>1.0734734414374065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4.0456037030976262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-4.5474735088646412E-13</v>
      </c>
      <c r="EK197" s="17">
        <f>EJ197*VLOOKUP('Données projet'!$B$15,Paramètres!$A$1:$I$89,3,0)*VLOOKUP('Données projet'!$B$15,Paramètres!$A$1:$I$89,5,0)</f>
        <v>-4.1145540308207271E-13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204.39656982394689</v>
      </c>
      <c r="EP197" s="59">
        <f t="shared" ref="EP197:EP203" si="210">$EP$3</f>
        <v>134.95704640904546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73.941386650508903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73.941386650508903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3.4106051316484809E-13</v>
      </c>
      <c r="FF197" s="17">
        <f>FE197*VLOOKUP('Données projet'!$B$16,Paramètres!$A$1:$I$89,3,0)*VLOOKUP('Données projet'!$B$16,Paramètres!$A$1:$I$89,5,0)</f>
        <v>2.9262992029543969E-13</v>
      </c>
      <c r="FG197" s="13">
        <f t="shared" si="182"/>
        <v>3.8796387982050903E-12</v>
      </c>
      <c r="FH197" s="20">
        <f t="shared" si="183"/>
        <v>7.2667013513884219E-12</v>
      </c>
      <c r="FI197" s="59">
        <f t="shared" si="199"/>
        <v>293.33333333334059</v>
      </c>
      <c r="FJ197" s="59">
        <f ca="1">AVERAGE(OFFSET($FI$3,0,0,'Données projet'!$E$16+1,1))-AVERAGE(OFFSET($H$3,0,0,'Données projet'!$E$16+1,1))</f>
        <v>199.60585215726968</v>
      </c>
      <c r="FK197" s="59">
        <f t="shared" ref="FK197:FK203" si="211">$FK$3</f>
        <v>137.37366750114404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35.749697848096154</v>
      </c>
      <c r="FR197" s="21">
        <f>EXP(-LN(2)/25)*FR196+(1-EXP(-LN(2)/25))/(LN(2)/25)*Calculateur!FM197*Calculateur!FO197*VLOOKUP('Données projet'!$B$16,Paramètres!$A$1:$I$89,3,0)*0.475*44/12</f>
        <v>15.128215919269364</v>
      </c>
      <c r="FS197" s="21">
        <f>EXP(-LN(2)/2)*FS196+(1-EXP(-LN(2)/2))/(LN(2)/2)*FM197*FP197*VLOOKUP('Données projet'!$B$16,Paramètres!$A$1:$I$89,3,0)*0.475*44/12</f>
        <v>1.0523658545023321E-7</v>
      </c>
      <c r="FT197" s="22">
        <f t="shared" si="184"/>
        <v>50.877913872602107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1.1368683772161603E-12</v>
      </c>
      <c r="O198" s="13">
        <f>N198*VLOOKUP('Données projet'!$B$9,Paramètres!$A$1:$I$89,3,0)*VLOOKUP('Données projet'!$B$9,Paramètres!$A$1:$I$89,5,0)</f>
        <v>5.3205440053716299E-13</v>
      </c>
      <c r="P198" s="13">
        <f t="shared" si="203"/>
        <v>6.579711042921201E-12</v>
      </c>
      <c r="Q198" s="20">
        <f t="shared" si="162"/>
        <v>1.2386324814023317E-11</v>
      </c>
      <c r="R198" s="59">
        <f t="shared" si="191"/>
        <v>293.33333333334571</v>
      </c>
      <c r="S198" s="59">
        <f ca="1">AVERAGE(OFFSET($R$3,0,0,'Données projet'!$E$9+1,1))-AVERAGE(OFFSET($H$3,0,0,'Données projet'!$E$9+1,1))</f>
        <v>164.93438869099657</v>
      </c>
      <c r="T198" s="59">
        <f t="shared" si="204"/>
        <v>112.28641356594233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41.043943993539401</v>
      </c>
      <c r="AA198" s="21">
        <f>EXP(-LN(2)/25)*AA197+(1-EXP(-LN(2)/25))/(LN(2)/25)*Calculateur!V198*Calculateur!X198*VLOOKUP('Données projet'!$B$9,Paramètres!$A$1:$I$89,3,0)*0.475*44/12</f>
        <v>5.9035868072916315</v>
      </c>
      <c r="AB198" s="21">
        <f>EXP(-LN(2)/2)*AB197+(1-EXP(-LN(2)/2))/(LN(2)/2)*V198*Y198*VLOOKUP('Données projet'!$B$9,Paramètres!$A$1:$I$89,3,0)*0.475*44/12</f>
        <v>4.3339475107915421E-9</v>
      </c>
      <c r="AC198" s="22">
        <f t="shared" si="163"/>
        <v>46.94753080516498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273.81843612193632</v>
      </c>
      <c r="AO198" s="59">
        <f t="shared" si="205"/>
        <v>241.86405419073208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-6.3550942286383367E-14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271.42245454555501</v>
      </c>
      <c r="BJ198" s="59">
        <f t="shared" si="206"/>
        <v>362.63944425429077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14.166067622660265</v>
      </c>
      <c r="BQ198" s="21">
        <f>EXP(-LN(2)/25)*BQ197+(1-EXP(-LN(2)/25))/(LN(2)/25)*Calculateur!BL198*Calculateur!BN198*VLOOKUP('Données projet'!$B$11,Paramètres!$A$1:$I$89,3,0)*0.475*44/12</f>
        <v>1.1877154686493627</v>
      </c>
      <c r="BR198" s="21">
        <f>EXP(-LN(2)/2)*BR197+(1-EXP(-LN(2)/2))/(LN(2)/2)*BL198*BO198*VLOOKUP('Données projet'!$B$11,Paramètres!$A$1:$I$89,3,0)*0.475*44/12</f>
        <v>2.893575001265352E-20</v>
      </c>
      <c r="BS198" s="22">
        <f t="shared" si="169"/>
        <v>15.353783091309626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-3.1036506698001178E-14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154.35821558431712</v>
      </c>
      <c r="CE198" s="59">
        <f t="shared" si="207"/>
        <v>263.86720460501306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3.131722157610596</v>
      </c>
      <c r="CL198" s="21">
        <f>EXP(-LN(2)/25)*CL197+(1-EXP(-LN(2)/25))/(LN(2)/25)*Calculateur!CG198*Calculateur!CI198*VLOOKUP('Données projet'!$B$12,Paramètres!$A$1:$I$89,3,0)*0.475*44/12</f>
        <v>2.0393204339056683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5.1710425915162643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213</v>
      </c>
      <c r="CU198" s="17">
        <f>CT198*VLOOKUP('Données projet'!$B$13,Paramètres!$A$1:$I$89,3,0)*VLOOKUP('Données projet'!$B$13,Paramètres!$A$1:$I$89,5,0)</f>
        <v>169.46279999999999</v>
      </c>
      <c r="CV198" s="13">
        <f t="shared" si="173"/>
        <v>42.969686502194378</v>
      </c>
      <c r="CW198" s="20">
        <f t="shared" si="174"/>
        <v>369.9865806579885</v>
      </c>
      <c r="CX198" s="59">
        <f t="shared" si="196"/>
        <v>663.31991399132176</v>
      </c>
      <c r="CY198" s="59">
        <f ca="1">AVERAGE(OFFSET($CX$3,0,0,'Données projet'!$E$13+1,1))-AVERAGE(OFFSET($H$3,0,0,'Données projet'!$E$13+1,1))</f>
        <v>157.25319335691853</v>
      </c>
      <c r="CZ198" s="59">
        <f t="shared" si="208"/>
        <v>159.50903492442171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1.1566632791373557</v>
      </c>
      <c r="DG198" s="21">
        <f>EXP(-LN(2)/25)*DG197+(1-EXP(-LN(2)/25))/(LN(2)/25)*Calculateur!DB198*Calculateur!DD198*VLOOKUP('Données projet'!$B$13,Paramètres!$A$1:$I$89,3,0)*0.475*44/12</f>
        <v>0.36030103446857881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1.5169643136059345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227.99999999999994</v>
      </c>
      <c r="DP198" s="17">
        <f>DO198*VLOOKUP('Données projet'!$B$14,Paramètres!$A$1:$I$89,3,0)*VLOOKUP('Données projet'!$B$14,Paramètres!$A$1:$I$89,5,0)</f>
        <v>199.18079999999998</v>
      </c>
      <c r="DQ198" s="13">
        <f t="shared" si="176"/>
        <v>49.564089376413683</v>
      </c>
      <c r="DR198" s="20">
        <f t="shared" si="177"/>
        <v>433.23068233058711</v>
      </c>
      <c r="DS198" s="59">
        <f t="shared" si="197"/>
        <v>726.56401566392037</v>
      </c>
      <c r="DT198" s="59">
        <f ca="1">AVERAGE(OFFSET($DS$3,0,0,'Données projet'!$E$14+1,1))-AVERAGE(OFFSET($H$3,0,0,'Données projet'!$E$14+1,1))</f>
        <v>229.5312221178919</v>
      </c>
      <c r="DU198" s="59">
        <f t="shared" si="209"/>
        <v>218.1982095871906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2.9138486000495218</v>
      </c>
      <c r="EB198" s="21">
        <f>EXP(-LN(2)/25)*EB197+(1-EXP(-LN(2)/25))/(LN(2)/25)*Calculateur!DW198*Calculateur!DY198*VLOOKUP('Données projet'!$B$14,Paramètres!$A$1:$I$89,3,0)*0.475*44/12</f>
        <v>1.0441192537297859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3.9579678537793077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-4.5474735088646412E-13</v>
      </c>
      <c r="EK198" s="17">
        <f>EJ198*VLOOKUP('Données projet'!$B$15,Paramètres!$A$1:$I$89,3,0)*VLOOKUP('Données projet'!$B$15,Paramètres!$A$1:$I$89,5,0)</f>
        <v>-4.1145540308207271E-13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204.39656982394689</v>
      </c>
      <c r="EP198" s="59">
        <f t="shared" si="210"/>
        <v>134.95704640904546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72.491441158085053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72.491441158085053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3.4106051316484809E-13</v>
      </c>
      <c r="FF198" s="17">
        <f>FE198*VLOOKUP('Données projet'!$B$16,Paramètres!$A$1:$I$89,3,0)*VLOOKUP('Données projet'!$B$16,Paramètres!$A$1:$I$89,5,0)</f>
        <v>2.9262992029543969E-13</v>
      </c>
      <c r="FG198" s="13">
        <f t="shared" si="182"/>
        <v>3.8796387982050903E-12</v>
      </c>
      <c r="FH198" s="20">
        <f t="shared" si="183"/>
        <v>7.2667013513884219E-12</v>
      </c>
      <c r="FI198" s="59">
        <f t="shared" si="199"/>
        <v>293.33333333334059</v>
      </c>
      <c r="FJ198" s="59">
        <f ca="1">AVERAGE(OFFSET($FI$3,0,0,'Données projet'!$E$16+1,1))-AVERAGE(OFFSET($H$3,0,0,'Données projet'!$E$16+1,1))</f>
        <v>199.60585215726968</v>
      </c>
      <c r="FK198" s="59">
        <f t="shared" si="211"/>
        <v>137.37366750114404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35.048668078457595</v>
      </c>
      <c r="FR198" s="21">
        <f>EXP(-LN(2)/25)*FR197+(1-EXP(-LN(2)/25))/(LN(2)/25)*Calculateur!FM198*Calculateur!FO198*VLOOKUP('Données projet'!$B$16,Paramètres!$A$1:$I$89,3,0)*0.475*44/12</f>
        <v>14.714534059398643</v>
      </c>
      <c r="FS198" s="21">
        <f>EXP(-LN(2)/2)*FS197+(1-EXP(-LN(2)/2))/(LN(2)/2)*FM198*FP198*VLOOKUP('Données projet'!$B$16,Paramètres!$A$1:$I$89,3,0)*0.475*44/12</f>
        <v>7.4413503200777465E-8</v>
      </c>
      <c r="FT198" s="22">
        <f t="shared" si="184"/>
        <v>49.763202212269746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1.1368683772161603E-12</v>
      </c>
      <c r="O199" s="13">
        <f>N199*VLOOKUP('Données projet'!$B$9,Paramètres!$A$1:$I$89,3,0)*VLOOKUP('Données projet'!$B$9,Paramètres!$A$1:$I$89,5,0)</f>
        <v>5.3205440053716299E-13</v>
      </c>
      <c r="P199" s="13">
        <f t="shared" si="203"/>
        <v>6.579711042921201E-12</v>
      </c>
      <c r="Q199" s="20">
        <f t="shared" si="162"/>
        <v>1.2386324814023317E-11</v>
      </c>
      <c r="R199" s="59">
        <f t="shared" si="191"/>
        <v>293.33333333334571</v>
      </c>
      <c r="S199" s="59">
        <f ca="1">AVERAGE(OFFSET($R$3,0,0,'Données projet'!$E$9+1,1))-AVERAGE(OFFSET($H$3,0,0,'Données projet'!$E$9+1,1))</f>
        <v>164.93438869099657</v>
      </c>
      <c r="T199" s="59">
        <f t="shared" si="204"/>
        <v>112.28641356594233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40.239097286159996</v>
      </c>
      <c r="AA199" s="21">
        <f>EXP(-LN(2)/25)*AA198+(1-EXP(-LN(2)/25))/(LN(2)/25)*Calculateur!V199*Calculateur!X199*VLOOKUP('Données projet'!$B$9,Paramètres!$A$1:$I$89,3,0)*0.475*44/12</f>
        <v>5.7421529155901041</v>
      </c>
      <c r="AB199" s="21">
        <f>EXP(-LN(2)/2)*AB198+(1-EXP(-LN(2)/2))/(LN(2)/2)*V199*Y199*VLOOKUP('Données projet'!$B$9,Paramètres!$A$1:$I$89,3,0)*0.475*44/12</f>
        <v>3.0645636741872574E-9</v>
      </c>
      <c r="AC199" s="22">
        <f t="shared" si="163"/>
        <v>45.981250204814664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273.81843612193632</v>
      </c>
      <c r="AO199" s="59">
        <f t="shared" si="205"/>
        <v>241.86405419073208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-6.3550942286383367E-14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271.42245454555501</v>
      </c>
      <c r="BJ199" s="59">
        <f t="shared" si="206"/>
        <v>362.63944425429077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13.888279677027974</v>
      </c>
      <c r="BQ199" s="21">
        <f>EXP(-LN(2)/25)*BQ198+(1-EXP(-LN(2)/25))/(LN(2)/25)*Calculateur!BL199*Calculateur!BN199*VLOOKUP('Données projet'!$B$11,Paramètres!$A$1:$I$89,3,0)*0.475*44/12</f>
        <v>1.1552373266999039</v>
      </c>
      <c r="BR199" s="21">
        <f>EXP(-LN(2)/2)*BR198+(1-EXP(-LN(2)/2))/(LN(2)/2)*BL199*BO199*VLOOKUP('Données projet'!$B$11,Paramètres!$A$1:$I$89,3,0)*0.475*44/12</f>
        <v>2.0460665052666032E-20</v>
      </c>
      <c r="BS199" s="22">
        <f t="shared" si="169"/>
        <v>15.043517003727878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-3.1036506698001178E-14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154.35821558431712</v>
      </c>
      <c r="CE199" s="59">
        <f t="shared" si="207"/>
        <v>263.86720460501306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3.0703109962617554</v>
      </c>
      <c r="CL199" s="21">
        <f>EXP(-LN(2)/25)*CL198+(1-EXP(-LN(2)/25))/(LN(2)/25)*Calculateur!CG199*Calculateur!CI199*VLOOKUP('Données projet'!$B$12,Paramètres!$A$1:$I$89,3,0)*0.475*44/12</f>
        <v>1.9835551093973172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5.0538661056590728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213</v>
      </c>
      <c r="CU199" s="17">
        <f>CT199*VLOOKUP('Données projet'!$B$13,Paramètres!$A$1:$I$89,3,0)*VLOOKUP('Données projet'!$B$13,Paramètres!$A$1:$I$89,5,0)</f>
        <v>169.46279999999999</v>
      </c>
      <c r="CV199" s="13">
        <f t="shared" si="173"/>
        <v>42.969686502194378</v>
      </c>
      <c r="CW199" s="20">
        <f t="shared" si="174"/>
        <v>369.9865806579885</v>
      </c>
      <c r="CX199" s="59">
        <f t="shared" si="196"/>
        <v>663.31991399132176</v>
      </c>
      <c r="CY199" s="59">
        <f ca="1">AVERAGE(OFFSET($CX$3,0,0,'Données projet'!$E$13+1,1))-AVERAGE(OFFSET($H$3,0,0,'Données projet'!$E$13+1,1))</f>
        <v>157.25319335691853</v>
      </c>
      <c r="CZ199" s="59">
        <f t="shared" si="208"/>
        <v>159.50903492442171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1.1339818177284107</v>
      </c>
      <c r="DG199" s="21">
        <f>EXP(-LN(2)/25)*DG198+(1-EXP(-LN(2)/25))/(LN(2)/25)*Calculateur!DB199*Calculateur!DD199*VLOOKUP('Données projet'!$B$13,Paramètres!$A$1:$I$89,3,0)*0.475*44/12</f>
        <v>0.35044858373362758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1.4844304014620382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227.99999999999994</v>
      </c>
      <c r="DP199" s="17">
        <f>DO199*VLOOKUP('Données projet'!$B$14,Paramètres!$A$1:$I$89,3,0)*VLOOKUP('Données projet'!$B$14,Paramètres!$A$1:$I$89,5,0)</f>
        <v>199.18079999999998</v>
      </c>
      <c r="DQ199" s="13">
        <f t="shared" si="176"/>
        <v>49.564089376413683</v>
      </c>
      <c r="DR199" s="20">
        <f t="shared" si="177"/>
        <v>433.23068233058711</v>
      </c>
      <c r="DS199" s="59">
        <f t="shared" si="197"/>
        <v>726.56401566392037</v>
      </c>
      <c r="DT199" s="59">
        <f ca="1">AVERAGE(OFFSET($DS$3,0,0,'Données projet'!$E$14+1,1))-AVERAGE(OFFSET($H$3,0,0,'Données projet'!$E$14+1,1))</f>
        <v>229.5312221178919</v>
      </c>
      <c r="DU199" s="59">
        <f t="shared" si="209"/>
        <v>218.1982095871906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2.8567098062747056</v>
      </c>
      <c r="EB199" s="21">
        <f>EXP(-LN(2)/25)*EB198+(1-EXP(-LN(2)/25))/(LN(2)/25)*Calculateur!DW199*Calculateur!DY199*VLOOKUP('Données projet'!$B$14,Paramètres!$A$1:$I$89,3,0)*0.475*44/12</f>
        <v>1.0155677578286997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3.8722775641034053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-4.5474735088646412E-13</v>
      </c>
      <c r="EK199" s="17">
        <f>EJ199*VLOOKUP('Données projet'!$B$15,Paramètres!$A$1:$I$89,3,0)*VLOOKUP('Données projet'!$B$15,Paramètres!$A$1:$I$89,5,0)</f>
        <v>-4.1145540308207271E-13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204.39656982394689</v>
      </c>
      <c r="EP199" s="59">
        <f t="shared" si="210"/>
        <v>134.95704640904546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71.069928212388206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71.069928212388206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3.4106051316484809E-13</v>
      </c>
      <c r="FF199" s="17">
        <f>FE199*VLOOKUP('Données projet'!$B$16,Paramètres!$A$1:$I$89,3,0)*VLOOKUP('Données projet'!$B$16,Paramètres!$A$1:$I$89,5,0)</f>
        <v>2.9262992029543969E-13</v>
      </c>
      <c r="FG199" s="13">
        <f t="shared" si="182"/>
        <v>3.8796387982050903E-12</v>
      </c>
      <c r="FH199" s="20">
        <f t="shared" si="183"/>
        <v>7.2667013513884219E-12</v>
      </c>
      <c r="FI199" s="59">
        <f t="shared" si="199"/>
        <v>293.33333333334059</v>
      </c>
      <c r="FJ199" s="59">
        <f ca="1">AVERAGE(OFFSET($FI$3,0,0,'Données projet'!$E$16+1,1))-AVERAGE(OFFSET($H$3,0,0,'Données projet'!$E$16+1,1))</f>
        <v>199.60585215726968</v>
      </c>
      <c r="FK199" s="59">
        <f t="shared" si="211"/>
        <v>137.37366750114404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34.361385075015711</v>
      </c>
      <c r="FR199" s="21">
        <f>EXP(-LN(2)/25)*FR198+(1-EXP(-LN(2)/25))/(LN(2)/25)*Calculateur!FM199*Calculateur!FO199*VLOOKUP('Données projet'!$B$16,Paramètres!$A$1:$I$89,3,0)*0.475*44/12</f>
        <v>14.312164351740671</v>
      </c>
      <c r="FS199" s="21">
        <f>EXP(-LN(2)/2)*FS198+(1-EXP(-LN(2)/2))/(LN(2)/2)*FM199*FP199*VLOOKUP('Données projet'!$B$16,Paramètres!$A$1:$I$89,3,0)*0.475*44/12</f>
        <v>5.2618292725116605E-8</v>
      </c>
      <c r="FT199" s="22">
        <f t="shared" si="184"/>
        <v>48.673549479374671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1.1368683772161603E-12</v>
      </c>
      <c r="O200" s="13">
        <f>N200*VLOOKUP('Données projet'!$B$9,Paramètres!$A$1:$I$89,3,0)*VLOOKUP('Données projet'!$B$9,Paramètres!$A$1:$I$89,5,0)</f>
        <v>5.3205440053716299E-13</v>
      </c>
      <c r="P200" s="13">
        <f t="shared" si="203"/>
        <v>6.579711042921201E-12</v>
      </c>
      <c r="Q200" s="20">
        <f t="shared" si="162"/>
        <v>1.2386324814023317E-11</v>
      </c>
      <c r="R200" s="59">
        <f t="shared" si="191"/>
        <v>293.33333333334571</v>
      </c>
      <c r="S200" s="59">
        <f ca="1">AVERAGE(OFFSET($R$3,0,0,'Données projet'!$E$9+1,1))-AVERAGE(OFFSET($H$3,0,0,'Données projet'!$E$9+1,1))</f>
        <v>164.93438869099657</v>
      </c>
      <c r="T200" s="59">
        <f t="shared" si="204"/>
        <v>112.28641356594233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39.450033131804283</v>
      </c>
      <c r="AA200" s="21">
        <f>EXP(-LN(2)/25)*AA199+(1-EXP(-LN(2)/25))/(LN(2)/25)*Calculateur!V200*Calculateur!X200*VLOOKUP('Données projet'!$B$9,Paramètres!$A$1:$I$89,3,0)*0.475*44/12</f>
        <v>5.5851334421465948</v>
      </c>
      <c r="AB200" s="21">
        <f>EXP(-LN(2)/2)*AB199+(1-EXP(-LN(2)/2))/(LN(2)/2)*V200*Y200*VLOOKUP('Données projet'!$B$9,Paramètres!$A$1:$I$89,3,0)*0.475*44/12</f>
        <v>2.1669737553957711E-9</v>
      </c>
      <c r="AC200" s="22">
        <f t="shared" si="163"/>
        <v>45.035166576117845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273.81843612193632</v>
      </c>
      <c r="AO200" s="59">
        <f t="shared" si="205"/>
        <v>241.86405419073208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-6.3550942286383367E-14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271.42245454555501</v>
      </c>
      <c r="BJ200" s="59">
        <f t="shared" si="206"/>
        <v>362.63944425429077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13.615938983575615</v>
      </c>
      <c r="BQ200" s="21">
        <f>EXP(-LN(2)/25)*BQ199+(1-EXP(-LN(2)/25))/(LN(2)/25)*Calculateur!BL200*Calculateur!BN200*VLOOKUP('Données projet'!$B$11,Paramètres!$A$1:$I$89,3,0)*0.475*44/12</f>
        <v>1.1236473012500043</v>
      </c>
      <c r="BR200" s="21">
        <f>EXP(-LN(2)/2)*BR199+(1-EXP(-LN(2)/2))/(LN(2)/2)*BL200*BO200*VLOOKUP('Données projet'!$B$11,Paramètres!$A$1:$I$89,3,0)*0.475*44/12</f>
        <v>1.446787500632676E-20</v>
      </c>
      <c r="BS200" s="22">
        <f t="shared" si="169"/>
        <v>14.73958628482562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-3.1036506698001178E-14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154.35821558431712</v>
      </c>
      <c r="CE200" s="59">
        <f t="shared" si="207"/>
        <v>263.86720460501306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3.0101040703298558</v>
      </c>
      <c r="CL200" s="21">
        <f>EXP(-LN(2)/25)*CL199+(1-EXP(-LN(2)/25))/(LN(2)/25)*Calculateur!CG200*Calculateur!CI200*VLOOKUP('Données projet'!$B$12,Paramètres!$A$1:$I$89,3,0)*0.475*44/12</f>
        <v>1.9293146906202179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4.9394187609500735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213</v>
      </c>
      <c r="CU200" s="17">
        <f>CT200*VLOOKUP('Données projet'!$B$13,Paramètres!$A$1:$I$89,3,0)*VLOOKUP('Données projet'!$B$13,Paramètres!$A$1:$I$89,5,0)</f>
        <v>169.46279999999999</v>
      </c>
      <c r="CV200" s="13">
        <f t="shared" si="173"/>
        <v>42.969686502194378</v>
      </c>
      <c r="CW200" s="20">
        <f t="shared" si="174"/>
        <v>369.9865806579885</v>
      </c>
      <c r="CX200" s="59">
        <f t="shared" si="196"/>
        <v>663.31991399132176</v>
      </c>
      <c r="CY200" s="59">
        <f ca="1">AVERAGE(OFFSET($CX$3,0,0,'Données projet'!$E$13+1,1))-AVERAGE(OFFSET($H$3,0,0,'Données projet'!$E$13+1,1))</f>
        <v>157.25319335691853</v>
      </c>
      <c r="CZ200" s="59">
        <f t="shared" si="208"/>
        <v>159.50903492442171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1.1117451259433695</v>
      </c>
      <c r="DG200" s="21">
        <f>EXP(-LN(2)/25)*DG199+(1-EXP(-LN(2)/25))/(LN(2)/25)*Calculateur!DB200*Calculateur!DD200*VLOOKUP('Données projet'!$B$13,Paramètres!$A$1:$I$89,3,0)*0.475*44/12</f>
        <v>0.34086554878214148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1.452610674725511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227.99999999999994</v>
      </c>
      <c r="DP200" s="17">
        <f>DO200*VLOOKUP('Données projet'!$B$14,Paramètres!$A$1:$I$89,3,0)*VLOOKUP('Données projet'!$B$14,Paramètres!$A$1:$I$89,5,0)</f>
        <v>199.18079999999998</v>
      </c>
      <c r="DQ200" s="13">
        <f t="shared" si="176"/>
        <v>49.564089376413683</v>
      </c>
      <c r="DR200" s="20">
        <f t="shared" si="177"/>
        <v>433.23068233058711</v>
      </c>
      <c r="DS200" s="59">
        <f t="shared" si="197"/>
        <v>726.56401566392037</v>
      </c>
      <c r="DT200" s="59">
        <f ca="1">AVERAGE(OFFSET($DS$3,0,0,'Données projet'!$E$14+1,1))-AVERAGE(OFFSET($H$3,0,0,'Données projet'!$E$14+1,1))</f>
        <v>229.5312221178919</v>
      </c>
      <c r="DU200" s="59">
        <f t="shared" si="209"/>
        <v>218.1982095871906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2.8006914693945908</v>
      </c>
      <c r="EB200" s="21">
        <f>EXP(-LN(2)/25)*EB199+(1-EXP(-LN(2)/25))/(LN(2)/25)*Calculateur!DW200*Calculateur!DY200*VLOOKUP('Données projet'!$B$14,Paramètres!$A$1:$I$89,3,0)*0.475*44/12</f>
        <v>0.98779700408448656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3.7884884734790774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-4.5474735088646412E-13</v>
      </c>
      <c r="EK200" s="17">
        <f>EJ200*VLOOKUP('Données projet'!$B$15,Paramètres!$A$1:$I$89,3,0)*VLOOKUP('Données projet'!$B$15,Paramètres!$A$1:$I$89,5,0)</f>
        <v>-4.1145540308207271E-13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204.39656982394689</v>
      </c>
      <c r="EP200" s="59">
        <f t="shared" si="210"/>
        <v>134.95704640904546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69.676290268519182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69.676290268519182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3.4106051316484809E-13</v>
      </c>
      <c r="FF200" s="17">
        <f>FE200*VLOOKUP('Données projet'!$B$16,Paramètres!$A$1:$I$89,3,0)*VLOOKUP('Données projet'!$B$16,Paramètres!$A$1:$I$89,5,0)</f>
        <v>2.9262992029543969E-13</v>
      </c>
      <c r="FG200" s="13">
        <f t="shared" si="182"/>
        <v>3.8796387982050903E-12</v>
      </c>
      <c r="FH200" s="20">
        <f t="shared" si="183"/>
        <v>7.2667013513884219E-12</v>
      </c>
      <c r="FI200" s="59">
        <f t="shared" si="199"/>
        <v>293.33333333334059</v>
      </c>
      <c r="FJ200" s="59">
        <f ca="1">AVERAGE(OFFSET($FI$3,0,0,'Données projet'!$E$16+1,1))-AVERAGE(OFFSET($H$3,0,0,'Données projet'!$E$16+1,1))</f>
        <v>199.60585215726968</v>
      </c>
      <c r="FK200" s="59">
        <f t="shared" si="211"/>
        <v>137.37366750114404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33.687579272070082</v>
      </c>
      <c r="FR200" s="21">
        <f>EXP(-LN(2)/25)*FR199+(1-EXP(-LN(2)/25))/(LN(2)/25)*Calculateur!FM200*Calculateur!FO200*VLOOKUP('Données projet'!$B$16,Paramètres!$A$1:$I$89,3,0)*0.475*44/12</f>
        <v>13.92079746489831</v>
      </c>
      <c r="FS200" s="21">
        <f>EXP(-LN(2)/2)*FS199+(1-EXP(-LN(2)/2))/(LN(2)/2)*FM200*FP200*VLOOKUP('Données projet'!$B$16,Paramètres!$A$1:$I$89,3,0)*0.475*44/12</f>
        <v>3.7206751600388732E-8</v>
      </c>
      <c r="FT200" s="22">
        <f t="shared" si="184"/>
        <v>47.608376774175149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1.1368683772161603E-12</v>
      </c>
      <c r="O201" s="13">
        <f>N201*VLOOKUP('Données projet'!$B$9,Paramètres!$A$1:$I$89,3,0)*VLOOKUP('Données projet'!$B$9,Paramètres!$A$1:$I$89,5,0)</f>
        <v>5.3205440053716299E-13</v>
      </c>
      <c r="P201" s="13">
        <f t="shared" si="203"/>
        <v>6.579711042921201E-12</v>
      </c>
      <c r="Q201" s="20">
        <f t="shared" si="162"/>
        <v>1.2386324814023317E-11</v>
      </c>
      <c r="R201" s="59">
        <f t="shared" si="191"/>
        <v>293.33333333334571</v>
      </c>
      <c r="S201" s="59">
        <f ca="1">AVERAGE(OFFSET($R$3,0,0,'Données projet'!$E$9+1,1))-AVERAGE(OFFSET($H$3,0,0,'Données projet'!$E$9+1,1))</f>
        <v>164.93438869099657</v>
      </c>
      <c r="T201" s="59">
        <f t="shared" si="204"/>
        <v>112.28641356594233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38.676442044233873</v>
      </c>
      <c r="AA201" s="21">
        <f>EXP(-LN(2)/25)*AA200+(1-EXP(-LN(2)/25))/(LN(2)/25)*Calculateur!V201*Calculateur!X201*VLOOKUP('Données projet'!$B$9,Paramètres!$A$1:$I$89,3,0)*0.475*44/12</f>
        <v>5.4324076744616931</v>
      </c>
      <c r="AB201" s="21">
        <f>EXP(-LN(2)/2)*AB200+(1-EXP(-LN(2)/2))/(LN(2)/2)*V201*Y201*VLOOKUP('Données projet'!$B$9,Paramètres!$A$1:$I$89,3,0)*0.475*44/12</f>
        <v>1.5322818370936287E-9</v>
      </c>
      <c r="AC201" s="22">
        <f t="shared" si="163"/>
        <v>44.108849720227845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273.81843612193632</v>
      </c>
      <c r="AO201" s="59">
        <f t="shared" si="205"/>
        <v>241.86405419073208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-6.3550942286383367E-14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271.42245454555501</v>
      </c>
      <c r="BJ201" s="59">
        <f t="shared" si="206"/>
        <v>362.63944425429077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13.348938725010436</v>
      </c>
      <c r="BQ201" s="21">
        <f>EXP(-LN(2)/25)*BQ200+(1-EXP(-LN(2)/25))/(LN(2)/25)*Calculateur!BL201*Calculateur!BN201*VLOOKUP('Données projet'!$B$11,Paramètres!$A$1:$I$89,3,0)*0.475*44/12</f>
        <v>1.0929211067072795</v>
      </c>
      <c r="BR201" s="21">
        <f>EXP(-LN(2)/2)*BR200+(1-EXP(-LN(2)/2))/(LN(2)/2)*BL201*BO201*VLOOKUP('Données projet'!$B$11,Paramètres!$A$1:$I$89,3,0)*0.475*44/12</f>
        <v>1.0230332526333016E-20</v>
      </c>
      <c r="BS201" s="22">
        <f t="shared" si="169"/>
        <v>14.441859831717716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-3.1036506698001178E-14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154.35821558431712</v>
      </c>
      <c r="CE201" s="59">
        <f t="shared" si="207"/>
        <v>263.86720460501306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2.9510777654928821</v>
      </c>
      <c r="CL201" s="21">
        <f>EXP(-LN(2)/25)*CL200+(1-EXP(-LN(2)/25))/(LN(2)/25)*Calculateur!CG201*Calculateur!CI201*VLOOKUP('Données projet'!$B$12,Paramètres!$A$1:$I$89,3,0)*0.475*44/12</f>
        <v>1.8765574789469579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4.8276352444398398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213</v>
      </c>
      <c r="CU201" s="17">
        <f>CT201*VLOOKUP('Données projet'!$B$13,Paramètres!$A$1:$I$89,3,0)*VLOOKUP('Données projet'!$B$13,Paramètres!$A$1:$I$89,5,0)</f>
        <v>169.46279999999999</v>
      </c>
      <c r="CV201" s="13">
        <f t="shared" si="173"/>
        <v>42.969686502194378</v>
      </c>
      <c r="CW201" s="20">
        <f t="shared" si="174"/>
        <v>369.9865806579885</v>
      </c>
      <c r="CX201" s="59">
        <f t="shared" si="196"/>
        <v>663.31991399132176</v>
      </c>
      <c r="CY201" s="59">
        <f ca="1">AVERAGE(OFFSET($CX$3,0,0,'Données projet'!$E$13+1,1))-AVERAGE(OFFSET($H$3,0,0,'Données projet'!$E$13+1,1))</f>
        <v>157.25319335691853</v>
      </c>
      <c r="CZ201" s="59">
        <f t="shared" si="208"/>
        <v>159.50903492442171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1.0899444821211903</v>
      </c>
      <c r="DG201" s="21">
        <f>EXP(-LN(2)/25)*DG200+(1-EXP(-LN(2)/25))/(LN(2)/25)*Calculateur!DB201*Calculateur!DD201*VLOOKUP('Données projet'!$B$13,Paramètres!$A$1:$I$89,3,0)*0.475*44/12</f>
        <v>0.33154456242535368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1.421489044546544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227.99999999999994</v>
      </c>
      <c r="DP201" s="17">
        <f>DO201*VLOOKUP('Données projet'!$B$14,Paramètres!$A$1:$I$89,3,0)*VLOOKUP('Données projet'!$B$14,Paramètres!$A$1:$I$89,5,0)</f>
        <v>199.18079999999998</v>
      </c>
      <c r="DQ201" s="13">
        <f t="shared" si="176"/>
        <v>49.564089376413683</v>
      </c>
      <c r="DR201" s="20">
        <f t="shared" si="177"/>
        <v>433.23068233058711</v>
      </c>
      <c r="DS201" s="59">
        <f t="shared" si="197"/>
        <v>726.56401566392037</v>
      </c>
      <c r="DT201" s="59">
        <f ca="1">AVERAGE(OFFSET($DS$3,0,0,'Données projet'!$E$14+1,1))-AVERAGE(OFFSET($H$3,0,0,'Données projet'!$E$14+1,1))</f>
        <v>229.5312221178919</v>
      </c>
      <c r="DU201" s="59">
        <f t="shared" si="209"/>
        <v>218.1982095871906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2.745771617932883</v>
      </c>
      <c r="EB201" s="21">
        <f>EXP(-LN(2)/25)*EB200+(1-EXP(-LN(2)/25))/(LN(2)/25)*Calculateur!DW201*Calculateur!DY201*VLOOKUP('Données projet'!$B$14,Paramètres!$A$1:$I$89,3,0)*0.475*44/12</f>
        <v>0.96078564306180947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3.7065572609946926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-4.5474735088646412E-13</v>
      </c>
      <c r="EK201" s="17">
        <f>EJ201*VLOOKUP('Données projet'!$B$15,Paramètres!$A$1:$I$89,3,0)*VLOOKUP('Données projet'!$B$15,Paramètres!$A$1:$I$89,5,0)</f>
        <v>-4.1145540308207271E-13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204.39656982394689</v>
      </c>
      <c r="EP201" s="59">
        <f t="shared" si="210"/>
        <v>134.95704640904546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68.30998071469422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68.30998071469422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3.4106051316484809E-13</v>
      </c>
      <c r="FF201" s="17">
        <f>FE201*VLOOKUP('Données projet'!$B$16,Paramètres!$A$1:$I$89,3,0)*VLOOKUP('Données projet'!$B$16,Paramètres!$A$1:$I$89,5,0)</f>
        <v>2.9262992029543969E-13</v>
      </c>
      <c r="FG201" s="13">
        <f t="shared" si="182"/>
        <v>3.8796387982050903E-12</v>
      </c>
      <c r="FH201" s="20">
        <f t="shared" si="183"/>
        <v>7.2667013513884219E-12</v>
      </c>
      <c r="FI201" s="59">
        <f t="shared" si="199"/>
        <v>293.33333333334059</v>
      </c>
      <c r="FJ201" s="59">
        <f ca="1">AVERAGE(OFFSET($FI$3,0,0,'Données projet'!$E$16+1,1))-AVERAGE(OFFSET($H$3,0,0,'Données projet'!$E$16+1,1))</f>
        <v>199.60585215726968</v>
      </c>
      <c r="FK201" s="59">
        <f t="shared" si="211"/>
        <v>137.37366750114404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33.026986389939253</v>
      </c>
      <c r="FR201" s="21">
        <f>EXP(-LN(2)/25)*FR200+(1-EXP(-LN(2)/25))/(LN(2)/25)*Calculateur!FM201*Calculateur!FO201*VLOOKUP('Données projet'!$B$16,Paramètres!$A$1:$I$89,3,0)*0.475*44/12</f>
        <v>13.540132526157743</v>
      </c>
      <c r="FS201" s="21">
        <f>EXP(-LN(2)/2)*FS200+(1-EXP(-LN(2)/2))/(LN(2)/2)*FM201*FP201*VLOOKUP('Données projet'!$B$16,Paramètres!$A$1:$I$89,3,0)*0.475*44/12</f>
        <v>2.6309146362558303E-8</v>
      </c>
      <c r="FT201" s="22">
        <f t="shared" si="184"/>
        <v>46.56711894240614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1.1368683772161603E-12</v>
      </c>
      <c r="O202" s="13">
        <f>N202*VLOOKUP('Données projet'!$B$9,Paramètres!$A$1:$I$89,3,0)*VLOOKUP('Données projet'!$B$9,Paramètres!$A$1:$I$89,5,0)</f>
        <v>5.3205440053716299E-13</v>
      </c>
      <c r="P202" s="13">
        <f t="shared" si="203"/>
        <v>6.579711042921201E-12</v>
      </c>
      <c r="Q202" s="20">
        <f t="shared" si="162"/>
        <v>1.2386324814023317E-11</v>
      </c>
      <c r="R202" s="59">
        <f t="shared" si="191"/>
        <v>293.33333333334571</v>
      </c>
      <c r="S202" s="59">
        <f ca="1">AVERAGE(OFFSET($R$3,0,0,'Données projet'!$E$9+1,1))-AVERAGE(OFFSET($H$3,0,0,'Données projet'!$E$9+1,1))</f>
        <v>164.93438869099657</v>
      </c>
      <c r="T202" s="59">
        <f t="shared" si="204"/>
        <v>112.28641356594233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37.918020606046746</v>
      </c>
      <c r="AA202" s="21">
        <f>EXP(-LN(2)/25)*AA201+(1-EXP(-LN(2)/25))/(LN(2)/25)*Calculateur!V202*Calculateur!X202*VLOOKUP('Données projet'!$B$9,Paramètres!$A$1:$I$89,3,0)*0.475*44/12</f>
        <v>5.2838582009256347</v>
      </c>
      <c r="AB202" s="21">
        <f>EXP(-LN(2)/2)*AB201+(1-EXP(-LN(2)/2))/(LN(2)/2)*V202*Y202*VLOOKUP('Données projet'!$B$9,Paramètres!$A$1:$I$89,3,0)*0.475*44/12</f>
        <v>1.0834868776978855E-9</v>
      </c>
      <c r="AC202" s="22">
        <f t="shared" si="163"/>
        <v>43.201878808055866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273.81843612193632</v>
      </c>
      <c r="AO202" s="59">
        <f t="shared" si="205"/>
        <v>241.86405419073208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-6.3550942286383367E-14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271.42245454555501</v>
      </c>
      <c r="BJ202" s="59">
        <f t="shared" si="206"/>
        <v>362.63944425429077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13.087174178661643</v>
      </c>
      <c r="BQ202" s="21">
        <f>EXP(-LN(2)/25)*BQ201+(1-EXP(-LN(2)/25))/(LN(2)/25)*Calculateur!BL202*Calculateur!BN202*VLOOKUP('Données projet'!$B$11,Paramètres!$A$1:$I$89,3,0)*0.475*44/12</f>
        <v>1.0630351215701459</v>
      </c>
      <c r="BR202" s="21">
        <f>EXP(-LN(2)/2)*BR201+(1-EXP(-LN(2)/2))/(LN(2)/2)*BL202*BO202*VLOOKUP('Données projet'!$B$11,Paramètres!$A$1:$I$89,3,0)*0.475*44/12</f>
        <v>7.2339375031633799E-21</v>
      </c>
      <c r="BS202" s="22">
        <f t="shared" si="169"/>
        <v>14.150209300231788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-3.1036506698001178E-14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154.35821558431712</v>
      </c>
      <c r="CE202" s="59">
        <f t="shared" si="207"/>
        <v>263.86720460501306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2.8932089304912703</v>
      </c>
      <c r="CL202" s="21">
        <f>EXP(-LN(2)/25)*CL201+(1-EXP(-LN(2)/25))/(LN(2)/25)*Calculateur!CG202*Calculateur!CI202*VLOOKUP('Données projet'!$B$12,Paramètres!$A$1:$I$89,3,0)*0.475*44/12</f>
        <v>1.8252429160012844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4.7184518464925542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213</v>
      </c>
      <c r="CU202" s="17">
        <f>CT202*VLOOKUP('Données projet'!$B$13,Paramètres!$A$1:$I$89,3,0)*VLOOKUP('Données projet'!$B$13,Paramètres!$A$1:$I$89,5,0)</f>
        <v>169.46279999999999</v>
      </c>
      <c r="CV202" s="13">
        <f t="shared" si="173"/>
        <v>42.969686502194378</v>
      </c>
      <c r="CW202" s="20">
        <f t="shared" si="174"/>
        <v>369.9865806579885</v>
      </c>
      <c r="CX202" s="59">
        <f t="shared" si="196"/>
        <v>663.31991399132176</v>
      </c>
      <c r="CY202" s="59">
        <f ca="1">AVERAGE(OFFSET($CX$3,0,0,'Données projet'!$E$13+1,1))-AVERAGE(OFFSET($H$3,0,0,'Données projet'!$E$13+1,1))</f>
        <v>157.25319335691853</v>
      </c>
      <c r="CZ202" s="59">
        <f t="shared" si="208"/>
        <v>159.50903492442171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1.0685713356272843</v>
      </c>
      <c r="DG202" s="21">
        <f>EXP(-LN(2)/25)*DG201+(1-EXP(-LN(2)/25))/(LN(2)/25)*Calculateur!DB202*Calculateur!DD202*VLOOKUP('Données projet'!$B$13,Paramètres!$A$1:$I$89,3,0)*0.475*44/12</f>
        <v>0.32247845893066163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1.3910497945579459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227.99999999999994</v>
      </c>
      <c r="DP202" s="17">
        <f>DO202*VLOOKUP('Données projet'!$B$14,Paramètres!$A$1:$I$89,3,0)*VLOOKUP('Données projet'!$B$14,Paramètres!$A$1:$I$89,5,0)</f>
        <v>199.18079999999998</v>
      </c>
      <c r="DQ202" s="13">
        <f t="shared" si="176"/>
        <v>49.564089376413683</v>
      </c>
      <c r="DR202" s="20">
        <f t="shared" si="177"/>
        <v>433.23068233058711</v>
      </c>
      <c r="DS202" s="59">
        <f t="shared" si="197"/>
        <v>726.56401566392037</v>
      </c>
      <c r="DT202" s="59">
        <f ca="1">AVERAGE(OFFSET($DS$3,0,0,'Données projet'!$E$14+1,1))-AVERAGE(OFFSET($H$3,0,0,'Données projet'!$E$14+1,1))</f>
        <v>229.5312221178919</v>
      </c>
      <c r="DU202" s="59">
        <f t="shared" si="209"/>
        <v>218.1982095871906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2.6919287112605379</v>
      </c>
      <c r="EB202" s="21">
        <f>EXP(-LN(2)/25)*EB201+(1-EXP(-LN(2)/25))/(LN(2)/25)*Calculateur!DW202*Calculateur!DY202*VLOOKUP('Données projet'!$B$14,Paramètres!$A$1:$I$89,3,0)*0.475*44/12</f>
        <v>0.93451290912676321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3.6264416203873013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-4.5474735088646412E-13</v>
      </c>
      <c r="EK202" s="17">
        <f>EJ202*VLOOKUP('Données projet'!$B$15,Paramètres!$A$1:$I$89,3,0)*VLOOKUP('Données projet'!$B$15,Paramètres!$A$1:$I$89,5,0)</f>
        <v>-4.1145540308207271E-13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204.39656982394689</v>
      </c>
      <c r="EP202" s="59">
        <f t="shared" si="210"/>
        <v>134.95704640904546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66.97046365785323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66.97046365785323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3.4106051316484809E-13</v>
      </c>
      <c r="FF202" s="17">
        <f>FE202*VLOOKUP('Données projet'!$B$16,Paramètres!$A$1:$I$89,3,0)*VLOOKUP('Données projet'!$B$16,Paramètres!$A$1:$I$89,5,0)</f>
        <v>2.9262992029543969E-13</v>
      </c>
      <c r="FG202" s="13">
        <f t="shared" si="182"/>
        <v>3.8796387982050903E-12</v>
      </c>
      <c r="FH202" s="20">
        <f t="shared" si="183"/>
        <v>7.2667013513884219E-12</v>
      </c>
      <c r="FI202" s="59">
        <f t="shared" si="199"/>
        <v>293.33333333334059</v>
      </c>
      <c r="FJ202" s="59">
        <f ca="1">AVERAGE(OFFSET($FI$3,0,0,'Données projet'!$E$16+1,1))-AVERAGE(OFFSET($H$3,0,0,'Données projet'!$E$16+1,1))</f>
        <v>199.60585215726968</v>
      </c>
      <c r="FK202" s="59">
        <f t="shared" si="211"/>
        <v>137.37366750114404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32.379347331305141</v>
      </c>
      <c r="FR202" s="21">
        <f>EXP(-LN(2)/25)*FR201+(1-EXP(-LN(2)/25))/(LN(2)/25)*Calculateur!FM202*Calculateur!FO202*VLOOKUP('Données projet'!$B$16,Paramètres!$A$1:$I$89,3,0)*0.475*44/12</f>
        <v>13.169876890185336</v>
      </c>
      <c r="FS202" s="21">
        <f>EXP(-LN(2)/2)*FS201+(1-EXP(-LN(2)/2))/(LN(2)/2)*FM202*FP202*VLOOKUP('Données projet'!$B$16,Paramètres!$A$1:$I$89,3,0)*0.475*44/12</f>
        <v>1.8603375800194366E-8</v>
      </c>
      <c r="FT202" s="22">
        <f t="shared" si="184"/>
        <v>45.549224240093849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1.1368683772161603E-12</v>
      </c>
      <c r="O203" s="13">
        <f>N203*VLOOKUP('Données projet'!$B$9,Paramètres!$A$1:$I$89,3,0)*VLOOKUP('Données projet'!$B$9,Paramètres!$A$1:$I$89,5,0)</f>
        <v>5.3205440053716299E-13</v>
      </c>
      <c r="P203" s="13">
        <f t="shared" si="203"/>
        <v>6.579711042921201E-12</v>
      </c>
      <c r="Q203" s="20">
        <f t="shared" si="162"/>
        <v>1.2386324814023317E-11</v>
      </c>
      <c r="R203" s="59">
        <f t="shared" si="191"/>
        <v>293.33333333334571</v>
      </c>
      <c r="S203" s="59">
        <f ca="1">AVERAGE(OFFSET($R$3,0,0,'Données projet'!$E$9+1,1))-AVERAGE(OFFSET($H$3,0,0,'Données projet'!$E$9+1,1))</f>
        <v>164.93438869099657</v>
      </c>
      <c r="T203" s="59">
        <f t="shared" si="204"/>
        <v>112.28641356594233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37.174471349671066</v>
      </c>
      <c r="AA203" s="21">
        <f>EXP(-LN(2)/25)*AA202+(1-EXP(-LN(2)/25))/(LN(2)/25)*Calculateur!V203*Calculateur!X203*VLOOKUP('Données projet'!$B$9,Paramètres!$A$1:$I$89,3,0)*0.475*44/12</f>
        <v>5.139370820555297</v>
      </c>
      <c r="AB203" s="21">
        <f>EXP(-LN(2)/2)*AB202+(1-EXP(-LN(2)/2))/(LN(2)/2)*V203*Y203*VLOOKUP('Données projet'!$B$9,Paramètres!$A$1:$I$89,3,0)*0.475*44/12</f>
        <v>7.6614091854681434E-10</v>
      </c>
      <c r="AC203" s="22">
        <f t="shared" si="163"/>
        <v>42.313842170992508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273.81843612193632</v>
      </c>
      <c r="AO203" s="59">
        <f t="shared" si="205"/>
        <v>241.86405419073208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-6.3550942286383367E-14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271.42245454555501</v>
      </c>
      <c r="BJ203" s="59">
        <f t="shared" si="206"/>
        <v>362.63944425429077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12.830542675406141</v>
      </c>
      <c r="BQ203" s="21">
        <f>EXP(-LN(2)/25)*BQ202+(1-EXP(-LN(2)/25))/(LN(2)/25)*Calculateur!BL203*Calculateur!BN203*VLOOKUP('Données projet'!$B$11,Paramètres!$A$1:$I$89,3,0)*0.475*44/12</f>
        <v>1.0339663702682229</v>
      </c>
      <c r="BR203" s="21">
        <f>EXP(-LN(2)/2)*BR202+(1-EXP(-LN(2)/2))/(LN(2)/2)*BL203*BO203*VLOOKUP('Données projet'!$B$11,Paramètres!$A$1:$I$89,3,0)*0.475*44/12</f>
        <v>5.115166263166508E-21</v>
      </c>
      <c r="BS203" s="22">
        <f t="shared" si="169"/>
        <v>13.864509045674364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-3.1036506698001178E-14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154.35821558431712</v>
      </c>
      <c r="CE203" s="59">
        <f t="shared" si="207"/>
        <v>263.86720460501306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2.836474868047536</v>
      </c>
      <c r="CL203" s="21">
        <f>EXP(-LN(2)/25)*CL202+(1-EXP(-LN(2)/25))/(LN(2)/25)*Calculateur!CG203*Calculateur!CI203*VLOOKUP('Données projet'!$B$12,Paramètres!$A$1:$I$89,3,0)*0.475*44/12</f>
        <v>1.7753315524778759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4.6118064205254115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213</v>
      </c>
      <c r="CU203" s="17">
        <f>CT203*VLOOKUP('Données projet'!$B$13,Paramètres!$A$1:$I$89,3,0)*VLOOKUP('Données projet'!$B$13,Paramètres!$A$1:$I$89,5,0)</f>
        <v>169.46279999999999</v>
      </c>
      <c r="CV203" s="13">
        <f t="shared" si="173"/>
        <v>42.969686502194378</v>
      </c>
      <c r="CW203" s="20">
        <f t="shared" si="174"/>
        <v>369.9865806579885</v>
      </c>
      <c r="CX203" s="59">
        <f t="shared" si="196"/>
        <v>663.31991399132176</v>
      </c>
      <c r="CY203" s="59">
        <f ca="1">AVERAGE(OFFSET($CX$3,0,0,'Données projet'!$E$13+1,1))-AVERAGE(OFFSET($H$3,0,0,'Données projet'!$E$13+1,1))</f>
        <v>157.25319335691853</v>
      </c>
      <c r="CZ203" s="59">
        <f t="shared" si="208"/>
        <v>159.50903492442171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1.0476173034997918</v>
      </c>
      <c r="DG203" s="21">
        <f>EXP(-LN(2)/25)*DG202+(1-EXP(-LN(2)/25))/(LN(2)/25)*Calculateur!DB203*Calculateur!DD203*VLOOKUP('Données projet'!$B$13,Paramètres!$A$1:$I$89,3,0)*0.475*44/12</f>
        <v>0.31366026851279755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1.3612775720125894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227.99999999999994</v>
      </c>
      <c r="DP203" s="17">
        <f>DO203*VLOOKUP('Données projet'!$B$14,Paramètres!$A$1:$I$89,3,0)*VLOOKUP('Données projet'!$B$14,Paramètres!$A$1:$I$89,5,0)</f>
        <v>199.18079999999998</v>
      </c>
      <c r="DQ203" s="13">
        <f t="shared" si="176"/>
        <v>49.564089376413683</v>
      </c>
      <c r="DR203" s="20">
        <f t="shared" si="177"/>
        <v>433.23068233058711</v>
      </c>
      <c r="DS203" s="59">
        <f t="shared" si="197"/>
        <v>726.56401566392037</v>
      </c>
      <c r="DT203" s="59">
        <f ca="1">AVERAGE(OFFSET($DS$3,0,0,'Données projet'!$E$14+1,1))-AVERAGE(OFFSET($H$3,0,0,'Données projet'!$E$14+1,1))</f>
        <v>229.5312221178919</v>
      </c>
      <c r="DU203" s="59">
        <f t="shared" si="209"/>
        <v>218.1982095871906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2.639141631147107</v>
      </c>
      <c r="EB203" s="21">
        <f>EXP(-LN(2)/25)*EB202+(1-EXP(-LN(2)/25))/(LN(2)/25)*Calculateur!DW203*Calculateur!DY203*VLOOKUP('Données projet'!$B$14,Paramètres!$A$1:$I$89,3,0)*0.475*44/12</f>
        <v>0.90895860448279386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3.5481002356299007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-4.5474735088646412E-13</v>
      </c>
      <c r="EK203" s="17">
        <f>EJ203*VLOOKUP('Données projet'!$B$15,Paramètres!$A$1:$I$89,3,0)*VLOOKUP('Données projet'!$B$15,Paramètres!$A$1:$I$89,5,0)</f>
        <v>-4.1145540308207271E-13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204.39656982394689</v>
      </c>
      <c r="EP203" s="59">
        <f t="shared" si="210"/>
        <v>134.95704640904546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65.65721371347216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65.65721371347216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3.4106051316484809E-13</v>
      </c>
      <c r="FF203" s="17">
        <f>FE203*VLOOKUP('Données projet'!$B$16,Paramètres!$A$1:$I$89,3,0)*VLOOKUP('Données projet'!$B$16,Paramètres!$A$1:$I$89,5,0)</f>
        <v>2.9262992029543969E-13</v>
      </c>
      <c r="FG203" s="13">
        <f t="shared" si="182"/>
        <v>3.8796387982050903E-12</v>
      </c>
      <c r="FH203" s="20">
        <f t="shared" si="183"/>
        <v>7.2667013513884219E-12</v>
      </c>
      <c r="FI203" s="59">
        <f t="shared" si="199"/>
        <v>293.33333333334059</v>
      </c>
      <c r="FJ203" s="59">
        <f ca="1">AVERAGE(OFFSET($FI$3,0,0,'Données projet'!$E$16+1,1))-AVERAGE(OFFSET($H$3,0,0,'Données projet'!$E$16+1,1))</f>
        <v>199.60585215726968</v>
      </c>
      <c r="FK203" s="59">
        <f t="shared" si="211"/>
        <v>137.37366750114404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31.744408079590023</v>
      </c>
      <c r="FR203" s="21">
        <f>EXP(-LN(2)/25)*FR202+(1-EXP(-LN(2)/25))/(LN(2)/25)*Calculateur!FM203*Calculateur!FO203*VLOOKUP('Données projet'!$B$16,Paramètres!$A$1:$I$89,3,0)*0.475*44/12</f>
        <v>12.809745914049492</v>
      </c>
      <c r="FS203" s="21">
        <f>EXP(-LN(2)/2)*FS202+(1-EXP(-LN(2)/2))/(LN(2)/2)*FM203*FP203*VLOOKUP('Données projet'!$B$16,Paramètres!$A$1:$I$89,3,0)*0.475*44/12</f>
        <v>1.3154573181279151E-8</v>
      </c>
      <c r="FT203" s="22">
        <f t="shared" si="184"/>
        <v>44.554154006794093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102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102</v>
      </c>
      <c r="BA204" s="81" t="s">
        <v>102</v>
      </c>
      <c r="BV204" s="81" t="s">
        <v>102</v>
      </c>
      <c r="CQ204" s="81" t="s">
        <v>102</v>
      </c>
      <c r="DL204" s="81" t="s">
        <v>102</v>
      </c>
      <c r="EG204" s="81" t="s">
        <v>102</v>
      </c>
      <c r="FB204" s="81" t="s">
        <v>102</v>
      </c>
      <c r="FW204" s="81" t="s">
        <v>102</v>
      </c>
      <c r="GR204" s="81" t="s">
        <v>102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1.1810516433311786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1.3356034260773062</v>
      </c>
      <c r="BV205" s="82">
        <f>EXP(LN('Données projet'!B114)/'Données projet'!A114)</f>
        <v>1.4860662319460807</v>
      </c>
      <c r="CQ205" s="82">
        <f>EXP(LN('Données projet'!B140)/'Données projet'!A140)</f>
        <v>1.1577536725165907</v>
      </c>
      <c r="DL205" s="82">
        <f>EXP(LN('Données projet'!B166)/'Données projet'!A166)</f>
        <v>1.3682730833261529</v>
      </c>
      <c r="EG205" s="82">
        <f>EXP(LN('Données projet'!B192)/'Données projet'!A192)</f>
        <v>1.1608269964373037</v>
      </c>
      <c r="FB205" s="82">
        <f>EXP(LN('Données projet'!B218)/'Données projet'!A218)</f>
        <v>1.1634247908558488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103</v>
      </c>
      <c r="B1" s="112" t="s">
        <v>104</v>
      </c>
      <c r="C1" s="113" t="s">
        <v>105</v>
      </c>
      <c r="D1" s="112" t="s">
        <v>106</v>
      </c>
      <c r="E1" s="113" t="s">
        <v>107</v>
      </c>
      <c r="F1" s="113" t="s">
        <v>106</v>
      </c>
      <c r="G1" s="113" t="s">
        <v>108</v>
      </c>
      <c r="H1" s="113" t="s">
        <v>106</v>
      </c>
      <c r="I1" s="114" t="s">
        <v>109</v>
      </c>
      <c r="J1" s="78"/>
      <c r="K1" s="78"/>
      <c r="L1" s="78"/>
      <c r="M1" s="78"/>
      <c r="N1" s="78"/>
    </row>
    <row r="2" spans="1:16" x14ac:dyDescent="0.35">
      <c r="A2" s="115" t="s">
        <v>110</v>
      </c>
      <c r="B2" s="116" t="s">
        <v>111</v>
      </c>
      <c r="C2" s="117">
        <v>0.62</v>
      </c>
      <c r="D2" s="117" t="s">
        <v>112</v>
      </c>
      <c r="E2" s="117">
        <v>1.56</v>
      </c>
      <c r="F2" s="117" t="s">
        <v>113</v>
      </c>
      <c r="G2" s="118">
        <v>0.43</v>
      </c>
      <c r="H2" s="119" t="s">
        <v>114</v>
      </c>
      <c r="I2" s="120">
        <v>0.25</v>
      </c>
      <c r="J2" s="78"/>
      <c r="K2" s="78"/>
      <c r="L2" s="78"/>
      <c r="M2" s="78"/>
      <c r="N2" s="78"/>
      <c r="O2" s="289" t="s">
        <v>115</v>
      </c>
      <c r="P2" s="121">
        <v>0</v>
      </c>
    </row>
    <row r="3" spans="1:16" ht="15" thickBot="1" x14ac:dyDescent="0.4">
      <c r="A3" s="122" t="s">
        <v>116</v>
      </c>
      <c r="B3" s="123" t="s">
        <v>117</v>
      </c>
      <c r="C3" s="124">
        <v>0.64</v>
      </c>
      <c r="D3" s="124" t="s">
        <v>112</v>
      </c>
      <c r="E3" s="124">
        <v>1.56</v>
      </c>
      <c r="F3" s="125" t="s">
        <v>113</v>
      </c>
      <c r="G3" s="126">
        <v>0.43</v>
      </c>
      <c r="H3" s="124" t="s">
        <v>114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118</v>
      </c>
      <c r="B4" s="123" t="s">
        <v>119</v>
      </c>
      <c r="C4" s="124">
        <v>0.42</v>
      </c>
      <c r="D4" s="124" t="s">
        <v>112</v>
      </c>
      <c r="E4" s="124">
        <v>1.56</v>
      </c>
      <c r="F4" s="125" t="s">
        <v>113</v>
      </c>
      <c r="G4" s="126">
        <v>0.43</v>
      </c>
      <c r="H4" s="124" t="s">
        <v>114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120</v>
      </c>
      <c r="B5" s="123" t="s">
        <v>121</v>
      </c>
      <c r="C5" s="124">
        <v>0.42</v>
      </c>
      <c r="D5" s="124" t="s">
        <v>112</v>
      </c>
      <c r="E5" s="124">
        <v>1.56</v>
      </c>
      <c r="F5" s="125" t="s">
        <v>113</v>
      </c>
      <c r="G5" s="126">
        <v>0.43</v>
      </c>
      <c r="H5" s="124" t="s">
        <v>114</v>
      </c>
      <c r="I5" s="127">
        <v>0.25</v>
      </c>
      <c r="J5" s="78"/>
      <c r="K5" s="78"/>
      <c r="L5" s="78"/>
      <c r="M5" s="78"/>
      <c r="N5" s="78"/>
      <c r="O5" s="289" t="s">
        <v>122</v>
      </c>
      <c r="P5" s="121">
        <v>0</v>
      </c>
    </row>
    <row r="6" spans="1:16" x14ac:dyDescent="0.35">
      <c r="A6" s="122" t="s">
        <v>123</v>
      </c>
      <c r="B6" s="123" t="s">
        <v>124</v>
      </c>
      <c r="C6" s="124">
        <v>0.42</v>
      </c>
      <c r="D6" s="124" t="s">
        <v>112</v>
      </c>
      <c r="E6" s="124">
        <v>1.56</v>
      </c>
      <c r="F6" s="125" t="s">
        <v>113</v>
      </c>
      <c r="G6" s="126">
        <v>0.43</v>
      </c>
      <c r="H6" s="124" t="s">
        <v>114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125</v>
      </c>
      <c r="B7" s="123" t="s">
        <v>126</v>
      </c>
      <c r="C7" s="124">
        <v>0.52</v>
      </c>
      <c r="D7" s="124" t="s">
        <v>112</v>
      </c>
      <c r="E7" s="124">
        <v>1.56</v>
      </c>
      <c r="F7" s="125" t="s">
        <v>113</v>
      </c>
      <c r="G7" s="126">
        <v>0.43</v>
      </c>
      <c r="H7" s="124" t="s">
        <v>114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127</v>
      </c>
      <c r="B8" s="123" t="s">
        <v>128</v>
      </c>
      <c r="C8" s="124">
        <v>0.36</v>
      </c>
      <c r="D8" s="124" t="s">
        <v>112</v>
      </c>
      <c r="E8" s="124">
        <v>1.3</v>
      </c>
      <c r="F8" s="125" t="s">
        <v>113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112</v>
      </c>
      <c r="E9" s="124">
        <v>1.56</v>
      </c>
      <c r="F9" s="125" t="s">
        <v>113</v>
      </c>
      <c r="G9" s="126">
        <v>0.43</v>
      </c>
      <c r="H9" s="124" t="s">
        <v>114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112</v>
      </c>
      <c r="E10" s="124">
        <v>1.56</v>
      </c>
      <c r="F10" s="125" t="s">
        <v>113</v>
      </c>
      <c r="G10" s="126">
        <v>0.43</v>
      </c>
      <c r="H10" s="124" t="s">
        <v>114</v>
      </c>
      <c r="I10" s="127">
        <v>0.25</v>
      </c>
      <c r="J10" s="78"/>
      <c r="K10" s="78"/>
      <c r="L10" s="78"/>
      <c r="M10" s="78"/>
      <c r="N10" s="78"/>
      <c r="O10" s="289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112</v>
      </c>
      <c r="E11" s="124">
        <v>1.56</v>
      </c>
      <c r="F11" s="125" t="s">
        <v>113</v>
      </c>
      <c r="G11" s="126">
        <v>0.43</v>
      </c>
      <c r="H11" s="124" t="s">
        <v>114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112</v>
      </c>
      <c r="E12" s="124">
        <v>1.56</v>
      </c>
      <c r="F12" s="125" t="s">
        <v>113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112</v>
      </c>
      <c r="E13" s="124">
        <v>1.56</v>
      </c>
      <c r="F13" s="125" t="s">
        <v>113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112</v>
      </c>
      <c r="E14" s="124">
        <v>1.56</v>
      </c>
      <c r="F14" s="125" t="s">
        <v>113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144</v>
      </c>
      <c r="C15" s="124">
        <v>0.65</v>
      </c>
      <c r="D15" s="124" t="s">
        <v>112</v>
      </c>
      <c r="E15" s="124">
        <v>1.56</v>
      </c>
      <c r="F15" s="125" t="s">
        <v>113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145</v>
      </c>
      <c r="B16" s="123" t="s">
        <v>146</v>
      </c>
      <c r="C16" s="124">
        <v>0.56000000000000005</v>
      </c>
      <c r="D16" s="124" t="s">
        <v>112</v>
      </c>
      <c r="E16" s="124">
        <v>1.56</v>
      </c>
      <c r="F16" s="125" t="s">
        <v>113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147</v>
      </c>
      <c r="B17" s="123" t="s">
        <v>148</v>
      </c>
      <c r="C17" s="124">
        <v>0.57999999999999996</v>
      </c>
      <c r="D17" s="124" t="s">
        <v>112</v>
      </c>
      <c r="E17" s="124">
        <v>1.56</v>
      </c>
      <c r="F17" s="125" t="s">
        <v>113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149</v>
      </c>
      <c r="B18" s="123" t="s">
        <v>150</v>
      </c>
      <c r="C18" s="124">
        <v>0.64</v>
      </c>
      <c r="D18" s="124" t="s">
        <v>112</v>
      </c>
      <c r="E18" s="124">
        <v>1.56</v>
      </c>
      <c r="F18" s="125" t="s">
        <v>113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151</v>
      </c>
      <c r="B19" s="123" t="s">
        <v>152</v>
      </c>
      <c r="C19" s="124">
        <v>0.73</v>
      </c>
      <c r="D19" s="124" t="s">
        <v>112</v>
      </c>
      <c r="E19" s="124">
        <v>1.56</v>
      </c>
      <c r="F19" s="125" t="s">
        <v>113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153</v>
      </c>
      <c r="B20" s="123" t="s">
        <v>154</v>
      </c>
      <c r="C20" s="124">
        <v>0.69</v>
      </c>
      <c r="D20" s="124" t="s">
        <v>155</v>
      </c>
      <c r="E20" s="124">
        <v>1.56</v>
      </c>
      <c r="F20" s="125" t="s">
        <v>113</v>
      </c>
      <c r="G20" s="126">
        <v>0.43</v>
      </c>
      <c r="H20" s="124" t="s">
        <v>156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157</v>
      </c>
      <c r="B21" s="123" t="s">
        <v>158</v>
      </c>
      <c r="C21" s="124">
        <v>0.36</v>
      </c>
      <c r="D21" s="124" t="s">
        <v>112</v>
      </c>
      <c r="E21" s="124">
        <v>1.3</v>
      </c>
      <c r="F21" s="125" t="s">
        <v>113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159</v>
      </c>
      <c r="B22" s="123" t="s">
        <v>160</v>
      </c>
      <c r="C22" s="124">
        <v>0.4</v>
      </c>
      <c r="D22" s="124" t="s">
        <v>112</v>
      </c>
      <c r="E22" s="124">
        <v>1.3</v>
      </c>
      <c r="F22" s="125" t="s">
        <v>113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161</v>
      </c>
      <c r="C23" s="124">
        <v>0.43</v>
      </c>
      <c r="D23" s="124" t="s">
        <v>112</v>
      </c>
      <c r="E23" s="124">
        <v>1.3</v>
      </c>
      <c r="F23" s="125" t="s">
        <v>113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162</v>
      </c>
      <c r="B24" s="123" t="s">
        <v>163</v>
      </c>
      <c r="C24" s="124">
        <v>0.37</v>
      </c>
      <c r="D24" s="124" t="s">
        <v>112</v>
      </c>
      <c r="E24" s="124">
        <v>1.3</v>
      </c>
      <c r="F24" s="125" t="s">
        <v>113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72</v>
      </c>
      <c r="B25" s="123" t="s">
        <v>164</v>
      </c>
      <c r="C25" s="124">
        <v>0.36</v>
      </c>
      <c r="D25" s="124" t="s">
        <v>112</v>
      </c>
      <c r="E25" s="124">
        <v>1.3</v>
      </c>
      <c r="F25" s="125" t="s">
        <v>113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165</v>
      </c>
      <c r="B26" s="123" t="s">
        <v>166</v>
      </c>
      <c r="C26" s="124">
        <v>0.56000000000000005</v>
      </c>
      <c r="D26" s="124" t="s">
        <v>112</v>
      </c>
      <c r="E26" s="124">
        <v>1.56</v>
      </c>
      <c r="F26" s="125" t="s">
        <v>113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168</v>
      </c>
      <c r="B27" s="123" t="s">
        <v>169</v>
      </c>
      <c r="C27" s="124">
        <v>0.51</v>
      </c>
      <c r="D27" s="124" t="s">
        <v>112</v>
      </c>
      <c r="E27" s="124">
        <v>1.56</v>
      </c>
      <c r="F27" s="125" t="s">
        <v>113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170</v>
      </c>
      <c r="B28" s="123" t="s">
        <v>171</v>
      </c>
      <c r="C28" s="124">
        <v>0.51</v>
      </c>
      <c r="D28" s="124" t="s">
        <v>112</v>
      </c>
      <c r="E28" s="124">
        <v>1.56</v>
      </c>
      <c r="F28" s="125" t="s">
        <v>113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112</v>
      </c>
      <c r="E29" s="124">
        <v>1.56</v>
      </c>
      <c r="F29" s="125" t="s">
        <v>113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112</v>
      </c>
      <c r="E30" s="124">
        <v>1.56</v>
      </c>
      <c r="F30" s="125" t="s">
        <v>113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112</v>
      </c>
      <c r="E31" s="124">
        <v>1.56</v>
      </c>
      <c r="F31" s="125" t="s">
        <v>113</v>
      </c>
      <c r="G31" s="126">
        <v>0.43</v>
      </c>
      <c r="H31" s="124" t="s">
        <v>114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177</v>
      </c>
      <c r="C32" s="124">
        <v>0.48</v>
      </c>
      <c r="D32" s="124" t="s">
        <v>112</v>
      </c>
      <c r="E32" s="124">
        <v>1.3</v>
      </c>
      <c r="F32" s="125" t="s">
        <v>113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179</v>
      </c>
      <c r="B33" s="123" t="s">
        <v>180</v>
      </c>
      <c r="C33" s="124">
        <v>0.42</v>
      </c>
      <c r="D33" s="124" t="s">
        <v>112</v>
      </c>
      <c r="E33" s="124">
        <v>1.3</v>
      </c>
      <c r="F33" s="125" t="s">
        <v>113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113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185</v>
      </c>
      <c r="B35" s="123" t="s">
        <v>186</v>
      </c>
      <c r="C35" s="124">
        <v>0.5</v>
      </c>
      <c r="D35" s="124" t="s">
        <v>112</v>
      </c>
      <c r="E35" s="124">
        <v>1.56</v>
      </c>
      <c r="F35" s="125" t="s">
        <v>113</v>
      </c>
      <c r="G35" s="126">
        <v>0.43</v>
      </c>
      <c r="H35" s="124" t="s">
        <v>114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187</v>
      </c>
      <c r="B36" s="123" t="s">
        <v>188</v>
      </c>
      <c r="C36" s="124">
        <v>0.55000000000000004</v>
      </c>
      <c r="D36" s="124" t="s">
        <v>112</v>
      </c>
      <c r="E36" s="124">
        <v>1.56</v>
      </c>
      <c r="F36" s="125" t="s">
        <v>113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189</v>
      </c>
      <c r="B37" s="123" t="s">
        <v>190</v>
      </c>
      <c r="C37" s="124">
        <v>0.52</v>
      </c>
      <c r="D37" s="124" t="s">
        <v>112</v>
      </c>
      <c r="E37" s="124">
        <v>1.56</v>
      </c>
      <c r="F37" s="125" t="s">
        <v>113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191</v>
      </c>
      <c r="B38" s="123" t="s">
        <v>192</v>
      </c>
      <c r="C38" s="124">
        <v>0.52</v>
      </c>
      <c r="D38" s="124" t="s">
        <v>112</v>
      </c>
      <c r="E38" s="124">
        <v>1.56</v>
      </c>
      <c r="F38" s="125" t="s">
        <v>113</v>
      </c>
      <c r="G38" s="126">
        <v>0.43</v>
      </c>
      <c r="H38" s="124" t="s">
        <v>114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113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113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113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113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113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113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113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113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113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113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113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113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113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113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113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113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113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113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113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113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113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113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113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219</v>
      </c>
      <c r="B62" s="123" t="s">
        <v>220</v>
      </c>
      <c r="C62" s="124">
        <v>0.37</v>
      </c>
      <c r="D62" s="124" t="s">
        <v>112</v>
      </c>
      <c r="E62" s="124">
        <v>1.56</v>
      </c>
      <c r="F62" s="125" t="s">
        <v>113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221</v>
      </c>
      <c r="B63" s="123" t="s">
        <v>222</v>
      </c>
      <c r="C63" s="124">
        <v>0.45</v>
      </c>
      <c r="D63" s="124" t="s">
        <v>112</v>
      </c>
      <c r="E63" s="124">
        <v>1.3</v>
      </c>
      <c r="F63" s="125" t="s">
        <v>113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224</v>
      </c>
      <c r="B64" s="123" t="s">
        <v>225</v>
      </c>
      <c r="C64" s="124">
        <v>0.39</v>
      </c>
      <c r="D64" s="124" t="s">
        <v>112</v>
      </c>
      <c r="E64" s="124">
        <v>1.3</v>
      </c>
      <c r="F64" s="125" t="s">
        <v>113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226</v>
      </c>
      <c r="B65" s="123" t="s">
        <v>227</v>
      </c>
      <c r="C65" s="124">
        <v>0.44</v>
      </c>
      <c r="D65" s="124" t="s">
        <v>112</v>
      </c>
      <c r="E65" s="124">
        <v>1.3</v>
      </c>
      <c r="F65" s="125" t="s">
        <v>113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228</v>
      </c>
      <c r="B66" s="123" t="s">
        <v>229</v>
      </c>
      <c r="C66" s="124">
        <v>0.46</v>
      </c>
      <c r="D66" s="124" t="s">
        <v>112</v>
      </c>
      <c r="E66" s="124">
        <v>1.3</v>
      </c>
      <c r="F66" s="125" t="s">
        <v>113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112</v>
      </c>
      <c r="E67" s="124">
        <v>1.3</v>
      </c>
      <c r="F67" s="125" t="s">
        <v>113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112</v>
      </c>
      <c r="E68" s="124">
        <v>1.3</v>
      </c>
      <c r="F68" s="125" t="s">
        <v>113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112</v>
      </c>
      <c r="E69" s="124">
        <v>1.3</v>
      </c>
      <c r="F69" s="125" t="s">
        <v>113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112</v>
      </c>
      <c r="E70" s="124">
        <v>2.4</v>
      </c>
      <c r="F70" s="124" t="s">
        <v>238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113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112</v>
      </c>
      <c r="E72" s="124">
        <v>1.3</v>
      </c>
      <c r="F72" s="125" t="s">
        <v>113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113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112</v>
      </c>
      <c r="E74" s="124">
        <v>1.3</v>
      </c>
      <c r="F74" s="125" t="s">
        <v>113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112</v>
      </c>
      <c r="E75" s="124">
        <v>1.56</v>
      </c>
      <c r="F75" s="125" t="s">
        <v>113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112</v>
      </c>
      <c r="E76" s="124">
        <v>1.56</v>
      </c>
      <c r="F76" s="125" t="s">
        <v>113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112</v>
      </c>
      <c r="E77" s="124">
        <v>1.3</v>
      </c>
      <c r="F77" s="125" t="s">
        <v>113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256</v>
      </c>
      <c r="B78" s="123" t="s">
        <v>257</v>
      </c>
      <c r="C78" s="124">
        <v>0.37</v>
      </c>
      <c r="D78" s="124" t="s">
        <v>112</v>
      </c>
      <c r="E78" s="124">
        <v>1.3</v>
      </c>
      <c r="F78" s="125" t="s">
        <v>113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258</v>
      </c>
      <c r="B79" s="123" t="s">
        <v>259</v>
      </c>
      <c r="C79" s="124">
        <v>0.38</v>
      </c>
      <c r="D79" s="124" t="s">
        <v>112</v>
      </c>
      <c r="E79" s="124">
        <v>1.3</v>
      </c>
      <c r="F79" s="125" t="s">
        <v>113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260</v>
      </c>
      <c r="B80" s="123" t="s">
        <v>261</v>
      </c>
      <c r="C80" s="124">
        <v>0.36</v>
      </c>
      <c r="D80" s="124" t="s">
        <v>112</v>
      </c>
      <c r="E80" s="124">
        <v>1.3</v>
      </c>
      <c r="F80" s="125" t="s">
        <v>113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262</v>
      </c>
      <c r="B81" s="123" t="s">
        <v>263</v>
      </c>
      <c r="C81" s="124">
        <v>0.37</v>
      </c>
      <c r="D81" s="124" t="s">
        <v>112</v>
      </c>
      <c r="E81" s="124">
        <v>1.56</v>
      </c>
      <c r="F81" s="125" t="s">
        <v>113</v>
      </c>
      <c r="G81" s="126">
        <v>0.43</v>
      </c>
      <c r="H81" s="124" t="s">
        <v>114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264</v>
      </c>
      <c r="B82" s="123" t="s">
        <v>265</v>
      </c>
      <c r="C82" s="124">
        <v>0.35</v>
      </c>
      <c r="D82" s="124" t="s">
        <v>266</v>
      </c>
      <c r="E82" s="124">
        <v>1.3</v>
      </c>
      <c r="F82" s="125" t="s">
        <v>113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267</v>
      </c>
      <c r="B83" s="123" t="s">
        <v>268</v>
      </c>
      <c r="C83" s="124">
        <v>0.34</v>
      </c>
      <c r="D83" s="124" t="s">
        <v>112</v>
      </c>
      <c r="E83" s="124">
        <v>1.3</v>
      </c>
      <c r="F83" s="125" t="s">
        <v>113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269</v>
      </c>
      <c r="B84" s="123" t="s">
        <v>270</v>
      </c>
      <c r="C84" s="124">
        <v>0.31</v>
      </c>
      <c r="D84" s="124" t="s">
        <v>112</v>
      </c>
      <c r="E84" s="124">
        <v>1.3</v>
      </c>
      <c r="F84" s="125" t="s">
        <v>113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271</v>
      </c>
      <c r="B85" s="123" t="s">
        <v>272</v>
      </c>
      <c r="C85" s="124">
        <v>0.43</v>
      </c>
      <c r="D85" s="124" t="s">
        <v>112</v>
      </c>
      <c r="E85" s="124">
        <v>1.56</v>
      </c>
      <c r="F85" s="125" t="s">
        <v>113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273</v>
      </c>
      <c r="B86" s="123" t="s">
        <v>274</v>
      </c>
      <c r="C86" s="124">
        <v>0.38</v>
      </c>
      <c r="D86" s="124" t="s">
        <v>112</v>
      </c>
      <c r="E86" s="124">
        <v>1.56</v>
      </c>
      <c r="F86" s="125" t="s">
        <v>113</v>
      </c>
      <c r="G86" s="126">
        <v>0.6</v>
      </c>
      <c r="H86" s="124" t="s">
        <v>275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276</v>
      </c>
      <c r="B87" s="252" t="s">
        <v>277</v>
      </c>
      <c r="C87" s="253">
        <v>0.41</v>
      </c>
      <c r="D87" s="253" t="s">
        <v>278</v>
      </c>
      <c r="E87" s="253">
        <v>1.56</v>
      </c>
      <c r="F87" s="254" t="s">
        <v>113</v>
      </c>
      <c r="G87" s="255">
        <v>0.43</v>
      </c>
      <c r="H87" s="253" t="s">
        <v>114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279</v>
      </c>
      <c r="B88" s="130"/>
      <c r="C88" s="124">
        <v>0.42</v>
      </c>
      <c r="D88" s="124" t="s">
        <v>112</v>
      </c>
      <c r="E88" s="124">
        <v>1.3</v>
      </c>
      <c r="F88" s="125" t="s">
        <v>113</v>
      </c>
      <c r="G88" s="131"/>
      <c r="H88" s="130"/>
      <c r="I88" s="132"/>
    </row>
    <row r="89" spans="1:14" ht="15" thickBot="1" x14ac:dyDescent="0.4">
      <c r="A89" s="133" t="s">
        <v>280</v>
      </c>
      <c r="B89" s="134"/>
      <c r="C89" s="135">
        <v>0.56999999999999995</v>
      </c>
      <c r="D89" s="136" t="s">
        <v>112</v>
      </c>
      <c r="E89" s="135">
        <v>1.56</v>
      </c>
      <c r="F89" s="135" t="s">
        <v>113</v>
      </c>
      <c r="G89" s="134"/>
      <c r="H89" s="134"/>
      <c r="I89" s="137"/>
    </row>
    <row r="93" spans="1:14" x14ac:dyDescent="0.35">
      <c r="A93" s="122" t="s">
        <v>73</v>
      </c>
    </row>
    <row r="94" spans="1:14" x14ac:dyDescent="0.35">
      <c r="A94" s="122" t="s">
        <v>74</v>
      </c>
    </row>
    <row r="95" spans="1:14" x14ac:dyDescent="0.35">
      <c r="A95" s="122" t="s">
        <v>75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76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282</v>
      </c>
      <c r="B5" s="139" t="s">
        <v>283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284</v>
      </c>
      <c r="F5" s="140" t="s">
        <v>285</v>
      </c>
      <c r="G5" s="140" t="s">
        <v>286</v>
      </c>
      <c r="H5" s="141" t="s">
        <v>287</v>
      </c>
      <c r="I5" s="142" t="s">
        <v>288</v>
      </c>
      <c r="J5" s="143" t="s">
        <v>289</v>
      </c>
      <c r="K5" s="144" t="s">
        <v>290</v>
      </c>
      <c r="L5" s="84" t="s">
        <v>291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Cèdre de l'Atlas</v>
      </c>
      <c r="B6" s="146">
        <f>'Données projet'!D9</f>
        <v>2.625</v>
      </c>
      <c r="C6" s="147">
        <f ca="1">IF(OR('Données projet'!B9="",'Données projet'!C9="",'Données projet'!C9=0%),0,Calculateur!S3)</f>
        <v>164.93438869099657</v>
      </c>
      <c r="D6" s="147">
        <f>IF(OR('Données projet'!B9="",'Données projet'!C9="",'Données projet'!C9=0%),0,Calculateur!T3)</f>
        <v>112.28641356594233</v>
      </c>
      <c r="E6" s="147">
        <f ca="1">MIN(C6,D6)</f>
        <v>112.28641356594233</v>
      </c>
      <c r="F6" s="147">
        <f ca="1">E6*B6</f>
        <v>294.75183561059862</v>
      </c>
      <c r="G6" s="147">
        <f ca="1">F6*(100%-'Données projet'!$C$24)*(100%-'Données projet'!$C$25)*(100%-'Données projet'!$C$26)*(100%-'Données projet'!$C$27)</f>
        <v>265.27665204953877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265.27665204953877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0.84</v>
      </c>
      <c r="C7" s="147">
        <f ca="1">IF(OR('Données projet'!B10="",'Données projet'!C10="",'Données projet'!C10=0%),0,Calculateur!AN3)</f>
        <v>273.81843612193632</v>
      </c>
      <c r="D7" s="147">
        <f>IF(OR('Données projet'!B10="",'Données projet'!C10="",'Données projet'!C10=0%),0,Calculateur!AO3)</f>
        <v>241.86405419073208</v>
      </c>
      <c r="E7" s="147">
        <f t="shared" ref="E7:E15" ca="1" si="0">MIN(C7,D7)</f>
        <v>241.86405419073208</v>
      </c>
      <c r="F7" s="147">
        <f t="shared" ref="F7:F15" ca="1" si="1">E7*B7</f>
        <v>203.16580552021495</v>
      </c>
      <c r="G7" s="147">
        <f ca="1">F7*(100%-'Données projet'!$C$24)*(100%-'Données projet'!$C$25)*(100%-'Données projet'!$C$26)*(100%-'Données projet'!$C$27)</f>
        <v>182.84922496819345</v>
      </c>
      <c r="H7" s="155">
        <f>IF(OR('Données projet'!B10="",'Données projet'!C10="",'Données projet'!C10=0%),0,AVERAGE(Calculateur!$AX$3:$AX$33)*B7)</f>
        <v>6.9987081269828151</v>
      </c>
      <c r="I7" s="149">
        <f>H7*(100%-'Données projet'!$C$24)*(100%-'Données projet'!$C$25)*(100%-'Données projet'!$C$26)*(100%-'Données projet'!$C$27)</f>
        <v>6.2988373142845333</v>
      </c>
      <c r="J7" s="150">
        <f>IF(OR('Données projet'!B10="",'Données projet'!C10="",'Données projet'!C10=0%),0,SUM(Calculateur!$AQ$3:$AQ$33)*VLOOKUP('Données projet'!$B$10,Paramètres!$A$1:$I$89,9,0)*B7)</f>
        <v>51.58769538461538</v>
      </c>
      <c r="K7" s="151">
        <f>J7*(100%-'Données projet'!$C$24)*(100%-'Données projet'!$C$25)*(100%-'Données projet'!$C$26)*(100%-'Données projet'!$C$27)</f>
        <v>46.428925846153845</v>
      </c>
      <c r="L7" s="152">
        <f t="shared" ref="L7:L15" ca="1" si="2">G7+I7+K7</f>
        <v>235.57698812863183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Douglas</v>
      </c>
      <c r="B8" s="154">
        <f>'Données projet'!D11</f>
        <v>0.84</v>
      </c>
      <c r="C8" s="147">
        <f ca="1">IF(OR('Données projet'!B11="",'Données projet'!C11="",'Données projet'!C11=0%),0,Calculateur!BI3)</f>
        <v>271.42245454555501</v>
      </c>
      <c r="D8" s="147">
        <f>IF(OR('Données projet'!B11="",'Données projet'!C11="",'Données projet'!C11=0%),0,Calculateur!BJ3)</f>
        <v>362.63944425429077</v>
      </c>
      <c r="E8" s="147">
        <f t="shared" ca="1" si="0"/>
        <v>271.42245454555501</v>
      </c>
      <c r="F8" s="147">
        <f t="shared" ca="1" si="1"/>
        <v>227.9948618182662</v>
      </c>
      <c r="G8" s="147">
        <f ca="1">F8*(100%-'Données projet'!$C$24)*(100%-'Données projet'!$C$25)*(100%-'Données projet'!$C$26)*(100%-'Données projet'!$C$27)</f>
        <v>205.19537563643959</v>
      </c>
      <c r="H8" s="155">
        <f>IF(OR('Données projet'!B11="",'Données projet'!C11="",'Données projet'!C11=0%),0,AVERAGE(Calculateur!$BS$3:$BS$33)*B8)</f>
        <v>10.258413632505775</v>
      </c>
      <c r="I8" s="149">
        <f>H8*(100%-'Données projet'!$C$24)*(100%-'Données projet'!$C$25)*(100%-'Données projet'!$C$26)*(100%-'Données projet'!$C$27)</f>
        <v>9.232572269255197</v>
      </c>
      <c r="J8" s="150">
        <f>IF(OR('Données projet'!B11="",'Données projet'!C11="",'Données projet'!C11=0%),0,SUM(Calculateur!$BL$3:$BL$33)*VLOOKUP('Données projet'!$B$11,Paramètres!$A$1:$I$89,9,0)*B8)</f>
        <v>64.154676923076906</v>
      </c>
      <c r="K8" s="151">
        <f>J8*(100%-'Données projet'!$C$24)*(100%-'Données projet'!$C$25)*(100%-'Données projet'!$C$26)*(100%-'Données projet'!$C$27)</f>
        <v>57.73920923076922</v>
      </c>
      <c r="L8" s="152">
        <f t="shared" ca="1" si="2"/>
        <v>272.16715713646403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Mélèze hybride</v>
      </c>
      <c r="B9" s="154">
        <f>'Données projet'!D12</f>
        <v>0.52500000000000002</v>
      </c>
      <c r="C9" s="147">
        <f ca="1">IF(OR('Données projet'!B12="",'Données projet'!C12="",'Données projet'!C12=0%),0,Calculateur!CD3)</f>
        <v>154.35821558431712</v>
      </c>
      <c r="D9" s="147">
        <f>IF(OR('Données projet'!B12="",'Données projet'!C12="",'Données projet'!C12=0%),0,Calculateur!CE3)</f>
        <v>263.86720460501306</v>
      </c>
      <c r="E9" s="147">
        <f t="shared" ca="1" si="0"/>
        <v>154.35821558431712</v>
      </c>
      <c r="F9" s="147">
        <f t="shared" ca="1" si="1"/>
        <v>81.038063181766489</v>
      </c>
      <c r="G9" s="147">
        <f ca="1">F9*(100%-'Données projet'!$C$24)*(100%-'Données projet'!$C$25)*(100%-'Données projet'!$C$26)*(100%-'Données projet'!$C$27)</f>
        <v>72.934256863589837</v>
      </c>
      <c r="H9" s="155">
        <f>IF(OR('Données projet'!B12="",'Données projet'!C12="",'Données projet'!C12=0%),0,AVERAGE(Calculateur!$CN$3:$CN$33)*B9)</f>
        <v>12.864776793763921</v>
      </c>
      <c r="I9" s="149">
        <f>H9*(100%-'Données projet'!$C$24)*(100%-'Données projet'!$C$25)*(100%-'Données projet'!$C$26)*(100%-'Données projet'!$C$27)</f>
        <v>11.57829911438753</v>
      </c>
      <c r="J9" s="150">
        <f>IF(OR('Données projet'!B12="",'Données projet'!C12="",'Données projet'!C12=0%),0,SUM(Calculateur!$CG$3:$CG$33)*VLOOKUP('Données projet'!$B$12,Paramètres!$A$1:$I$89,9,0)*B9)</f>
        <v>65.241749999999996</v>
      </c>
      <c r="K9" s="151">
        <f>J9*(100%-'Données projet'!$C$24)*(100%-'Données projet'!$C$25)*(100%-'Données projet'!$C$26)*(100%-'Données projet'!$C$27)</f>
        <v>58.717574999999997</v>
      </c>
      <c r="L9" s="152">
        <f t="shared" ca="1" si="2"/>
        <v>143.23013097797735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sycomore</v>
      </c>
      <c r="B10" s="154">
        <f>'Données projet'!D13</f>
        <v>0.105</v>
      </c>
      <c r="C10" s="147">
        <f ca="1">IF(OR('Données projet'!B13="",'Données projet'!C13="",'Données projet'!C13=0%),0,Calculateur!CY3)</f>
        <v>157.25319335691853</v>
      </c>
      <c r="D10" s="147">
        <f>IF(OR('Données projet'!B13="",'Données projet'!C13="",'Données projet'!C13=0%),0,Calculateur!CZ3)</f>
        <v>159.50903492442171</v>
      </c>
      <c r="E10" s="147">
        <f t="shared" ca="1" si="0"/>
        <v>157.25319335691853</v>
      </c>
      <c r="F10" s="147">
        <f t="shared" ca="1" si="1"/>
        <v>16.511585302476444</v>
      </c>
      <c r="G10" s="147">
        <f ca="1">F10*(100%-'Données projet'!$C$24)*(100%-'Données projet'!$C$25)*(100%-'Données projet'!$C$26)*(100%-'Données projet'!$C$27)</f>
        <v>14.8604267722288</v>
      </c>
      <c r="H10" s="155">
        <f>IF(OR('Données projet'!B13="",'Données projet'!C13="",'Données projet'!C13=0%),0,AVERAGE(Calculateur!$DI$3:$DI$33)*B10)</f>
        <v>1.6512822044033319E-3</v>
      </c>
      <c r="I10" s="149">
        <f>H10*(100%-'Données projet'!$C$24)*(100%-'Données projet'!$C$25)*(100%-'Données projet'!$C$26)*(100%-'Données projet'!$C$27)</f>
        <v>1.4861539839629988E-3</v>
      </c>
      <c r="J10" s="150">
        <f>IF(OR('Données projet'!B13="",'Données projet'!C13="",'Données projet'!C13=0%),0,SUM(Calculateur!$DB$3:$DB$33)*VLOOKUP('Données projet'!$B$13,Paramètres!$A$1:$I$89,9,0)*B10)</f>
        <v>1.6537499999999998</v>
      </c>
      <c r="K10" s="151">
        <f>J10*(100%-'Données projet'!$C$24)*(100%-'Données projet'!$C$25)*(100%-'Données projet'!$C$26)*(100%-'Données projet'!$C$27)</f>
        <v>1.4883749999999998</v>
      </c>
      <c r="L10" s="152">
        <f t="shared" ca="1" si="2"/>
        <v>16.350287926212765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>Chêne rouge d'Amérique</v>
      </c>
      <c r="B11" s="154">
        <f>'Données projet'!D14</f>
        <v>0.105</v>
      </c>
      <c r="C11" s="147">
        <f ca="1">IF(OR('Données projet'!B14="",'Données projet'!C14="",'Données projet'!C14=0%),0,Calculateur!DT3)</f>
        <v>229.5312221178919</v>
      </c>
      <c r="D11" s="147">
        <f>IF(OR('Données projet'!B14="",'Données projet'!C14="",'Données projet'!C14=0%),0,Calculateur!DU3)</f>
        <v>218.1982095871906</v>
      </c>
      <c r="E11" s="147">
        <f t="shared" ca="1" si="0"/>
        <v>218.1982095871906</v>
      </c>
      <c r="F11" s="147">
        <f t="shared" ca="1" si="1"/>
        <v>22.910812006655014</v>
      </c>
      <c r="G11" s="147">
        <f ca="1">F11*(100%-'Données projet'!$C$24)*(100%-'Données projet'!$C$25)*(100%-'Données projet'!$C$26)*(100%-'Données projet'!$C$27)</f>
        <v>20.619730805989512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20.619730805989512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>Chêne sessile</v>
      </c>
      <c r="B12" s="154">
        <f>'Données projet'!D15</f>
        <v>0.105</v>
      </c>
      <c r="C12" s="147">
        <f ca="1">IF(OR('Données projet'!B15="",'Données projet'!C15="",'Données projet'!C15=0%),0,Calculateur!EO3)</f>
        <v>204.39656982394689</v>
      </c>
      <c r="D12" s="147">
        <f>IF(OR('Données projet'!B15="",'Données projet'!C15="",'Données projet'!C15=0%),0,Calculateur!EP3)</f>
        <v>134.95704640904546</v>
      </c>
      <c r="E12" s="147">
        <f t="shared" ca="1" si="0"/>
        <v>134.95704640904546</v>
      </c>
      <c r="F12" s="147">
        <f t="shared" ca="1" si="1"/>
        <v>14.170489872949773</v>
      </c>
      <c r="G12" s="147">
        <f ca="1">F12*(100%-'Données projet'!$C$24)*(100%-'Données projet'!$C$25)*(100%-'Données projet'!$C$26)*(100%-'Données projet'!$C$27)</f>
        <v>12.753440885654795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12.753440885654795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>Hêtre</v>
      </c>
      <c r="B13" s="154">
        <f>'Données projet'!D16</f>
        <v>0.105</v>
      </c>
      <c r="C13" s="147">
        <f ca="1">IF(OR('Données projet'!B16="",'Données projet'!C16="",'Données projet'!C16=0%),0,Calculateur!FJ3)</f>
        <v>199.60585215726968</v>
      </c>
      <c r="D13" s="147">
        <f>IF(OR('Données projet'!B16="",'Données projet'!C16="",'Données projet'!C16=0%),0,Calculateur!FK3)</f>
        <v>137.37366750114404</v>
      </c>
      <c r="E13" s="147">
        <f t="shared" ca="1" si="0"/>
        <v>137.37366750114404</v>
      </c>
      <c r="F13" s="147">
        <f t="shared" ca="1" si="1"/>
        <v>14.424235087620124</v>
      </c>
      <c r="G13" s="147">
        <f ca="1">F13*(100%-'Données projet'!$C$24)*(100%-'Données projet'!$C$25)*(100%-'Données projet'!$C$26)*(100%-'Données projet'!$C$27)</f>
        <v>12.981811578858112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ca="1" si="2"/>
        <v>12.981811578858112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874.96768840054744</v>
      </c>
      <c r="G16" s="166">
        <f t="shared" ca="1" si="3"/>
        <v>787.47091956049303</v>
      </c>
      <c r="H16" s="167">
        <f t="shared" si="3"/>
        <v>30.123549835456917</v>
      </c>
      <c r="I16" s="167">
        <f t="shared" si="3"/>
        <v>27.111194851911222</v>
      </c>
      <c r="J16" s="168">
        <f t="shared" si="3"/>
        <v>182.63787230769228</v>
      </c>
      <c r="K16" s="168">
        <f t="shared" si="3"/>
        <v>164.37408507692305</v>
      </c>
      <c r="L16" s="169">
        <f t="shared" ca="1" si="3"/>
        <v>978.9561994893271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292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Douglas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Mélèze hybride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>Chêne sessile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>Hêtre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X28" sqref="X28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293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294</v>
      </c>
      <c r="I4" s="270"/>
      <c r="K4" s="294" t="s">
        <v>295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58</v>
      </c>
      <c r="O7" s="247"/>
      <c r="P7" s="248"/>
      <c r="Q7" s="249"/>
      <c r="R7" s="304" t="s">
        <v>296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297</v>
      </c>
      <c r="C9" s="23"/>
      <c r="D9" s="23"/>
      <c r="E9" s="23"/>
      <c r="F9" s="230"/>
      <c r="G9" s="93" t="s">
        <v>298</v>
      </c>
      <c r="J9" s="200"/>
      <c r="K9" s="208"/>
      <c r="O9" s="23"/>
      <c r="P9" s="23"/>
      <c r="Q9" s="234"/>
      <c r="R9" s="23"/>
      <c r="S9" s="4"/>
      <c r="T9" s="36" t="s">
        <v>299</v>
      </c>
      <c r="U9" s="176" t="s">
        <v>300</v>
      </c>
      <c r="V9" s="36" t="s">
        <v>301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302</v>
      </c>
      <c r="C10" s="23"/>
      <c r="D10" s="23"/>
      <c r="E10" s="23"/>
      <c r="F10" s="230"/>
      <c r="G10" s="93" t="s">
        <v>303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-370.40840709021757</v>
      </c>
      <c r="U10" s="178">
        <f>'Données projet'!D9</f>
        <v>2.625</v>
      </c>
      <c r="V10" s="177">
        <f>U10*T10</f>
        <v>-972.32206861182112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304</v>
      </c>
      <c r="B11" s="23"/>
      <c r="C11" s="23"/>
      <c r="D11" s="23"/>
      <c r="E11" s="23"/>
      <c r="F11" s="230"/>
      <c r="G11" s="93" t="s">
        <v>305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1087.599080020394</v>
      </c>
      <c r="U11" s="178">
        <f>'Données projet'!D10</f>
        <v>0.84</v>
      </c>
      <c r="V11" s="177">
        <f t="shared" ref="V11" si="0">U11*T11</f>
        <v>913.58322721713091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Douglas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3465.1321677240853</v>
      </c>
      <c r="U12" s="178">
        <f>'Données projet'!D11</f>
        <v>0.84</v>
      </c>
      <c r="V12" s="177">
        <f t="shared" ref="V12:V19" si="1">U12*T12</f>
        <v>2910.7110208882314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306</v>
      </c>
      <c r="M13" s="23"/>
      <c r="N13" s="23"/>
      <c r="O13" s="23"/>
      <c r="P13" s="23"/>
      <c r="Q13" s="234"/>
      <c r="R13" s="23"/>
      <c r="S13" s="36" t="str">
        <f>B107</f>
        <v>Mélèze hybride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4718.1015019310198</v>
      </c>
      <c r="U13" s="178">
        <f>'Données projet'!D12</f>
        <v>0.52500000000000002</v>
      </c>
      <c r="V13" s="177">
        <f t="shared" si="1"/>
        <v>2477.0032885137857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77</v>
      </c>
      <c r="I14" s="36" t="s">
        <v>307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497.72410468533377</v>
      </c>
      <c r="U14" s="178">
        <f>'Données projet'!D13</f>
        <v>0.105</v>
      </c>
      <c r="V14" s="177">
        <f t="shared" si="1"/>
        <v>52.261030991960041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308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2317.9815892914089</v>
      </c>
      <c r="U15" s="178">
        <f>'Données projet'!D14</f>
        <v>0.105</v>
      </c>
      <c r="V15" s="177">
        <f t="shared" si="1"/>
        <v>243.38806687559793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309</v>
      </c>
      <c r="C16" s="48" t="s">
        <v>310</v>
      </c>
      <c r="D16" s="36" t="s">
        <v>311</v>
      </c>
      <c r="E16" s="36" t="s">
        <v>312</v>
      </c>
      <c r="F16" s="230"/>
      <c r="G16" s="297"/>
      <c r="H16" s="190"/>
      <c r="I16" s="191"/>
      <c r="J16" s="202"/>
      <c r="K16" s="208"/>
      <c r="L16" s="294" t="s">
        <v>313</v>
      </c>
      <c r="M16" s="295"/>
      <c r="N16" s="2">
        <v>50</v>
      </c>
      <c r="O16" s="23"/>
      <c r="P16" s="23"/>
      <c r="Q16" s="234"/>
      <c r="R16" s="23"/>
      <c r="S16" s="36" t="str">
        <f>B200</f>
        <v>Chêne sessile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672.7048728004678</v>
      </c>
      <c r="U16" s="178">
        <f>'Données projet'!D15</f>
        <v>0.105</v>
      </c>
      <c r="V16" s="177">
        <f t="shared" si="1"/>
        <v>70.63401164404911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194</v>
      </c>
      <c r="C17" s="198" t="s">
        <v>194</v>
      </c>
      <c r="D17" s="197" t="s">
        <v>194</v>
      </c>
      <c r="E17" s="193">
        <v>957</v>
      </c>
      <c r="G17" s="297"/>
      <c r="J17" s="202"/>
      <c r="K17" s="208"/>
      <c r="L17" s="267" t="s">
        <v>314</v>
      </c>
      <c r="M17" s="269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>Hêtre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251.14136601687471</v>
      </c>
      <c r="U17" s="178">
        <f>'Données projet'!D16</f>
        <v>0.105</v>
      </c>
      <c r="V17" s="177">
        <f t="shared" si="1"/>
        <v>26.369843431771844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G18" s="297"/>
      <c r="J18" s="202"/>
      <c r="K18" s="208"/>
      <c r="L18" s="267" t="s">
        <v>310</v>
      </c>
      <c r="M18" s="269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97"/>
      <c r="H19" s="212" t="s">
        <v>77</v>
      </c>
      <c r="I19" s="212" t="s">
        <v>315</v>
      </c>
      <c r="J19" s="93"/>
      <c r="K19" s="173"/>
      <c r="L19" s="294" t="s">
        <v>316</v>
      </c>
      <c r="M19" s="295"/>
      <c r="N19" s="179">
        <f>N17*N18</f>
        <v>2499.9999999999982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97"/>
      <c r="H20" s="190">
        <v>1</v>
      </c>
      <c r="I20" s="191">
        <v>6768.57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2</v>
      </c>
      <c r="I21" s="191">
        <v>630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96" t="s">
        <v>317</v>
      </c>
      <c r="M23" s="296"/>
      <c r="N23" s="296"/>
      <c r="O23" s="23"/>
      <c r="P23" s="23"/>
      <c r="Q23" s="234"/>
      <c r="R23" s="23"/>
      <c r="S23" s="36" t="s">
        <v>318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-31311.925904728654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51</v>
      </c>
      <c r="B24" s="181">
        <f>'Données projet'!D37</f>
        <v>170.16153846153847</v>
      </c>
      <c r="C24" s="193">
        <v>10</v>
      </c>
      <c r="D24" s="182">
        <f t="shared" ref="D24:D42" si="2">B24*C24</f>
        <v>1701.6153846153848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319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1453.0641557991835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61</v>
      </c>
      <c r="B25" s="181">
        <f>'Données projet'!D38</f>
        <v>94.76153846153845</v>
      </c>
      <c r="C25" s="193">
        <v>18</v>
      </c>
      <c r="D25" s="182">
        <f t="shared" si="2"/>
        <v>1705.707692307692</v>
      </c>
      <c r="E25" s="193">
        <v>150</v>
      </c>
      <c r="F25" s="233"/>
      <c r="H25" s="190"/>
      <c r="I25" s="191"/>
      <c r="K25" s="208"/>
      <c r="L25" s="130" t="s">
        <v>320</v>
      </c>
      <c r="M25" s="130"/>
      <c r="N25" s="130"/>
      <c r="O25" s="130"/>
      <c r="P25" s="192"/>
      <c r="Q25" s="234"/>
      <c r="R25" s="23"/>
      <c r="S25" s="186" t="s">
        <v>321</v>
      </c>
      <c r="T25" s="311">
        <f ca="1">T23-T24</f>
        <v>-32764.990060527838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73</v>
      </c>
      <c r="B26" s="181">
        <f>'Données projet'!D39</f>
        <v>93.584615384615375</v>
      </c>
      <c r="C26" s="193">
        <v>25</v>
      </c>
      <c r="D26" s="182">
        <f t="shared" si="2"/>
        <v>2339.6153846153843</v>
      </c>
      <c r="E26" s="193">
        <v>150</v>
      </c>
      <c r="F26" s="233"/>
      <c r="G26" s="229"/>
      <c r="H26" s="190"/>
      <c r="I26" s="191"/>
      <c r="K26" s="208"/>
      <c r="L26" s="298" t="s">
        <v>322</v>
      </c>
      <c r="M26" s="299"/>
      <c r="N26" s="299"/>
      <c r="O26" s="299"/>
      <c r="P26" s="300"/>
      <c r="Q26" s="234"/>
      <c r="R26" s="23"/>
      <c r="S26" s="186" t="s">
        <v>323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85</v>
      </c>
      <c r="B27" s="181">
        <f>'Données projet'!D40</f>
        <v>85.207692307692298</v>
      </c>
      <c r="C27" s="193">
        <v>35</v>
      </c>
      <c r="D27" s="182">
        <f t="shared" si="2"/>
        <v>2982.2692307692305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324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97</v>
      </c>
      <c r="B28" s="181">
        <f>'Données projet'!D41</f>
        <v>79.669230769230765</v>
      </c>
      <c r="C28" s="193">
        <v>40</v>
      </c>
      <c r="D28" s="182">
        <f t="shared" si="2"/>
        <v>3186.7692307692305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109</v>
      </c>
      <c r="B29" s="181">
        <f>'Données projet'!D42</f>
        <v>80.653846153846146</v>
      </c>
      <c r="C29" s="193">
        <v>45</v>
      </c>
      <c r="D29" s="182">
        <f t="shared" si="2"/>
        <v>3629.4230769230767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121</v>
      </c>
      <c r="B30" s="181">
        <f>'Données projet'!D43</f>
        <v>207.07692307692307</v>
      </c>
      <c r="C30" s="193">
        <v>45</v>
      </c>
      <c r="D30" s="182">
        <f t="shared" si="2"/>
        <v>9318.4615384615372</v>
      </c>
      <c r="E30" s="193">
        <v>150</v>
      </c>
      <c r="F30" s="233"/>
      <c r="G30" s="203"/>
      <c r="H30" s="190"/>
      <c r="I30" s="191"/>
      <c r="K30" s="183"/>
      <c r="L30" s="36" t="s">
        <v>325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131</v>
      </c>
      <c r="B31" s="181">
        <f>'Données projet'!D44</f>
        <v>259.61538461538458</v>
      </c>
      <c r="C31" s="193">
        <v>56</v>
      </c>
      <c r="D31" s="182">
        <f t="shared" si="2"/>
        <v>14538.461538461537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77</v>
      </c>
      <c r="P32" s="85" t="s">
        <v>311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309</v>
      </c>
      <c r="C47" s="48" t="s">
        <v>310</v>
      </c>
      <c r="D47" s="36" t="s">
        <v>311</v>
      </c>
      <c r="E47" s="36" t="s">
        <v>312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194</v>
      </c>
      <c r="C48" s="198" t="s">
        <v>194</v>
      </c>
      <c r="D48" s="197" t="s">
        <v>194</v>
      </c>
      <c r="E48" s="193">
        <v>130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Douglas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309</v>
      </c>
      <c r="C78" s="48" t="s">
        <v>310</v>
      </c>
      <c r="D78" s="36" t="s">
        <v>311</v>
      </c>
      <c r="E78" s="36" t="s">
        <v>312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194</v>
      </c>
      <c r="C79" s="198" t="s">
        <v>194</v>
      </c>
      <c r="D79" s="197" t="s">
        <v>194</v>
      </c>
      <c r="E79" s="193">
        <v>159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194</v>
      </c>
      <c r="C84" s="198"/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18</v>
      </c>
      <c r="B85" s="181">
        <f>'Données projet'!D88</f>
        <v>69.284615384615378</v>
      </c>
      <c r="C85" s="191">
        <v>10</v>
      </c>
      <c r="D85" s="179">
        <f>B85*C85</f>
        <v>692.84615384615381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24</v>
      </c>
      <c r="B86" s="181">
        <f>'Données projet'!D89</f>
        <v>42.661538461538463</v>
      </c>
      <c r="C86" s="191">
        <v>10</v>
      </c>
      <c r="D86" s="179">
        <f t="shared" ref="D86:D104" si="6">B86*C86</f>
        <v>426.61538461538464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30</v>
      </c>
      <c r="B87" s="181">
        <f>'Données projet'!D90</f>
        <v>65.669230769230765</v>
      </c>
      <c r="C87" s="191">
        <v>18</v>
      </c>
      <c r="D87" s="179">
        <f t="shared" si="6"/>
        <v>1182.0461538461539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36</v>
      </c>
      <c r="B88" s="181">
        <f>'Données projet'!D91</f>
        <v>69.3</v>
      </c>
      <c r="C88" s="191">
        <v>25</v>
      </c>
      <c r="D88" s="179">
        <f t="shared" si="6"/>
        <v>1732.5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42</v>
      </c>
      <c r="B89" s="181">
        <f>'Données projet'!D92</f>
        <v>73.392307692307682</v>
      </c>
      <c r="C89" s="191">
        <v>25</v>
      </c>
      <c r="D89" s="179">
        <f t="shared" si="6"/>
        <v>1834.8076923076922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48</v>
      </c>
      <c r="B90" s="181">
        <f>'Données projet'!D93</f>
        <v>81.330769230769235</v>
      </c>
      <c r="C90" s="191">
        <v>35</v>
      </c>
      <c r="D90" s="179">
        <f t="shared" si="6"/>
        <v>2846.5769230769233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54</v>
      </c>
      <c r="B91" s="181">
        <f>'Données projet'!D94</f>
        <v>566.79999999999995</v>
      </c>
      <c r="C91" s="191">
        <v>40</v>
      </c>
      <c r="D91" s="179">
        <f t="shared" si="6"/>
        <v>22672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Mélèze hybride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309</v>
      </c>
      <c r="C109" s="48" t="s">
        <v>310</v>
      </c>
      <c r="D109" s="36" t="s">
        <v>311</v>
      </c>
      <c r="E109" s="36" t="s">
        <v>312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194</v>
      </c>
      <c r="C110" s="198" t="s">
        <v>194</v>
      </c>
      <c r="D110" s="197" t="s">
        <v>194</v>
      </c>
      <c r="E110" s="193">
        <v>178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12</v>
      </c>
      <c r="B116" s="181">
        <f>'Données projet'!D114</f>
        <v>21</v>
      </c>
      <c r="C116" s="191">
        <v>10</v>
      </c>
      <c r="D116" s="179">
        <f>B116*C116</f>
        <v>210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15</v>
      </c>
      <c r="B117" s="181">
        <f>'Données projet'!D115</f>
        <v>47</v>
      </c>
      <c r="C117" s="191">
        <v>18</v>
      </c>
      <c r="D117" s="179">
        <f t="shared" ref="D117:D135" si="8">B117*C117</f>
        <v>846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18</v>
      </c>
      <c r="B118" s="181">
        <f>'Données projet'!D116</f>
        <v>61</v>
      </c>
      <c r="C118" s="191">
        <v>25</v>
      </c>
      <c r="D118" s="179">
        <f t="shared" si="8"/>
        <v>1525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24</v>
      </c>
      <c r="B119" s="181">
        <f>'Données projet'!D117</f>
        <v>84</v>
      </c>
      <c r="C119" s="191">
        <v>25</v>
      </c>
      <c r="D119" s="179">
        <f t="shared" si="8"/>
        <v>2100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30</v>
      </c>
      <c r="B120" s="181">
        <f>'Données projet'!D118</f>
        <v>76</v>
      </c>
      <c r="C120" s="191">
        <v>35</v>
      </c>
      <c r="D120" s="179">
        <f t="shared" si="8"/>
        <v>2660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36</v>
      </c>
      <c r="B121" s="181">
        <f>'Données projet'!D119</f>
        <v>75</v>
      </c>
      <c r="C121" s="191">
        <v>40</v>
      </c>
      <c r="D121" s="179">
        <f t="shared" si="8"/>
        <v>3000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42</v>
      </c>
      <c r="B122" s="181">
        <f>'Données projet'!D120</f>
        <v>278</v>
      </c>
      <c r="C122" s="191">
        <v>45</v>
      </c>
      <c r="D122" s="179">
        <f t="shared" si="8"/>
        <v>12510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309</v>
      </c>
      <c r="C140" s="48" t="s">
        <v>310</v>
      </c>
      <c r="D140" s="36" t="s">
        <v>311</v>
      </c>
      <c r="E140" s="36" t="s">
        <v>312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194</v>
      </c>
      <c r="C141" s="198" t="s">
        <v>194</v>
      </c>
      <c r="D141" s="197" t="s">
        <v>194</v>
      </c>
      <c r="E141" s="193">
        <v>30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15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20</v>
      </c>
      <c r="B148" s="175">
        <f>'Données projet'!D141</f>
        <v>21</v>
      </c>
      <c r="C148" s="191">
        <v>10</v>
      </c>
      <c r="D148" s="182">
        <f t="shared" ref="D148:D166" si="10">B148*C148</f>
        <v>210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25</v>
      </c>
      <c r="B149" s="175">
        <f>'Données projet'!D142</f>
        <v>21</v>
      </c>
      <c r="C149" s="191">
        <v>10</v>
      </c>
      <c r="D149" s="182">
        <f t="shared" si="10"/>
        <v>210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30</v>
      </c>
      <c r="B150" s="175">
        <f>'Données projet'!D143</f>
        <v>21</v>
      </c>
      <c r="C150" s="191">
        <v>15</v>
      </c>
      <c r="D150" s="182">
        <f t="shared" si="10"/>
        <v>315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35</v>
      </c>
      <c r="B151" s="175">
        <f>'Données projet'!D144</f>
        <v>21</v>
      </c>
      <c r="C151" s="191">
        <v>15</v>
      </c>
      <c r="D151" s="182">
        <f t="shared" si="10"/>
        <v>315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40</v>
      </c>
      <c r="B152" s="175">
        <f>'Données projet'!D145</f>
        <v>21</v>
      </c>
      <c r="C152" s="191">
        <v>50</v>
      </c>
      <c r="D152" s="182">
        <f t="shared" si="10"/>
        <v>1050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45</v>
      </c>
      <c r="B153" s="175">
        <f>'Données projet'!D146</f>
        <v>18</v>
      </c>
      <c r="C153" s="191">
        <v>50</v>
      </c>
      <c r="D153" s="182">
        <f t="shared" si="10"/>
        <v>900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50</v>
      </c>
      <c r="B154" s="175">
        <f>'Données projet'!D147</f>
        <v>13</v>
      </c>
      <c r="C154" s="191">
        <v>50</v>
      </c>
      <c r="D154" s="182">
        <f t="shared" si="10"/>
        <v>650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55</v>
      </c>
      <c r="B155" s="175">
        <f>'Données projet'!D148</f>
        <v>11</v>
      </c>
      <c r="C155" s="191">
        <v>50</v>
      </c>
      <c r="D155" s="182">
        <f t="shared" si="10"/>
        <v>550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60</v>
      </c>
      <c r="B156" s="175">
        <f>'Données projet'!D149</f>
        <v>9</v>
      </c>
      <c r="C156" s="191">
        <v>50</v>
      </c>
      <c r="D156" s="182">
        <f t="shared" si="10"/>
        <v>450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65</v>
      </c>
      <c r="B157" s="175">
        <f>'Données projet'!D150</f>
        <v>8</v>
      </c>
      <c r="C157" s="191">
        <v>50</v>
      </c>
      <c r="D157" s="182">
        <f t="shared" si="10"/>
        <v>400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70</v>
      </c>
      <c r="B158" s="175">
        <f>'Données projet'!D151</f>
        <v>6</v>
      </c>
      <c r="C158" s="191">
        <v>50</v>
      </c>
      <c r="D158" s="182">
        <f t="shared" si="10"/>
        <v>300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75</v>
      </c>
      <c r="B159" s="175">
        <f>'Données projet'!D152</f>
        <v>7</v>
      </c>
      <c r="C159" s="191">
        <v>50</v>
      </c>
      <c r="D159" s="182">
        <f t="shared" si="10"/>
        <v>350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80</v>
      </c>
      <c r="B160" s="175">
        <f>'Données projet'!D153</f>
        <v>6</v>
      </c>
      <c r="C160" s="191">
        <v>50</v>
      </c>
      <c r="D160" s="182">
        <f t="shared" si="10"/>
        <v>300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309</v>
      </c>
      <c r="C171" s="48" t="s">
        <v>310</v>
      </c>
      <c r="D171" s="36" t="s">
        <v>311</v>
      </c>
      <c r="E171" s="36" t="s">
        <v>312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194</v>
      </c>
      <c r="C172" s="198" t="s">
        <v>194</v>
      </c>
      <c r="D172" s="197" t="s">
        <v>194</v>
      </c>
      <c r="E172" s="193">
        <v>26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15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20</v>
      </c>
      <c r="B180" s="181" t="str">
        <f>'Données projet'!D168</f>
        <v>41</v>
      </c>
      <c r="C180" s="193">
        <v>10</v>
      </c>
      <c r="D180" s="179">
        <f t="shared" si="11"/>
        <v>410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25</v>
      </c>
      <c r="B181" s="181" t="str">
        <f>'Données projet'!D169</f>
        <v>23</v>
      </c>
      <c r="C181" s="193">
        <v>10</v>
      </c>
      <c r="D181" s="179">
        <f t="shared" si="11"/>
        <v>230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30</v>
      </c>
      <c r="B182" s="181" t="str">
        <f>'Données projet'!D170</f>
        <v>24</v>
      </c>
      <c r="C182" s="193">
        <v>50</v>
      </c>
      <c r="D182" s="179">
        <f t="shared" si="11"/>
        <v>1200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35</v>
      </c>
      <c r="B183" s="181" t="str">
        <f>'Données projet'!D171</f>
        <v>24</v>
      </c>
      <c r="C183" s="193">
        <v>50</v>
      </c>
      <c r="D183" s="179">
        <f t="shared" si="11"/>
        <v>1200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40</v>
      </c>
      <c r="B184" s="181" t="str">
        <f>'Données projet'!D172</f>
        <v>23</v>
      </c>
      <c r="C184" s="193">
        <v>50</v>
      </c>
      <c r="D184" s="179">
        <f t="shared" si="11"/>
        <v>1150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45</v>
      </c>
      <c r="B185" s="181" t="str">
        <f>'Données projet'!D173</f>
        <v>22</v>
      </c>
      <c r="C185" s="193">
        <v>100</v>
      </c>
      <c r="D185" s="179">
        <f t="shared" si="11"/>
        <v>2200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50</v>
      </c>
      <c r="B186" s="181" t="str">
        <f>'Données projet'!D174</f>
        <v>21</v>
      </c>
      <c r="C186" s="193">
        <v>100</v>
      </c>
      <c r="D186" s="179">
        <f t="shared" si="11"/>
        <v>2100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55</v>
      </c>
      <c r="B187" s="181" t="str">
        <f>'Données projet'!D175</f>
        <v>20</v>
      </c>
      <c r="C187" s="193">
        <v>150</v>
      </c>
      <c r="D187" s="179">
        <f t="shared" si="11"/>
        <v>3000</v>
      </c>
      <c r="E187" s="193">
        <v>150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60</v>
      </c>
      <c r="B188" s="181" t="str">
        <f>'Données projet'!D176</f>
        <v>18</v>
      </c>
      <c r="C188" s="193">
        <v>150</v>
      </c>
      <c r="D188" s="179">
        <f t="shared" si="11"/>
        <v>2700</v>
      </c>
      <c r="E188" s="193">
        <v>150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65</v>
      </c>
      <c r="B189" s="181" t="str">
        <f>'Données projet'!D177</f>
        <v>17</v>
      </c>
      <c r="C189" s="193">
        <v>150</v>
      </c>
      <c r="D189" s="179">
        <f t="shared" si="11"/>
        <v>2550</v>
      </c>
      <c r="E189" s="193">
        <v>150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70</v>
      </c>
      <c r="B190" s="181" t="str">
        <f>'Données projet'!D178</f>
        <v>16</v>
      </c>
      <c r="C190" s="193">
        <v>200</v>
      </c>
      <c r="D190" s="179">
        <f t="shared" si="11"/>
        <v>3200</v>
      </c>
      <c r="E190" s="193">
        <v>150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75</v>
      </c>
      <c r="B191" s="181" t="str">
        <f>'Données projet'!D179</f>
        <v>14</v>
      </c>
      <c r="C191" s="193">
        <v>200</v>
      </c>
      <c r="D191" s="179">
        <f t="shared" si="11"/>
        <v>2800</v>
      </c>
      <c r="E191" s="193">
        <v>150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80</v>
      </c>
      <c r="B192" s="181" t="str">
        <f>'Données projet'!D180</f>
        <v>13</v>
      </c>
      <c r="C192" s="193">
        <v>200</v>
      </c>
      <c r="D192" s="179">
        <f t="shared" si="11"/>
        <v>2600</v>
      </c>
      <c r="E192" s="193">
        <v>150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85</v>
      </c>
      <c r="B193" s="181" t="str">
        <f>'Données projet'!D181</f>
        <v>12</v>
      </c>
      <c r="C193" s="193">
        <v>200</v>
      </c>
      <c r="D193" s="179">
        <f t="shared" si="11"/>
        <v>2400</v>
      </c>
      <c r="E193" s="193">
        <v>150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90</v>
      </c>
      <c r="B194" s="181" t="str">
        <f>'Données projet'!D182</f>
        <v>11</v>
      </c>
      <c r="C194" s="193">
        <v>200</v>
      </c>
      <c r="D194" s="179">
        <f t="shared" si="11"/>
        <v>2200</v>
      </c>
      <c r="E194" s="193">
        <v>150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95</v>
      </c>
      <c r="B195" s="181" t="str">
        <f>'Données projet'!D183</f>
        <v>11</v>
      </c>
      <c r="C195" s="193">
        <v>200</v>
      </c>
      <c r="D195" s="179">
        <f t="shared" si="11"/>
        <v>2200</v>
      </c>
      <c r="E195" s="193">
        <v>150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100</v>
      </c>
      <c r="B196" s="181" t="str">
        <f>'Données projet'!D184</f>
        <v>12</v>
      </c>
      <c r="C196" s="193">
        <v>200</v>
      </c>
      <c r="D196" s="179">
        <f t="shared" si="11"/>
        <v>2400</v>
      </c>
      <c r="E196" s="193">
        <v>150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>Chêne sessile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309</v>
      </c>
      <c r="C202" s="48" t="s">
        <v>310</v>
      </c>
      <c r="D202" s="36" t="s">
        <v>311</v>
      </c>
      <c r="E202" s="36" t="s">
        <v>312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194</v>
      </c>
      <c r="C203" s="198" t="s">
        <v>194</v>
      </c>
      <c r="D203" s="197" t="s">
        <v>194</v>
      </c>
      <c r="E203" s="193">
        <v>36.200000000000003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30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44</v>
      </c>
      <c r="B210" s="181">
        <f>'Données projet'!D193</f>
        <v>64.416666666666657</v>
      </c>
      <c r="C210" s="193">
        <v>10</v>
      </c>
      <c r="D210" s="179">
        <f t="shared" ref="D210:D228" si="12">B210*C210</f>
        <v>644.16666666666652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51</v>
      </c>
      <c r="B211" s="181">
        <f>'Données projet'!D194</f>
        <v>37.685897435897431</v>
      </c>
      <c r="C211" s="193">
        <v>10</v>
      </c>
      <c r="D211" s="179">
        <f t="shared" si="12"/>
        <v>376.85897435897431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59</v>
      </c>
      <c r="B212" s="181">
        <f>'Données projet'!D195</f>
        <v>38.942307692307693</v>
      </c>
      <c r="C212" s="193">
        <v>50</v>
      </c>
      <c r="D212" s="179">
        <f t="shared" si="12"/>
        <v>1947.1153846153848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67</v>
      </c>
      <c r="B213" s="181">
        <f>'Données projet'!D196</f>
        <v>31.993589743589741</v>
      </c>
      <c r="C213" s="193">
        <v>50</v>
      </c>
      <c r="D213" s="179">
        <f t="shared" si="12"/>
        <v>1599.6794871794871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75</v>
      </c>
      <c r="B214" s="181">
        <f>'Données projet'!D197</f>
        <v>30.916666666666664</v>
      </c>
      <c r="C214" s="193">
        <v>50</v>
      </c>
      <c r="D214" s="179">
        <f t="shared" si="12"/>
        <v>1545.8333333333333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84</v>
      </c>
      <c r="B215" s="181">
        <f>'Données projet'!D198</f>
        <v>35.083333333333329</v>
      </c>
      <c r="C215" s="193">
        <v>100</v>
      </c>
      <c r="D215" s="179">
        <f t="shared" si="12"/>
        <v>3508.333333333333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93</v>
      </c>
      <c r="B216" s="181">
        <f>'Données projet'!D199</f>
        <v>30.083333333333332</v>
      </c>
      <c r="C216" s="193">
        <v>100</v>
      </c>
      <c r="D216" s="179">
        <f t="shared" si="12"/>
        <v>3008.333333333333</v>
      </c>
      <c r="E216" s="193">
        <v>150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103</v>
      </c>
      <c r="B217" s="181">
        <f>'Données projet'!D200</f>
        <v>39.512820512820511</v>
      </c>
      <c r="C217" s="193">
        <v>150</v>
      </c>
      <c r="D217" s="179">
        <f t="shared" si="12"/>
        <v>5926.9230769230762</v>
      </c>
      <c r="E217" s="193">
        <v>150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113</v>
      </c>
      <c r="B218" s="181">
        <f>'Données projet'!D201</f>
        <v>31.602564102564099</v>
      </c>
      <c r="C218" s="193">
        <v>150</v>
      </c>
      <c r="D218" s="179">
        <f t="shared" si="12"/>
        <v>4740.3846153846152</v>
      </c>
      <c r="E218" s="193">
        <v>150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125</v>
      </c>
      <c r="B219" s="181">
        <f>'Données projet'!D202</f>
        <v>48.160256410256409</v>
      </c>
      <c r="C219" s="193">
        <v>150</v>
      </c>
      <c r="D219" s="179">
        <f t="shared" si="12"/>
        <v>7224.038461538461</v>
      </c>
      <c r="E219" s="193">
        <v>150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137</v>
      </c>
      <c r="B220" s="181">
        <f>'Données projet'!D203</f>
        <v>51.160256410256409</v>
      </c>
      <c r="C220" s="193">
        <v>200</v>
      </c>
      <c r="D220" s="179">
        <f t="shared" si="12"/>
        <v>10232.051282051281</v>
      </c>
      <c r="E220" s="193">
        <v>150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149</v>
      </c>
      <c r="B221" s="181">
        <f>'Données projet'!D204</f>
        <v>120.50641025641026</v>
      </c>
      <c r="C221" s="193">
        <v>200</v>
      </c>
      <c r="D221" s="179">
        <f t="shared" si="12"/>
        <v>24101.282051282051</v>
      </c>
      <c r="E221" s="193">
        <v>150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153</v>
      </c>
      <c r="B222" s="181">
        <f>'Données projet'!D205</f>
        <v>70.115384615384613</v>
      </c>
      <c r="C222" s="193">
        <v>200</v>
      </c>
      <c r="D222" s="179">
        <f t="shared" si="12"/>
        <v>14023.076923076922</v>
      </c>
      <c r="E222" s="193">
        <v>150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157</v>
      </c>
      <c r="B223" s="181">
        <f>'Données projet'!D206</f>
        <v>45.71153846153846</v>
      </c>
      <c r="C223" s="193">
        <v>200</v>
      </c>
      <c r="D223" s="179">
        <f t="shared" si="12"/>
        <v>9142.3076923076915</v>
      </c>
      <c r="E223" s="193">
        <v>150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161</v>
      </c>
      <c r="B224" s="181">
        <f>'Données projet'!D207</f>
        <v>91.365384615384613</v>
      </c>
      <c r="C224" s="193">
        <v>200</v>
      </c>
      <c r="D224" s="179">
        <f t="shared" si="12"/>
        <v>18273.076923076922</v>
      </c>
      <c r="E224" s="193">
        <v>150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>Hêtre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309</v>
      </c>
      <c r="C233" s="48" t="s">
        <v>310</v>
      </c>
      <c r="D233" s="36" t="s">
        <v>311</v>
      </c>
      <c r="E233" s="36" t="s">
        <v>312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194</v>
      </c>
      <c r="C234" s="198" t="s">
        <v>194</v>
      </c>
      <c r="D234" s="197" t="s">
        <v>194</v>
      </c>
      <c r="E234" s="193">
        <v>25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30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57</v>
      </c>
      <c r="B241" s="181">
        <f>'Données projet'!D219</f>
        <v>125.23717948717949</v>
      </c>
      <c r="C241" s="193">
        <v>10</v>
      </c>
      <c r="D241" s="179">
        <f t="shared" ref="D241:D259" si="13">B241*C241</f>
        <v>1252.3717948717949</v>
      </c>
      <c r="E241" s="193">
        <v>150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66</v>
      </c>
      <c r="B242" s="181">
        <f>'Données projet'!D220</f>
        <v>59.749999999999993</v>
      </c>
      <c r="C242" s="193">
        <v>10</v>
      </c>
      <c r="D242" s="179">
        <f t="shared" si="13"/>
        <v>597.49999999999989</v>
      </c>
      <c r="E242" s="193">
        <v>150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75</v>
      </c>
      <c r="B243" s="181">
        <f>'Données projet'!D221</f>
        <v>55.78846153846154</v>
      </c>
      <c r="C243" s="193">
        <v>15</v>
      </c>
      <c r="D243" s="179">
        <f t="shared" si="13"/>
        <v>836.82692307692309</v>
      </c>
      <c r="E243" s="193">
        <v>150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84</v>
      </c>
      <c r="B244" s="181">
        <f>'Données projet'!D222</f>
        <v>47.980769230769226</v>
      </c>
      <c r="C244" s="193">
        <v>15</v>
      </c>
      <c r="D244" s="179">
        <f t="shared" si="13"/>
        <v>719.71153846153834</v>
      </c>
      <c r="E244" s="193">
        <v>150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93</v>
      </c>
      <c r="B245" s="181">
        <f>'Données projet'!D223</f>
        <v>48.967948717948715</v>
      </c>
      <c r="C245" s="193">
        <v>50</v>
      </c>
      <c r="D245" s="179">
        <f t="shared" si="13"/>
        <v>2448.3974358974356</v>
      </c>
      <c r="E245" s="193">
        <v>150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105</v>
      </c>
      <c r="B246" s="181">
        <f>'Données projet'!D224</f>
        <v>60.153846153846153</v>
      </c>
      <c r="C246" s="193">
        <v>50</v>
      </c>
      <c r="D246" s="179">
        <f t="shared" si="13"/>
        <v>3007.6923076923076</v>
      </c>
      <c r="E246" s="193">
        <v>150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117</v>
      </c>
      <c r="B247" s="181">
        <f>'Données projet'!D225</f>
        <v>52.628205128205124</v>
      </c>
      <c r="C247" s="193">
        <v>50</v>
      </c>
      <c r="D247" s="179">
        <f t="shared" si="13"/>
        <v>2631.4102564102564</v>
      </c>
      <c r="E247" s="193">
        <v>150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129</v>
      </c>
      <c r="B248" s="181">
        <f>'Données projet'!D226</f>
        <v>100.84615384615384</v>
      </c>
      <c r="C248" s="193">
        <v>50</v>
      </c>
      <c r="D248" s="179">
        <f t="shared" si="13"/>
        <v>5042.3076923076924</v>
      </c>
      <c r="E248" s="193">
        <v>150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134</v>
      </c>
      <c r="B249" s="181">
        <f>'Données projet'!D227</f>
        <v>72.544871794871796</v>
      </c>
      <c r="C249" s="193">
        <v>50</v>
      </c>
      <c r="D249" s="179">
        <f t="shared" si="13"/>
        <v>3627.2435897435898</v>
      </c>
      <c r="E249" s="193">
        <v>150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139</v>
      </c>
      <c r="B250" s="181">
        <f>'Données projet'!D228</f>
        <v>61.948717948717949</v>
      </c>
      <c r="C250" s="193">
        <v>50</v>
      </c>
      <c r="D250" s="179">
        <f t="shared" si="13"/>
        <v>3097.4358974358975</v>
      </c>
      <c r="E250" s="193">
        <v>150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143</v>
      </c>
      <c r="B251" s="181">
        <f>'Données projet'!D229</f>
        <v>99.871794871794876</v>
      </c>
      <c r="C251" s="193">
        <v>50</v>
      </c>
      <c r="D251" s="179">
        <f t="shared" si="13"/>
        <v>4993.5897435897441</v>
      </c>
      <c r="E251" s="193">
        <v>150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309</v>
      </c>
      <c r="C264" s="48" t="s">
        <v>310</v>
      </c>
      <c r="D264" s="36" t="s">
        <v>311</v>
      </c>
      <c r="E264" s="36" t="s">
        <v>312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309</v>
      </c>
      <c r="C295" s="48" t="s">
        <v>310</v>
      </c>
      <c r="D295" s="36" t="s">
        <v>311</v>
      </c>
      <c r="E295" s="36" t="s">
        <v>312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ée un document." ma:contentTypeScope="" ma:versionID="1f5efd74e6064ee3f625336d6e590db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a1bf04212b68656168e2b27f1439148b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3EE18C3C-BD80-4B9F-A5DD-BECEFECA91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Lucie CAUCHOIS</cp:lastModifiedBy>
  <cp:revision/>
  <dcterms:created xsi:type="dcterms:W3CDTF">2021-02-01T08:22:39Z</dcterms:created>
  <dcterms:modified xsi:type="dcterms:W3CDTF">2024-11-27T10:29:38Z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