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Evreux (Normandie)\CESNY-AUX-VIGNES (14)- IND CHITEL-GARREC-LETELLIER\Dossier à déposer\"/>
    </mc:Choice>
  </mc:AlternateContent>
  <xr:revisionPtr revIDLastSave="0" documentId="13_ncr:1_{2785AA09-1260-4B4F-8CFD-15291B8B7DDE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AC154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DI161" i="2" l="1"/>
  <c r="EB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EV168" i="2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DI192" i="2" l="1"/>
  <c r="EX193" i="2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 l="1"/>
  <c r="EA201" i="2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68" i="2" a="1"/>
  <c r="BC68" i="2" s="1"/>
  <c r="BC82" i="2" a="1"/>
  <c r="BC82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DN103" i="2" a="1"/>
  <c r="DN103" i="2" s="1"/>
  <c r="DN114" i="2" a="1"/>
  <c r="DN114" i="2" s="1"/>
  <c r="CS77" i="2" a="1"/>
  <c r="CS77" i="2" s="1"/>
  <c r="AH199" i="2" a="1"/>
  <c r="AH199" i="2" s="1"/>
  <c r="CS161" i="2" a="1"/>
  <c r="CS161" i="2" s="1"/>
  <c r="CS105" i="2" a="1"/>
  <c r="CS105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92" i="2" a="1"/>
  <c r="BC192" i="2" s="1"/>
  <c r="BC164" i="2" a="1"/>
  <c r="BC164" i="2" s="1"/>
  <c r="BC32" i="2" a="1"/>
  <c r="BC32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CS137" i="2" l="1" a="1"/>
  <c r="CS137" i="2" s="1"/>
  <c r="CS185" i="2" a="1"/>
  <c r="CS185" i="2" s="1"/>
  <c r="CS24" i="2" a="1"/>
  <c r="CS24" i="2" s="1"/>
  <c r="CS134" i="2" a="1"/>
  <c r="CS134" i="2" s="1"/>
  <c r="CS116" i="2" a="1"/>
  <c r="CS116" i="2" s="1"/>
  <c r="CS38" i="2" a="1"/>
  <c r="CS38" i="2" s="1"/>
  <c r="BC47" i="2" a="1"/>
  <c r="BC47" i="2" s="1"/>
  <c r="BC7" i="2" a="1"/>
  <c r="BC7" i="2" s="1"/>
  <c r="BC117" i="2" a="1"/>
  <c r="BC117" i="2" s="1"/>
  <c r="BC185" i="2" a="1"/>
  <c r="BC185" i="2" s="1"/>
  <c r="BC143" i="2" a="1"/>
  <c r="BC143" i="2" s="1"/>
  <c r="BC65" i="2" a="1"/>
  <c r="BC65" i="2" s="1"/>
  <c r="BC31" i="2" a="1"/>
  <c r="BC31" i="2" s="1"/>
  <c r="BC114" i="2" a="1"/>
  <c r="BC114" i="2" s="1"/>
  <c r="BC181" i="2" a="1"/>
  <c r="BC181" i="2" s="1"/>
  <c r="BC84" i="2" a="1"/>
  <c r="BC84" i="2" s="1"/>
  <c r="BC126" i="2" a="1"/>
  <c r="BC126" i="2" s="1"/>
  <c r="BC58" i="2" a="1"/>
  <c r="BC58" i="2" s="1"/>
  <c r="BC18" i="2" a="1"/>
  <c r="BC18" i="2" s="1"/>
  <c r="BC130" i="2" a="1"/>
  <c r="BC130" i="2" s="1"/>
  <c r="BC34" i="2" a="1"/>
  <c r="BC34" i="2" s="1"/>
  <c r="BC55" i="2" a="1"/>
  <c r="BC55" i="2" s="1"/>
  <c r="BC83" i="2" a="1"/>
  <c r="BC83" i="2" s="1"/>
  <c r="BC38" i="2" a="1"/>
  <c r="BC38" i="2" s="1"/>
  <c r="BC151" i="2" a="1"/>
  <c r="BC151" i="2" s="1"/>
  <c r="CS129" i="2" a="1"/>
  <c r="CS129" i="2" s="1"/>
  <c r="CS52" i="2" a="1"/>
  <c r="CS52" i="2" s="1"/>
  <c r="CS66" i="2" a="1"/>
  <c r="CS66" i="2" s="1"/>
  <c r="AH19" i="2" a="1"/>
  <c r="AH19" i="2" s="1"/>
  <c r="AH90" i="2" a="1"/>
  <c r="AH90" i="2" s="1"/>
  <c r="AH151" i="2" a="1"/>
  <c r="AH151" i="2" s="1"/>
  <c r="AH163" i="2" a="1"/>
  <c r="AH163" i="2" s="1"/>
  <c r="AH62" i="2" a="1"/>
  <c r="AH62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CN203" i="2" s="1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M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M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<sst xmlns="http://schemas.openxmlformats.org/spreadsheetml/2006/main" count="1173" uniqueCount="326">
  <si>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</si>
  <si>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</si>
  <si>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</si>
  <si>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</si>
  <si>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</si>
  <si>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</si>
  <si>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</si>
  <si>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</si>
  <si>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</si>
  <si>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</si>
  <si>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</si>
  <si>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</si>
  <si>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</si>
  <si>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</si>
  <si>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</si>
  <si>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</si>
  <si>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</si>
  <si>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</si>
  <si>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</si>
  <si>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</si>
  <si>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</si>
  <si>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</si>
  <si>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</si>
  <si>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</si>
  <si>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</si>
  <si>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</si>
  <si>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</si>
  <si>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</si>
  <si>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</si>
  <si>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</si>
  <si>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</si>
  <si>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</si>
  <si>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</si>
  <si>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</si>
  <si>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</si>
  <si>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</si>
  <si>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</si>
  <si>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</si>
  <si>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</si>
  <si>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</si>
  <si>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</si>
  <si>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</si>
  <si>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</si>
  <si>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</si>
  <si>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</si>
  <si>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</si>
  <si>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</si>
  <si>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</si>
  <si>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</si>
  <si>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</si>
  <si>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</si>
  <si>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</si>
  <si>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</si>
  <si>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</si>
  <si>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</si>
  <si>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</si>
  <si>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</si>
  <si>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</si>
  <si>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</si>
  <si>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</si>
  <si>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</si>
  <si>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</si>
  <si>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</si>
  <si>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</si>
  <si>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</si>
  <si>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</si>
  <si>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</si>
  <si>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</si>
  <si>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</si>
  <si>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</si>
  <si>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</si>
  <si>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</si>
  <si>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</si>
  <si>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</si>
  <si>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</si>
  <si>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</si>
  <si>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</si>
  <si>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</si>
  <si>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</si>
  <si>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</si>
  <si>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</si>
  <si>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</si>
  <si>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</si>
  <si>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</si>
  <si>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</si>
  <si>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</si>
  <si>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</si>
  <si>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</si>
  <si>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</si>
  <si>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</si>
  <si>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</si>
  <si>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</si>
  <si>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</si>
  <si>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</si>
  <si>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</si>
  <si>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</si>
  <si>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</si>
  <si>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</si>
  <si>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</si>
  <si>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</si>
  <si>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</si>
  <si>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</si>
  <si>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</si>
  <si>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</si>
  <si>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</si>
  <si>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</si>
  <si>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</si>
  <si>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</si>
  <si>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</si>
  <si>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</si>
  <si>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</si>
  <si>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</si>
  <si>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</si>
  <si>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</si>
  <si>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</si>
  <si>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</si>
  <si>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</si>
  <si>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</si>
  <si>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</si>
  <si>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</si>
  <si>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</si>
  <si>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</si>
  <si>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</si>
  <si>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</si>
  <si>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</si>
  <si>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</si>
  <si>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</si>
  <si>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</si>
  <si>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</si>
  <si>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</si>
  <si>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</si>
  <si>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</si>
  <si>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</si>
  <si>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</si>
  <si>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</si>
  <si>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</si>
  <si>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</si>
  <si>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</si>
  <si>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</si>
  <si>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</si>
  <si>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</si>
  <si>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</si>
  <si>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</si>
  <si>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</si>
  <si>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</si>
  <si>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</si>
  <si>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</si>
  <si>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</si>
  <si>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</si>
  <si>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</si>
  <si>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</si>
  <si>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</si>
  <si>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</si>
  <si>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</si>
  <si>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</si>
  <si>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</si>
  <si>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</si>
  <si>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</si>
  <si>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</si>
  <si>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</si>
  <si>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</si>
  <si>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</si>
  <si>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</si>
  <si>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</si>
  <si>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</si>
  <si>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</si>
  <si>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</si>
  <si>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</si>
  <si>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</si>
  <si>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</si>
  <si>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</si>
  <si>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</si>
  <si>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</si>
  <si>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</si>
  <si>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</si>
  <si>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</si>
  <si>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</si>
  <si>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</si>
  <si>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</si>
  <si>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</si>
  <si>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</si>
  <si>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</si>
  <si>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</si>
  <si>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</si>
  <si>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</si>
  <si>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</si>
  <si>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</si>
  <si>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</si>
  <si>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</si>
  <si>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</si>
  <si>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</si>
  <si>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</si>
  <si>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</si>
  <si>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</si>
  <si>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</si>
  <si>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</si>
  <si>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</si>
  <si>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</si>
  <si>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</si>
  <si>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</si>
  <si>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</si>
  <si>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</si>
  <si>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</si>
  <si>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</si>
  <si>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</si>
  <si>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</si>
  <si>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</si>
  <si>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</si>
  <si>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</si>
  <si>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</si>
  <si>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</si>
  <si>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</si>
  <si>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</si>
  <si>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</si>
  <si>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</si>
  <si>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</si>
  <si>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</si>
  <si>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</si>
  <si>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</si>
  <si>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</si>
  <si>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</si>
  <si>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</si>
  <si>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</si>
  <si>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</si>
  <si>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</si>
  <si>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</si>
  <si>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</si>
  <si>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</si>
  <si>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</si>
  <si>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</si>
  <si>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</si>
  <si>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</si>
  <si>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</si>
  <si>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</si>
  <si>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</si>
  <si>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</si>
  <si>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</si>
  <si>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</si>
  <si>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</si>
  <si>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</si>
  <si>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</si>
  <si>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</si>
  <si>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</si>
  <si>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</si>
  <si>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</si>
  <si>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</si>
  <si>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</si>
  <si>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</si>
  <si>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</si>
  <si>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</si>
  <si>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</si>
  <si>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</si>
  <si>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</si>
  <si>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</si>
  <si>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</si>
  <si>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</si>
  <si>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</si>
  <si>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</si>
  <si>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</si>
  <si>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</si>
  <si>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</si>
  <si>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</si>
  <si>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</si>
  <si>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</si>
  <si>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</si>
  <si>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</si>
  <si>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</si>
  <si>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</si>
  <si>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</si>
  <si>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</si>
  <si>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</si>
  <si>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</si>
  <si>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</si>
  <si>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</si>
  <si>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</si>
  <si>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</si>
  <si>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</si>
  <si>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</si>
  <si>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</si>
  <si>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</si>
  <si>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</si>
  <si>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</si>
  <si>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</si>
  <si>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</si>
  <si>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</si>
  <si>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</si>
  <si>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</si>
  <si>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</si>
  <si>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</si>
  <si>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</si>
  <si>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</si>
  <si>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</si>
  <si>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</si>
  <si>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</si>
  <si>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</si>
  <si>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</si>
  <si>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</si>
  <si>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</si>
  <si>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</si>
  <si>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</si>
  <si>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</si>
  <si>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</si>
  <si>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</si>
  <si>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</si>
  <si>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</si>
  <si>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</si>
  <si>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</si>
  <si>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</si>
  <si>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</si>
  <si>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</si>
  <si>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</si>
  <si>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</si>
  <si>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</si>
  <si>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</si>
  <si>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</si>
  <si>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</si>
  <si>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</si>
  <si>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</si>
  <si>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</si>
  <si>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</si>
  <si>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</si>
  <si>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</si>
  <si>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</si>
  <si>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</si>
  <si>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douglas</t>
  </si>
  <si>
    <t>pin taeda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</si>
</sst>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1.876233189998038</c:v>
                </c:pt>
                <c:pt idx="2">
                  <c:v>2.4221020119216585</c:v>
                </c:pt>
                <c:pt idx="3">
                  <c:v>3.1274303333147428</c:v>
                </c:pt>
                <c:pt idx="4">
                  <c:v>4.0389774557224944</c:v>
                </c:pt>
                <c:pt idx="5">
                  <c:v>5.2172630626744434</c:v>
                </c:pt>
                <c:pt idx="6">
                  <c:v>6.7406300094102312</c:v>
                </c:pt>
                <c:pt idx="7">
                  <c:v>8.7105103068045704</c:v>
                </c:pt>
                <c:pt idx="8">
                  <c:v>11.258251615526754</c:v>
                </c:pt>
                <c:pt idx="9">
                  <c:v>14.553967947937716</c:v>
                </c:pt>
                <c:pt idx="10">
                  <c:v>18.818016401466895</c:v>
                </c:pt>
                <c:pt idx="11">
                  <c:v>24.335881110556681</c:v>
                </c:pt>
                <c:pt idx="12">
                  <c:v>31.477478540701004</c:v>
                </c:pt>
                <c:pt idx="13">
                  <c:v>40.722200790569744</c:v>
                </c:pt>
                <c:pt idx="14">
                  <c:v>52.691406556297359</c:v>
                </c:pt>
                <c:pt idx="15">
                  <c:v>68.190579935279629</c:v>
                </c:pt>
                <c:pt idx="16">
                  <c:v>88.264040522074353</c:v>
                </c:pt>
                <c:pt idx="17">
                  <c:v>114.26595006222796</c:v>
                </c:pt>
                <c:pt idx="18">
                  <c:v>147.95248081283867</c:v>
                </c:pt>
                <c:pt idx="19">
                  <c:v>191.60146612159338</c:v>
                </c:pt>
                <c:pt idx="20">
                  <c:v>216.18647368682664</c:v>
                </c:pt>
                <c:pt idx="21">
                  <c:v>240.70714044550854</c:v>
                </c:pt>
                <c:pt idx="22">
                  <c:v>188.87090934206267</c:v>
                </c:pt>
                <c:pt idx="23">
                  <c:v>214.98109510056551</c:v>
                </c:pt>
                <c:pt idx="24">
                  <c:v>241.018248922053</c:v>
                </c:pt>
                <c:pt idx="25">
                  <c:v>266.99136970847246</c:v>
                </c:pt>
                <c:pt idx="26">
                  <c:v>292.90756031220479</c:v>
                </c:pt>
                <c:pt idx="27">
                  <c:v>318.77256321643932</c:v>
                </c:pt>
                <c:pt idx="28">
                  <c:v>344.59111272829563</c:v>
                </c:pt>
                <c:pt idx="29">
                  <c:v>291.5692824343468</c:v>
                </c:pt>
                <c:pt idx="30">
                  <c:v>319.4147749371653</c:v>
                </c:pt>
                <c:pt idx="31">
                  <c:v>347.20654312637589</c:v>
                </c:pt>
                <c:pt idx="32">
                  <c:v>374.94948796267522</c:v>
                </c:pt>
                <c:pt idx="33">
                  <c:v>402.64772617105814</c:v>
                </c:pt>
                <c:pt idx="34">
                  <c:v>430.30476217007725</c:v>
                </c:pt>
                <c:pt idx="35">
                  <c:v>457.92361345472085</c:v>
                </c:pt>
                <c:pt idx="36">
                  <c:v>382.03503582506414</c:v>
                </c:pt>
                <c:pt idx="37">
                  <c:v>409.19922205124954</c:v>
                </c:pt>
                <c:pt idx="38">
                  <c:v>436.32447725278098</c:v>
                </c:pt>
                <c:pt idx="39">
                  <c:v>463.41355924810642</c:v>
                </c:pt>
                <c:pt idx="40">
                  <c:v>490.46887740764834</c:v>
                </c:pt>
                <c:pt idx="41">
                  <c:v>517.49255386051107</c:v>
                </c:pt>
                <c:pt idx="42">
                  <c:v>544.48647125175023</c:v>
                </c:pt>
                <c:pt idx="43">
                  <c:v>452.07459634378012</c:v>
                </c:pt>
                <c:pt idx="44">
                  <c:v>478.09239623400526</c:v>
                </c:pt>
                <c:pt idx="45">
                  <c:v>504.08010035598926</c:v>
                </c:pt>
                <c:pt idx="46">
                  <c:v>530.03947668561875</c:v>
                </c:pt>
                <c:pt idx="47">
                  <c:v>555.97210607718182</c:v>
                </c:pt>
                <c:pt idx="48">
                  <c:v>581.87941004696063</c:v>
                </c:pt>
                <c:pt idx="49">
                  <c:v>607.76267335393857</c:v>
                </c:pt>
                <c:pt idx="50">
                  <c:v>498.72181261790985</c:v>
                </c:pt>
                <c:pt idx="51">
                  <c:v>522.77570769625004</c:v>
                </c:pt>
                <c:pt idx="52">
                  <c:v>546.80628686047896</c:v>
                </c:pt>
                <c:pt idx="53">
                  <c:v>570.81471779944991</c:v>
                </c:pt>
                <c:pt idx="54">
                  <c:v>594.80206206973287</c:v>
                </c:pt>
                <c:pt idx="55">
                  <c:v>618.76928871875054</c:v>
                </c:pt>
                <c:pt idx="56">
                  <c:v>642.71728568895776</c:v>
                </c:pt>
                <c:pt idx="57">
                  <c:v>553.08091315642696</c:v>
                </c:pt>
                <c:pt idx="58">
                  <c:v>575.02795262432016</c:v>
                </c:pt>
                <c:pt idx="59">
                  <c:v>596.9575126936345</c:v>
                </c:pt>
                <c:pt idx="60">
                  <c:v>618.87032518267222</c:v>
                </c:pt>
                <c:pt idx="61">
                  <c:v>640.76706591360471</c:v>
                </c:pt>
                <c:pt idx="62">
                  <c:v>662.64836080260773</c:v>
                </c:pt>
                <c:pt idx="63">
                  <c:v>684.51479110444382</c:v>
                </c:pt>
                <c:pt idx="64">
                  <c:v>587.03080587133184</c:v>
                </c:pt>
                <c:pt idx="65">
                  <c:v>606.78392125207699</c:v>
                </c:pt>
                <c:pt idx="66">
                  <c:v>626.52368994592871</c:v>
                </c:pt>
                <c:pt idx="67">
                  <c:v>646.25059127404677</c:v>
                </c:pt>
                <c:pt idx="68">
                  <c:v>665.96507293676598</c:v>
                </c:pt>
                <c:pt idx="69">
                  <c:v>685.66755399284511</c:v>
                </c:pt>
                <c:pt idx="70">
                  <c:v>704.57665364194065</c:v>
                </c:pt>
                <c:pt idx="71">
                  <c:v>1.8635787380168604E-12</c:v>
                </c:pt>
                <c:pt idx="72">
                  <c:v>1.8635787380168604E-12</c:v>
                </c:pt>
                <c:pt idx="73">
                  <c:v>1.8635787380168604E-12</c:v>
                </c:pt>
                <c:pt idx="74">
                  <c:v>1.8635787380168604E-12</c:v>
                </c:pt>
                <c:pt idx="75">
                  <c:v>1.8635787380168604E-12</c:v>
                </c:pt>
                <c:pt idx="76">
                  <c:v>1.8635787380168604E-12</c:v>
                </c:pt>
                <c:pt idx="77">
                  <c:v>1.8635787380168604E-12</c:v>
                </c:pt>
                <c:pt idx="78">
                  <c:v>1.8635787380168604E-12</c:v>
                </c:pt>
                <c:pt idx="79">
                  <c:v>1.8635787380168604E-12</c:v>
                </c:pt>
                <c:pt idx="80">
                  <c:v>1.8635787380168604E-12</c:v>
                </c:pt>
                <c:pt idx="81">
                  <c:v>1.8635787380168604E-12</c:v>
                </c:pt>
                <c:pt idx="82">
                  <c:v>1.8635787380168604E-12</c:v>
                </c:pt>
                <c:pt idx="83">
                  <c:v>1.8635787380168604E-12</c:v>
                </c:pt>
                <c:pt idx="84">
                  <c:v>1.8635787380168604E-12</c:v>
                </c:pt>
                <c:pt idx="85">
                  <c:v>1.8635787380168604E-12</c:v>
                </c:pt>
                <c:pt idx="86">
                  <c:v>1.8635787380168604E-12</c:v>
                </c:pt>
                <c:pt idx="87">
                  <c:v>1.8635787380168604E-12</c:v>
                </c:pt>
                <c:pt idx="88">
                  <c:v>1.8635787380168604E-12</c:v>
                </c:pt>
                <c:pt idx="89">
                  <c:v>1.8635787380168604E-12</c:v>
                </c:pt>
                <c:pt idx="90">
                  <c:v>1.8635787380168604E-12</c:v>
                </c:pt>
                <c:pt idx="91">
                  <c:v>1.8635787380168604E-12</c:v>
                </c:pt>
                <c:pt idx="92">
                  <c:v>1.8635787380168604E-12</c:v>
                </c:pt>
                <c:pt idx="93">
                  <c:v>1.8635787380168604E-12</c:v>
                </c:pt>
                <c:pt idx="94">
                  <c:v>1.8635787380168604E-12</c:v>
                </c:pt>
                <c:pt idx="95">
                  <c:v>1.8635787380168604E-12</c:v>
                </c:pt>
                <c:pt idx="96">
                  <c:v>1.8635787380168604E-12</c:v>
                </c:pt>
                <c:pt idx="97">
                  <c:v>1.8635787380168604E-12</c:v>
                </c:pt>
                <c:pt idx="98">
                  <c:v>1.8635787380168604E-12</c:v>
                </c:pt>
                <c:pt idx="99">
                  <c:v>1.8635787380168604E-12</c:v>
                </c:pt>
                <c:pt idx="100">
                  <c:v>1.8635787380168604E-12</c:v>
                </c:pt>
                <c:pt idx="101">
                  <c:v>1.8635787380168604E-12</c:v>
                </c:pt>
                <c:pt idx="102">
                  <c:v>1.8635787380168604E-12</c:v>
                </c:pt>
                <c:pt idx="103">
                  <c:v>1.8635787380168604E-12</c:v>
                </c:pt>
                <c:pt idx="104">
                  <c:v>1.8635787380168604E-12</c:v>
                </c:pt>
                <c:pt idx="105">
                  <c:v>1.8635787380168604E-12</c:v>
                </c:pt>
                <c:pt idx="106">
                  <c:v>1.8635787380168604E-12</c:v>
                </c:pt>
                <c:pt idx="107">
                  <c:v>1.8635787380168604E-12</c:v>
                </c:pt>
                <c:pt idx="108">
                  <c:v>1.8635787380168604E-12</c:v>
                </c:pt>
                <c:pt idx="109">
                  <c:v>1.8635787380168604E-12</c:v>
                </c:pt>
                <c:pt idx="110">
                  <c:v>1.8635787380168604E-12</c:v>
                </c:pt>
                <c:pt idx="111">
                  <c:v>1.8635787380168604E-12</c:v>
                </c:pt>
                <c:pt idx="112">
                  <c:v>1.8635787380168604E-12</c:v>
                </c:pt>
                <c:pt idx="113">
                  <c:v>1.8635787380168604E-12</c:v>
                </c:pt>
                <c:pt idx="114">
                  <c:v>1.8635787380168604E-12</c:v>
                </c:pt>
                <c:pt idx="115">
                  <c:v>1.8635787380168604E-12</c:v>
                </c:pt>
                <c:pt idx="116">
                  <c:v>1.8635787380168604E-12</c:v>
                </c:pt>
                <c:pt idx="117">
                  <c:v>1.8635787380168604E-12</c:v>
                </c:pt>
                <c:pt idx="118">
                  <c:v>1.8635787380168604E-12</c:v>
                </c:pt>
                <c:pt idx="119">
                  <c:v>1.8635787380168604E-12</c:v>
                </c:pt>
                <c:pt idx="120">
                  <c:v>1.8635787380168604E-12</c:v>
                </c:pt>
                <c:pt idx="121">
                  <c:v>1.8635787380168604E-12</c:v>
                </c:pt>
                <c:pt idx="122">
                  <c:v>1.8635787380168604E-12</c:v>
                </c:pt>
                <c:pt idx="123">
                  <c:v>1.8635787380168604E-12</c:v>
                </c:pt>
                <c:pt idx="124">
                  <c:v>1.8635787380168604E-12</c:v>
                </c:pt>
                <c:pt idx="125">
                  <c:v>1.8635787380168604E-12</c:v>
                </c:pt>
                <c:pt idx="126">
                  <c:v>1.8635787380168604E-12</c:v>
                </c:pt>
                <c:pt idx="127">
                  <c:v>1.8635787380168604E-12</c:v>
                </c:pt>
                <c:pt idx="128">
                  <c:v>1.8635787380168604E-12</c:v>
                </c:pt>
                <c:pt idx="129">
                  <c:v>1.8635787380168604E-12</c:v>
                </c:pt>
                <c:pt idx="130">
                  <c:v>1.8635787380168604E-12</c:v>
                </c:pt>
                <c:pt idx="131">
                  <c:v>1.8635787380168604E-12</c:v>
                </c:pt>
                <c:pt idx="132">
                  <c:v>1.8635787380168604E-12</c:v>
                </c:pt>
                <c:pt idx="133">
                  <c:v>1.8635787380168604E-12</c:v>
                </c:pt>
                <c:pt idx="134">
                  <c:v>1.8635787380168604E-12</c:v>
                </c:pt>
                <c:pt idx="135">
                  <c:v>1.8635787380168604E-12</c:v>
                </c:pt>
                <c:pt idx="136">
                  <c:v>1.8635787380168604E-12</c:v>
                </c:pt>
                <c:pt idx="137">
                  <c:v>1.8635787380168604E-12</c:v>
                </c:pt>
                <c:pt idx="138">
                  <c:v>1.8635787380168604E-12</c:v>
                </c:pt>
                <c:pt idx="139">
                  <c:v>1.8635787380168604E-12</c:v>
                </c:pt>
                <c:pt idx="140">
                  <c:v>1.8635787380168604E-12</c:v>
                </c:pt>
                <c:pt idx="141">
                  <c:v>1.8635787380168604E-12</c:v>
                </c:pt>
                <c:pt idx="142">
                  <c:v>1.8635787380168604E-12</c:v>
                </c:pt>
                <c:pt idx="143">
                  <c:v>1.8635787380168604E-12</c:v>
                </c:pt>
                <c:pt idx="144">
                  <c:v>1.8635787380168604E-12</c:v>
                </c:pt>
                <c:pt idx="145">
                  <c:v>1.8635787380168604E-12</c:v>
                </c:pt>
                <c:pt idx="146">
                  <c:v>1.8635787380168604E-12</c:v>
                </c:pt>
                <c:pt idx="147">
                  <c:v>1.8635787380168604E-12</c:v>
                </c:pt>
                <c:pt idx="148">
                  <c:v>1.8635787380168604E-12</c:v>
                </c:pt>
                <c:pt idx="149">
                  <c:v>1.8635787380168604E-12</c:v>
                </c:pt>
                <c:pt idx="150">
                  <c:v>1.8635787380168604E-12</c:v>
                </c:pt>
                <c:pt idx="151">
                  <c:v>1.8635787380168604E-12</c:v>
                </c:pt>
                <c:pt idx="152">
                  <c:v>1.8635787380168604E-12</c:v>
                </c:pt>
                <c:pt idx="153">
                  <c:v>1.8635787380168604E-12</c:v>
                </c:pt>
                <c:pt idx="154">
                  <c:v>1.8635787380168604E-12</c:v>
                </c:pt>
                <c:pt idx="155">
                  <c:v>1.8635787380168604E-12</c:v>
                </c:pt>
                <c:pt idx="156">
                  <c:v>1.8635787380168604E-12</c:v>
                </c:pt>
                <c:pt idx="157">
                  <c:v>1.8635787380168604E-12</c:v>
                </c:pt>
                <c:pt idx="158">
                  <c:v>1.8635787380168604E-12</c:v>
                </c:pt>
                <c:pt idx="159">
                  <c:v>1.8635787380168604E-12</c:v>
                </c:pt>
                <c:pt idx="160">
                  <c:v>1.8635787380168604E-12</c:v>
                </c:pt>
                <c:pt idx="161">
                  <c:v>1.8635787380168604E-12</c:v>
                </c:pt>
                <c:pt idx="162">
                  <c:v>1.8635787380168604E-12</c:v>
                </c:pt>
                <c:pt idx="163">
                  <c:v>1.8635787380168604E-12</c:v>
                </c:pt>
                <c:pt idx="164">
                  <c:v>1.8635787380168604E-12</c:v>
                </c:pt>
                <c:pt idx="165">
                  <c:v>1.8635787380168604E-12</c:v>
                </c:pt>
                <c:pt idx="166">
                  <c:v>1.8635787380168604E-12</c:v>
                </c:pt>
                <c:pt idx="167">
                  <c:v>1.8635787380168604E-12</c:v>
                </c:pt>
                <c:pt idx="168">
                  <c:v>1.8635787380168604E-12</c:v>
                </c:pt>
                <c:pt idx="169">
                  <c:v>1.8635787380168604E-12</c:v>
                </c:pt>
                <c:pt idx="170">
                  <c:v>1.8635787380168604E-12</c:v>
                </c:pt>
                <c:pt idx="171">
                  <c:v>1.8635787380168604E-12</c:v>
                </c:pt>
                <c:pt idx="172">
                  <c:v>1.8635787380168604E-12</c:v>
                </c:pt>
                <c:pt idx="173">
                  <c:v>1.8635787380168604E-12</c:v>
                </c:pt>
                <c:pt idx="174">
                  <c:v>1.8635787380168604E-12</c:v>
                </c:pt>
                <c:pt idx="175">
                  <c:v>1.8635787380168604E-12</c:v>
                </c:pt>
                <c:pt idx="176">
                  <c:v>1.8635787380168604E-12</c:v>
                </c:pt>
                <c:pt idx="177">
                  <c:v>1.8635787380168604E-12</c:v>
                </c:pt>
                <c:pt idx="178">
                  <c:v>1.8635787380168604E-12</c:v>
                </c:pt>
                <c:pt idx="179">
                  <c:v>1.8635787380168604E-12</c:v>
                </c:pt>
                <c:pt idx="180">
                  <c:v>1.8635787380168604E-12</c:v>
                </c:pt>
                <c:pt idx="181">
                  <c:v>1.8635787380168604E-12</c:v>
                </c:pt>
                <c:pt idx="182">
                  <c:v>1.8635787380168604E-12</c:v>
                </c:pt>
                <c:pt idx="183">
                  <c:v>1.8635787380168604E-12</c:v>
                </c:pt>
                <c:pt idx="184">
                  <c:v>1.8635787380168604E-12</c:v>
                </c:pt>
                <c:pt idx="185">
                  <c:v>1.8635787380168604E-12</c:v>
                </c:pt>
                <c:pt idx="186">
                  <c:v>1.8635787380168604E-12</c:v>
                </c:pt>
                <c:pt idx="187">
                  <c:v>1.8635787380168604E-12</c:v>
                </c:pt>
                <c:pt idx="188">
                  <c:v>1.8635787380168604E-12</c:v>
                </c:pt>
                <c:pt idx="189">
                  <c:v>1.8635787380168604E-12</c:v>
                </c:pt>
                <c:pt idx="190">
                  <c:v>1.8635787380168604E-12</c:v>
                </c:pt>
                <c:pt idx="191">
                  <c:v>1.8635787380168604E-12</c:v>
                </c:pt>
                <c:pt idx="192">
                  <c:v>1.8635787380168604E-12</c:v>
                </c:pt>
                <c:pt idx="193">
                  <c:v>1.8635787380168604E-12</c:v>
                </c:pt>
                <c:pt idx="194">
                  <c:v>1.8635787380168604E-12</c:v>
                </c:pt>
                <c:pt idx="195">
                  <c:v>1.8635787380168604E-12</c:v>
                </c:pt>
                <c:pt idx="196">
                  <c:v>1.8635787380168604E-12</c:v>
                </c:pt>
                <c:pt idx="197">
                  <c:v>1.8635787380168604E-12</c:v>
                </c:pt>
                <c:pt idx="198">
                  <c:v>1.8635787380168604E-12</c:v>
                </c:pt>
                <c:pt idx="199">
                  <c:v>1.8635787380168604E-12</c:v>
                </c:pt>
                <c:pt idx="200">
                  <c:v>1.8635787380168604E-12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2.1351543089605536</c:v>
                </c:pt>
                <c:pt idx="2">
                  <c:v>2.9400965887437809</c:v>
                </c:pt>
                <c:pt idx="3">
                  <c:v>4.0497962162231431</c:v>
                </c:pt>
                <c:pt idx="4">
                  <c:v>5.5800993020168193</c:v>
                </c:pt>
                <c:pt idx="5">
                  <c:v>7.6910522052796955</c:v>
                </c:pt>
                <c:pt idx="6">
                  <c:v>10.603823838311754</c:v>
                </c:pt>
                <c:pt idx="7">
                  <c:v>14.624127196100055</c:v>
                </c:pt>
                <c:pt idx="8">
                  <c:v>20.174643388865338</c:v>
                </c:pt>
                <c:pt idx="9">
                  <c:v>27.839918139949148</c:v>
                </c:pt>
                <c:pt idx="10">
                  <c:v>38.428541572191371</c:v>
                </c:pt>
                <c:pt idx="11">
                  <c:v>53.059282280913983</c:v>
                </c:pt>
                <c:pt idx="12">
                  <c:v>73.28042772070998</c:v>
                </c:pt>
                <c:pt idx="13">
                  <c:v>101.2351647140362</c:v>
                </c:pt>
                <c:pt idx="14">
                  <c:v>104.08100470949104</c:v>
                </c:pt>
                <c:pt idx="15">
                  <c:v>126.56525127580693</c:v>
                </c:pt>
                <c:pt idx="16">
                  <c:v>148.95241602484973</c:v>
                </c:pt>
                <c:pt idx="17">
                  <c:v>171.25918074522826</c:v>
                </c:pt>
                <c:pt idx="18">
                  <c:v>193.49750480852299</c:v>
                </c:pt>
                <c:pt idx="19">
                  <c:v>215.67636522938469</c:v>
                </c:pt>
                <c:pt idx="20">
                  <c:v>185.30042247535178</c:v>
                </c:pt>
                <c:pt idx="21">
                  <c:v>206.63925413557971</c:v>
                </c:pt>
                <c:pt idx="22">
                  <c:v>227.92715942733059</c:v>
                </c:pt>
                <c:pt idx="23">
                  <c:v>249.16956379358496</c:v>
                </c:pt>
                <c:pt idx="24">
                  <c:v>270.37089120353011</c:v>
                </c:pt>
                <c:pt idx="25">
                  <c:v>291.53481477536712</c:v>
                </c:pt>
                <c:pt idx="26">
                  <c:v>239.90544326410898</c:v>
                </c:pt>
                <c:pt idx="27">
                  <c:v>257.6548036297558</c:v>
                </c:pt>
                <c:pt idx="28">
                  <c:v>275.37652518894964</c:v>
                </c:pt>
                <c:pt idx="29">
                  <c:v>293.0726366827804</c:v>
                </c:pt>
                <c:pt idx="30">
                  <c:v>310.74490180919639</c:v>
                </c:pt>
                <c:pt idx="31">
                  <c:v>326.89289569121826</c:v>
                </c:pt>
                <c:pt idx="32">
                  <c:v>343.02327921316777</c:v>
                </c:pt>
                <c:pt idx="33">
                  <c:v>359.13699693842636</c:v>
                </c:pt>
                <c:pt idx="34">
                  <c:v>375.23490175863373</c:v>
                </c:pt>
                <c:pt idx="35">
                  <c:v>391.31776742377127</c:v>
                </c:pt>
                <c:pt idx="36">
                  <c:v>407.38629890446555</c:v>
                </c:pt>
                <c:pt idx="37">
                  <c:v>423.44114103397595</c:v>
                </c:pt>
                <c:pt idx="38">
                  <c:v>439.48288577116256</c:v>
                </c:pt>
                <c:pt idx="39">
                  <c:v>1.0676332069095257E-12</c:v>
                </c:pt>
                <c:pt idx="40">
                  <c:v>1.0676332069095257E-12</c:v>
                </c:pt>
                <c:pt idx="41">
                  <c:v>1.0676332069095257E-12</c:v>
                </c:pt>
                <c:pt idx="42">
                  <c:v>1.0676332069095257E-12</c:v>
                </c:pt>
                <c:pt idx="43">
                  <c:v>1.0676332069095257E-12</c:v>
                </c:pt>
                <c:pt idx="44">
                  <c:v>1.0676332069095257E-12</c:v>
                </c:pt>
                <c:pt idx="45">
                  <c:v>1.0676332069095257E-12</c:v>
                </c:pt>
                <c:pt idx="46">
                  <c:v>1.0676332069095257E-12</c:v>
                </c:pt>
                <c:pt idx="47">
                  <c:v>1.0676332069095257E-12</c:v>
                </c:pt>
                <c:pt idx="48">
                  <c:v>1.0676332069095257E-12</c:v>
                </c:pt>
                <c:pt idx="49">
                  <c:v>1.0676332069095257E-12</c:v>
                </c:pt>
                <c:pt idx="50">
                  <c:v>1.0676332069095257E-12</c:v>
                </c:pt>
                <c:pt idx="51">
                  <c:v>1.0676332069095257E-12</c:v>
                </c:pt>
                <c:pt idx="52">
                  <c:v>1.0676332069095257E-12</c:v>
                </c:pt>
                <c:pt idx="53">
                  <c:v>1.0676332069095257E-12</c:v>
                </c:pt>
                <c:pt idx="54">
                  <c:v>1.0676332069095257E-12</c:v>
                </c:pt>
                <c:pt idx="55">
                  <c:v>1.0676332069095257E-12</c:v>
                </c:pt>
                <c:pt idx="56">
                  <c:v>1.0676332069095257E-12</c:v>
                </c:pt>
                <c:pt idx="57">
                  <c:v>1.0676332069095257E-12</c:v>
                </c:pt>
                <c:pt idx="58">
                  <c:v>1.0676332069095257E-12</c:v>
                </c:pt>
                <c:pt idx="59">
                  <c:v>1.0676332069095257E-12</c:v>
                </c:pt>
                <c:pt idx="60">
                  <c:v>1.0676332069095257E-12</c:v>
                </c:pt>
                <c:pt idx="61">
                  <c:v>1.0676332069095257E-12</c:v>
                </c:pt>
                <c:pt idx="62">
                  <c:v>1.0676332069095257E-12</c:v>
                </c:pt>
                <c:pt idx="63">
                  <c:v>1.0676332069095257E-12</c:v>
                </c:pt>
                <c:pt idx="64">
                  <c:v>1.0676332069095257E-12</c:v>
                </c:pt>
                <c:pt idx="65">
                  <c:v>1.0676332069095257E-12</c:v>
                </c:pt>
                <c:pt idx="66">
                  <c:v>1.0676332069095257E-12</c:v>
                </c:pt>
                <c:pt idx="67">
                  <c:v>1.0676332069095257E-12</c:v>
                </c:pt>
                <c:pt idx="68">
                  <c:v>1.0676332069095257E-12</c:v>
                </c:pt>
                <c:pt idx="69">
                  <c:v>1.0676332069095257E-12</c:v>
                </c:pt>
                <c:pt idx="70">
                  <c:v>1.0676332069095257E-12</c:v>
                </c:pt>
                <c:pt idx="71">
                  <c:v>1.0676332069095257E-12</c:v>
                </c:pt>
                <c:pt idx="72">
                  <c:v>1.0676332069095257E-12</c:v>
                </c:pt>
                <c:pt idx="73">
                  <c:v>1.0676332069095257E-12</c:v>
                </c:pt>
                <c:pt idx="74">
                  <c:v>1.0676332069095257E-12</c:v>
                </c:pt>
                <c:pt idx="75">
                  <c:v>1.0676332069095257E-12</c:v>
                </c:pt>
                <c:pt idx="76">
                  <c:v>1.0676332069095257E-12</c:v>
                </c:pt>
                <c:pt idx="77">
                  <c:v>1.0676332069095257E-12</c:v>
                </c:pt>
                <c:pt idx="78">
                  <c:v>1.0676332069095257E-12</c:v>
                </c:pt>
                <c:pt idx="79">
                  <c:v>1.0676332069095257E-12</c:v>
                </c:pt>
                <c:pt idx="80">
                  <c:v>1.0676332069095257E-12</c:v>
                </c:pt>
                <c:pt idx="81">
                  <c:v>1.0676332069095257E-12</c:v>
                </c:pt>
                <c:pt idx="82">
                  <c:v>1.0676332069095257E-12</c:v>
                </c:pt>
                <c:pt idx="83">
                  <c:v>1.0676332069095257E-12</c:v>
                </c:pt>
                <c:pt idx="84">
                  <c:v>1.0676332069095257E-12</c:v>
                </c:pt>
                <c:pt idx="85">
                  <c:v>1.0676332069095257E-12</c:v>
                </c:pt>
                <c:pt idx="86">
                  <c:v>1.0676332069095257E-12</c:v>
                </c:pt>
                <c:pt idx="87">
                  <c:v>1.0676332069095257E-12</c:v>
                </c:pt>
                <c:pt idx="88">
                  <c:v>1.0676332069095257E-12</c:v>
                </c:pt>
                <c:pt idx="89">
                  <c:v>1.0676332069095257E-12</c:v>
                </c:pt>
                <c:pt idx="90">
                  <c:v>1.0676332069095257E-12</c:v>
                </c:pt>
                <c:pt idx="91">
                  <c:v>1.0676332069095257E-12</c:v>
                </c:pt>
                <c:pt idx="92">
                  <c:v>1.0676332069095257E-12</c:v>
                </c:pt>
                <c:pt idx="93">
                  <c:v>1.0676332069095257E-12</c:v>
                </c:pt>
                <c:pt idx="94">
                  <c:v>1.0676332069095257E-12</c:v>
                </c:pt>
                <c:pt idx="95">
                  <c:v>1.0676332069095257E-12</c:v>
                </c:pt>
                <c:pt idx="96">
                  <c:v>1.0676332069095257E-12</c:v>
                </c:pt>
                <c:pt idx="97">
                  <c:v>1.0676332069095257E-12</c:v>
                </c:pt>
                <c:pt idx="98">
                  <c:v>1.0676332069095257E-12</c:v>
                </c:pt>
                <c:pt idx="99">
                  <c:v>1.0676332069095257E-12</c:v>
                </c:pt>
                <c:pt idx="100">
                  <c:v>1.0676332069095257E-12</c:v>
                </c:pt>
                <c:pt idx="101">
                  <c:v>1.0676332069095257E-12</c:v>
                </c:pt>
                <c:pt idx="102">
                  <c:v>1.0676332069095257E-12</c:v>
                </c:pt>
                <c:pt idx="103">
                  <c:v>1.0676332069095257E-12</c:v>
                </c:pt>
                <c:pt idx="104">
                  <c:v>1.0676332069095257E-12</c:v>
                </c:pt>
                <c:pt idx="105">
                  <c:v>1.0676332069095257E-12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2.9758156199557515</c:v>
                </c:pt>
                <c:pt idx="2">
                  <c:v>3.9653026569590337</c:v>
                </c:pt>
                <c:pt idx="3">
                  <c:v>5.2851463938399075</c:v>
                </c:pt>
                <c:pt idx="4">
                  <c:v>7.0460633538091342</c:v>
                </c:pt>
                <c:pt idx="5">
                  <c:v>9.3960075889199022</c:v>
                </c:pt>
                <c:pt idx="6">
                  <c:v>12.53273587814193</c:v>
                </c:pt>
                <c:pt idx="7">
                  <c:v>16.72062557445792</c:v>
                </c:pt>
                <c:pt idx="8">
                  <c:v>22.313188331922618</c:v>
                </c:pt>
                <c:pt idx="9">
                  <c:v>29.783213949804821</c:v>
                </c:pt>
                <c:pt idx="10">
                  <c:v>39.763136997095295</c:v>
                </c:pt>
                <c:pt idx="11">
                  <c:v>53.099101927027704</c:v>
                </c:pt>
                <c:pt idx="12">
                  <c:v>70.9233868359387</c:v>
                </c:pt>
                <c:pt idx="13">
                  <c:v>94.751434931417066</c:v>
                </c:pt>
                <c:pt idx="14">
                  <c:v>126.61187452414181</c:v>
                </c:pt>
                <c:pt idx="15">
                  <c:v>169.22076873606747</c:v>
                </c:pt>
                <c:pt idx="16">
                  <c:v>156.31763533587534</c:v>
                </c:pt>
                <c:pt idx="17">
                  <c:v>183.23613938898788</c:v>
                </c:pt>
                <c:pt idx="18">
                  <c:v>210.06205920782259</c:v>
                </c:pt>
                <c:pt idx="19">
                  <c:v>236.80889001154432</c:v>
                </c:pt>
                <c:pt idx="20">
                  <c:v>263.48682168593842</c:v>
                </c:pt>
                <c:pt idx="21">
                  <c:v>208.55295085965801</c:v>
                </c:pt>
                <c:pt idx="22">
                  <c:v>234.55138491384039</c:v>
                </c:pt>
                <c:pt idx="23">
                  <c:v>260.48403592293715</c:v>
                </c:pt>
                <c:pt idx="24">
                  <c:v>286.35837196420749</c:v>
                </c:pt>
                <c:pt idx="25">
                  <c:v>312.18040027213078</c:v>
                </c:pt>
                <c:pt idx="26">
                  <c:v>254.47610699585906</c:v>
                </c:pt>
                <c:pt idx="27">
                  <c:v>279.23900597474056</c:v>
                </c:pt>
                <c:pt idx="28">
                  <c:v>303.95265143464229</c:v>
                </c:pt>
                <c:pt idx="29">
                  <c:v>328.62160871118198</c:v>
                </c:pt>
                <c:pt idx="30">
                  <c:v>353.24970174806896</c:v>
                </c:pt>
                <c:pt idx="31">
                  <c:v>293.47377793906497</c:v>
                </c:pt>
                <c:pt idx="32">
                  <c:v>315.91868734548365</c:v>
                </c:pt>
                <c:pt idx="33">
                  <c:v>338.32827143043045</c:v>
                </c:pt>
                <c:pt idx="34">
                  <c:v>360.70519760433905</c:v>
                </c:pt>
                <c:pt idx="35">
                  <c:v>383.05177541071208</c:v>
                </c:pt>
                <c:pt idx="36">
                  <c:v>325.26014493454323</c:v>
                </c:pt>
                <c:pt idx="37">
                  <c:v>345.79075477962851</c:v>
                </c:pt>
                <c:pt idx="38">
                  <c:v>366.29460383970854</c:v>
                </c:pt>
                <c:pt idx="39">
                  <c:v>386.77339997206701</c:v>
                </c:pt>
                <c:pt idx="40">
                  <c:v>407.22865549260905</c:v>
                </c:pt>
                <c:pt idx="41">
                  <c:v>352.87683705646697</c:v>
                </c:pt>
                <c:pt idx="42">
                  <c:v>371.1372483365563</c:v>
                </c:pt>
                <c:pt idx="43">
                  <c:v>389.37807388667096</c:v>
                </c:pt>
                <c:pt idx="44">
                  <c:v>407.60035995338376</c:v>
                </c:pt>
                <c:pt idx="45">
                  <c:v>425.80505163704925</c:v>
                </c:pt>
                <c:pt idx="46">
                  <c:v>374.8614207616456</c:v>
                </c:pt>
                <c:pt idx="47">
                  <c:v>390.86628899650532</c:v>
                </c:pt>
                <c:pt idx="48">
                  <c:v>406.85694369927228</c:v>
                </c:pt>
                <c:pt idx="49">
                  <c:v>422.83402201018413</c:v>
                </c:pt>
                <c:pt idx="50">
                  <c:v>438.79810900392067</c:v>
                </c:pt>
                <c:pt idx="51">
                  <c:v>391.9823696123172</c:v>
                </c:pt>
                <c:pt idx="52">
                  <c:v>406.4852245657151</c:v>
                </c:pt>
                <c:pt idx="53">
                  <c:v>420.97690043878225</c:v>
                </c:pt>
                <c:pt idx="54">
                  <c:v>435.45783620208476</c:v>
                </c:pt>
                <c:pt idx="55">
                  <c:v>449.92843925372966</c:v>
                </c:pt>
                <c:pt idx="56">
                  <c:v>408.71542941668866</c:v>
                </c:pt>
                <c:pt idx="57">
                  <c:v>421.34833884363525</c:v>
                </c:pt>
                <c:pt idx="58">
                  <c:v>433.97309421022027</c:v>
                </c:pt>
                <c:pt idx="59">
                  <c:v>446.58996615169781</c:v>
                </c:pt>
                <c:pt idx="60">
                  <c:v>459.19920876443302</c:v>
                </c:pt>
                <c:pt idx="61">
                  <c:v>422.09119450330439</c:v>
                </c:pt>
                <c:pt idx="62">
                  <c:v>433.2306823305874</c:v>
                </c:pt>
                <c:pt idx="63">
                  <c:v>444.36402075569362</c:v>
                </c:pt>
                <c:pt idx="64">
                  <c:v>455.49138558575561</c:v>
                </c:pt>
                <c:pt idx="65">
                  <c:v>466.61294333655451</c:v>
                </c:pt>
                <c:pt idx="66">
                  <c:v>433.60189168293101</c:v>
                </c:pt>
                <c:pt idx="67">
                  <c:v>443.25095855050785</c:v>
                </c:pt>
                <c:pt idx="68">
                  <c:v>452.89552584845813</c:v>
                </c:pt>
                <c:pt idx="69">
                  <c:v>462.53570293273191</c:v>
                </c:pt>
                <c:pt idx="70">
                  <c:v>472.17159422788433</c:v>
                </c:pt>
                <c:pt idx="71">
                  <c:v>1.4960899118586383E-12</c:v>
                </c:pt>
                <c:pt idx="72">
                  <c:v>1.4960899118586383E-12</c:v>
                </c:pt>
                <c:pt idx="73">
                  <c:v>1.4960899118586383E-12</c:v>
                </c:pt>
                <c:pt idx="74">
                  <c:v>1.4960899118586383E-12</c:v>
                </c:pt>
                <c:pt idx="75">
                  <c:v>1.4960899118586383E-12</c:v>
                </c:pt>
                <c:pt idx="76">
                  <c:v>1.4960899118586383E-12</c:v>
                </c:pt>
                <c:pt idx="77">
                  <c:v>1.4960899118586383E-12</c:v>
                </c:pt>
                <c:pt idx="78">
                  <c:v>1.4960899118586383E-12</c:v>
                </c:pt>
                <c:pt idx="79">
                  <c:v>1.4960899118586383E-12</c:v>
                </c:pt>
                <c:pt idx="80">
                  <c:v>1.4960899118586383E-12</c:v>
                </c:pt>
                <c:pt idx="81">
                  <c:v>1.4960899118586383E-12</c:v>
                </c:pt>
                <c:pt idx="82">
                  <c:v>1.4960899118586383E-12</c:v>
                </c:pt>
                <c:pt idx="83">
                  <c:v>1.4960899118586383E-12</c:v>
                </c:pt>
                <c:pt idx="84">
                  <c:v>1.4960899118586383E-12</c:v>
                </c:pt>
                <c:pt idx="85">
                  <c:v>1.4960899118586383E-12</c:v>
                </c:pt>
                <c:pt idx="86">
                  <c:v>1.4960899118586383E-12</c:v>
                </c:pt>
                <c:pt idx="87">
                  <c:v>1.4960899118586383E-12</c:v>
                </c:pt>
                <c:pt idx="88">
                  <c:v>1.4960899118586383E-12</c:v>
                </c:pt>
                <c:pt idx="89">
                  <c:v>1.4960899118586383E-12</c:v>
                </c:pt>
                <c:pt idx="90">
                  <c:v>1.4960899118586383E-12</c:v>
                </c:pt>
                <c:pt idx="91">
                  <c:v>1.4960899118586383E-12</c:v>
                </c:pt>
                <c:pt idx="92">
                  <c:v>1.4960899118586383E-12</c:v>
                </c:pt>
                <c:pt idx="93">
                  <c:v>1.4960899118586383E-12</c:v>
                </c:pt>
                <c:pt idx="94">
                  <c:v>1.4960899118586383E-12</c:v>
                </c:pt>
                <c:pt idx="95">
                  <c:v>1.4960899118586383E-12</c:v>
                </c:pt>
                <c:pt idx="96">
                  <c:v>1.4960899118586383E-12</c:v>
                </c:pt>
                <c:pt idx="97">
                  <c:v>1.4960899118586383E-12</c:v>
                </c:pt>
                <c:pt idx="98">
                  <c:v>1.4960899118586383E-12</c:v>
                </c:pt>
                <c:pt idx="99">
                  <c:v>1.4960899118586383E-12</c:v>
                </c:pt>
                <c:pt idx="100">
                  <c:v>1.4960899118586383E-12</c:v>
                </c:pt>
                <c:pt idx="101">
                  <c:v>1.4960899118586383E-12</c:v>
                </c:pt>
                <c:pt idx="102">
                  <c:v>1.4960899118586383E-12</c:v>
                </c:pt>
                <c:pt idx="103">
                  <c:v>1.4960899118586383E-12</c:v>
                </c:pt>
                <c:pt idx="104">
                  <c:v>1.4960899118586383E-12</c:v>
                </c:pt>
                <c:pt idx="105">
                  <c:v>1.4960899118586383E-12</c:v>
                </c:pt>
                <c:pt idx="106">
                  <c:v>1.4960899118586383E-12</c:v>
                </c:pt>
                <c:pt idx="107">
                  <c:v>1.4960899118586383E-12</c:v>
                </c:pt>
                <c:pt idx="108">
                  <c:v>1.4960899118586383E-12</c:v>
                </c:pt>
                <c:pt idx="109">
                  <c:v>1.4960899118586383E-12</c:v>
                </c:pt>
                <c:pt idx="110">
                  <c:v>1.4960899118586383E-12</c:v>
                </c:pt>
                <c:pt idx="111">
                  <c:v>1.4960899118586383E-12</c:v>
                </c:pt>
                <c:pt idx="112">
                  <c:v>1.4960899118586383E-12</c:v>
                </c:pt>
                <c:pt idx="113">
                  <c:v>1.4960899118586383E-12</c:v>
                </c:pt>
                <c:pt idx="114">
                  <c:v>1.4960899118586383E-12</c:v>
                </c:pt>
                <c:pt idx="115">
                  <c:v>1.4960899118586383E-12</c:v>
                </c:pt>
                <c:pt idx="116">
                  <c:v>1.4960899118586383E-12</c:v>
                </c:pt>
                <c:pt idx="117">
                  <c:v>1.4960899118586383E-12</c:v>
                </c:pt>
                <c:pt idx="118">
                  <c:v>1.4960899118586383E-12</c:v>
                </c:pt>
                <c:pt idx="119">
                  <c:v>1.4960899118586383E-12</c:v>
                </c:pt>
                <c:pt idx="120">
                  <c:v>1.4960899118586383E-12</c:v>
                </c:pt>
                <c:pt idx="121">
                  <c:v>1.4960899118586383E-12</c:v>
                </c:pt>
                <c:pt idx="122">
                  <c:v>1.4960899118586383E-12</c:v>
                </c:pt>
                <c:pt idx="123">
                  <c:v>1.4960899118586383E-12</c:v>
                </c:pt>
                <c:pt idx="124">
                  <c:v>1.4960899118586383E-12</c:v>
                </c:pt>
                <c:pt idx="125">
                  <c:v>1.4960899118586383E-12</c:v>
                </c:pt>
                <c:pt idx="126">
                  <c:v>1.4960899118586383E-12</c:v>
                </c:pt>
                <c:pt idx="127">
                  <c:v>1.4960899118586383E-12</c:v>
                </c:pt>
                <c:pt idx="128">
                  <c:v>1.4960899118586383E-12</c:v>
                </c:pt>
                <c:pt idx="129">
                  <c:v>1.4960899118586383E-12</c:v>
                </c:pt>
                <c:pt idx="130">
                  <c:v>1.4960899118586383E-12</c:v>
                </c:pt>
                <c:pt idx="131">
                  <c:v>1.4960899118586383E-12</c:v>
                </c:pt>
                <c:pt idx="132">
                  <c:v>1.4960899118586383E-12</c:v>
                </c:pt>
                <c:pt idx="133">
                  <c:v>1.4960899118586383E-12</c:v>
                </c:pt>
                <c:pt idx="134">
                  <c:v>1.4960899118586383E-12</c:v>
                </c:pt>
                <c:pt idx="135">
                  <c:v>1.4960899118586383E-12</c:v>
                </c:pt>
                <c:pt idx="136">
                  <c:v>1.4960899118586383E-12</c:v>
                </c:pt>
                <c:pt idx="137">
                  <c:v>1.4960899118586383E-12</c:v>
                </c:pt>
                <c:pt idx="138">
                  <c:v>1.4960899118586383E-12</c:v>
                </c:pt>
                <c:pt idx="139">
                  <c:v>1.4960899118586383E-12</c:v>
                </c:pt>
                <c:pt idx="140">
                  <c:v>1.4960899118586383E-12</c:v>
                </c:pt>
                <c:pt idx="141">
                  <c:v>1.4960899118586383E-12</c:v>
                </c:pt>
                <c:pt idx="142">
                  <c:v>1.4960899118586383E-12</c:v>
                </c:pt>
                <c:pt idx="143">
                  <c:v>1.4960899118586383E-12</c:v>
                </c:pt>
                <c:pt idx="144">
                  <c:v>1.4960899118586383E-12</c:v>
                </c:pt>
                <c:pt idx="145">
                  <c:v>1.4960899118586383E-12</c:v>
                </c:pt>
                <c:pt idx="146">
                  <c:v>1.4960899118586383E-12</c:v>
                </c:pt>
                <c:pt idx="147">
                  <c:v>1.4960899118586383E-12</c:v>
                </c:pt>
                <c:pt idx="148">
                  <c:v>1.4960899118586383E-12</c:v>
                </c:pt>
                <c:pt idx="149">
                  <c:v>1.4960899118586383E-12</c:v>
                </c:pt>
                <c:pt idx="150">
                  <c:v>1.4960899118586383E-12</c:v>
                </c:pt>
                <c:pt idx="151">
                  <c:v>1.4960899118586383E-12</c:v>
                </c:pt>
                <c:pt idx="152">
                  <c:v>1.4960899118586383E-12</c:v>
                </c:pt>
                <c:pt idx="153">
                  <c:v>1.4960899118586383E-12</c:v>
                </c:pt>
                <c:pt idx="154">
                  <c:v>1.4960899118586383E-12</c:v>
                </c:pt>
                <c:pt idx="155">
                  <c:v>1.4960899118586383E-12</c:v>
                </c:pt>
                <c:pt idx="156">
                  <c:v>1.4960899118586383E-12</c:v>
                </c:pt>
                <c:pt idx="157">
                  <c:v>1.4960899118586383E-12</c:v>
                </c:pt>
                <c:pt idx="158">
                  <c:v>1.4960899118586383E-12</c:v>
                </c:pt>
                <c:pt idx="159">
                  <c:v>1.4960899118586383E-12</c:v>
                </c:pt>
                <c:pt idx="160">
                  <c:v>1.4960899118586383E-12</c:v>
                </c:pt>
                <c:pt idx="161">
                  <c:v>1.4960899118586383E-12</c:v>
                </c:pt>
                <c:pt idx="162">
                  <c:v>1.4960899118586383E-12</c:v>
                </c:pt>
                <c:pt idx="163">
                  <c:v>1.4960899118586383E-12</c:v>
                </c:pt>
                <c:pt idx="164">
                  <c:v>1.4960899118586383E-12</c:v>
                </c:pt>
                <c:pt idx="165">
                  <c:v>1.4960899118586383E-12</c:v>
                </c:pt>
                <c:pt idx="166">
                  <c:v>1.4960899118586383E-12</c:v>
                </c:pt>
                <c:pt idx="167">
                  <c:v>1.4960899118586383E-12</c:v>
                </c:pt>
                <c:pt idx="168">
                  <c:v>1.4960899118586383E-12</c:v>
                </c:pt>
                <c:pt idx="169">
                  <c:v>1.4960899118586383E-12</c:v>
                </c:pt>
                <c:pt idx="170">
                  <c:v>1.4960899118586383E-12</c:v>
                </c:pt>
                <c:pt idx="171">
                  <c:v>1.4960899118586383E-12</c:v>
                </c:pt>
                <c:pt idx="172">
                  <c:v>1.4960899118586383E-12</c:v>
                </c:pt>
                <c:pt idx="173">
                  <c:v>1.4960899118586383E-12</c:v>
                </c:pt>
                <c:pt idx="174">
                  <c:v>1.4960899118586383E-12</c:v>
                </c:pt>
                <c:pt idx="175">
                  <c:v>1.4960899118586383E-12</c:v>
                </c:pt>
                <c:pt idx="176">
                  <c:v>1.4960899118586383E-12</c:v>
                </c:pt>
                <c:pt idx="177">
                  <c:v>1.4960899118586383E-12</c:v>
                </c:pt>
                <c:pt idx="178">
                  <c:v>1.4960899118586383E-12</c:v>
                </c:pt>
                <c:pt idx="179">
                  <c:v>1.4960899118586383E-12</c:v>
                </c:pt>
                <c:pt idx="180">
                  <c:v>1.4960899118586383E-12</c:v>
                </c:pt>
                <c:pt idx="181">
                  <c:v>1.4960899118586383E-12</c:v>
                </c:pt>
                <c:pt idx="182">
                  <c:v>1.4960899118586383E-12</c:v>
                </c:pt>
                <c:pt idx="183">
                  <c:v>1.4960899118586383E-12</c:v>
                </c:pt>
                <c:pt idx="184">
                  <c:v>1.4960899118586383E-12</c:v>
                </c:pt>
                <c:pt idx="185">
                  <c:v>1.4960899118586383E-12</c:v>
                </c:pt>
                <c:pt idx="186">
                  <c:v>1.4960899118586383E-12</c:v>
                </c:pt>
                <c:pt idx="187">
                  <c:v>1.4960899118586383E-12</c:v>
                </c:pt>
                <c:pt idx="188">
                  <c:v>1.4960899118586383E-12</c:v>
                </c:pt>
                <c:pt idx="189">
                  <c:v>1.4960899118586383E-12</c:v>
                </c:pt>
                <c:pt idx="190">
                  <c:v>1.4960899118586383E-12</c:v>
                </c:pt>
                <c:pt idx="191">
                  <c:v>1.4960899118586383E-12</c:v>
                </c:pt>
                <c:pt idx="192">
                  <c:v>1.4960899118586383E-12</c:v>
                </c:pt>
                <c:pt idx="193">
                  <c:v>1.4960899118586383E-12</c:v>
                </c:pt>
                <c:pt idx="194">
                  <c:v>1.4960899118586383E-12</c:v>
                </c:pt>
                <c:pt idx="195">
                  <c:v>1.4960899118586383E-12</c:v>
                </c:pt>
                <c:pt idx="196">
                  <c:v>1.4960899118586383E-12</c:v>
                </c:pt>
                <c:pt idx="197">
                  <c:v>1.4960899118586383E-12</c:v>
                </c:pt>
                <c:pt idx="198">
                  <c:v>1.4960899118586383E-12</c:v>
                </c:pt>
                <c:pt idx="199">
                  <c:v>1.4960899118586383E-12</c:v>
                </c:pt>
                <c:pt idx="200">
                  <c:v>1.4960899118586383E-12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2.5717272485907814</c:v>
                </c:pt>
                <c:pt idx="2">
                  <c:v>3.2402608019311159</c:v>
                </c:pt>
                <c:pt idx="3">
                  <c:v>4.0832624280532892</c:v>
                </c:pt>
                <c:pt idx="4">
                  <c:v>5.14643042029713</c:v>
                </c:pt>
                <c:pt idx="5">
                  <c:v>6.4874737480469413</c:v>
                </c:pt>
                <c:pt idx="6">
                  <c:v>8.1792787679743544</c:v>
                </c:pt>
                <c:pt idx="7">
                  <c:v>10.313913297230501</c:v>
                </c:pt>
                <c:pt idx="8">
                  <c:v>13.007690059316532</c:v>
                </c:pt>
                <c:pt idx="9">
                  <c:v>16.407570518045844</c:v>
                </c:pt>
                <c:pt idx="10">
                  <c:v>20.699264836034356</c:v>
                </c:pt>
                <c:pt idx="11">
                  <c:v>40.194516673030414</c:v>
                </c:pt>
                <c:pt idx="12">
                  <c:v>59.423997506342801</c:v>
                </c:pt>
                <c:pt idx="13">
                  <c:v>78.488959578049446</c:v>
                </c:pt>
                <c:pt idx="14">
                  <c:v>97.435579235164482</c:v>
                </c:pt>
                <c:pt idx="15">
                  <c:v>116.29027446560372</c:v>
                </c:pt>
                <c:pt idx="16">
                  <c:v>84.113672803399268</c:v>
                </c:pt>
                <c:pt idx="17">
                  <c:v>107.92051495671598</c:v>
                </c:pt>
                <c:pt idx="18">
                  <c:v>131.59741333417946</c:v>
                </c:pt>
                <c:pt idx="19">
                  <c:v>155.17115527031999</c:v>
                </c:pt>
                <c:pt idx="20">
                  <c:v>178.65965761508951</c:v>
                </c:pt>
                <c:pt idx="21">
                  <c:v>143.74255992313238</c:v>
                </c:pt>
                <c:pt idx="22">
                  <c:v>169.34263834209935</c:v>
                </c:pt>
                <c:pt idx="23">
                  <c:v>194.85139259598841</c:v>
                </c:pt>
                <c:pt idx="24">
                  <c:v>220.2824723640712</c:v>
                </c:pt>
                <c:pt idx="25">
                  <c:v>245.64610894283177</c:v>
                </c:pt>
                <c:pt idx="26">
                  <c:v>209.98122047833627</c:v>
                </c:pt>
                <c:pt idx="27">
                  <c:v>234.34307827690756</c:v>
                </c:pt>
                <c:pt idx="28">
                  <c:v>258.64712580976101</c:v>
                </c:pt>
                <c:pt idx="29">
                  <c:v>282.89955759178855</c:v>
                </c:pt>
                <c:pt idx="30">
                  <c:v>307.10541864100406</c:v>
                </c:pt>
                <c:pt idx="31">
                  <c:v>269.58386372149999</c:v>
                </c:pt>
                <c:pt idx="32">
                  <c:v>291.76884281866893</c:v>
                </c:pt>
                <c:pt idx="33">
                  <c:v>313.9161563114389</c:v>
                </c:pt>
                <c:pt idx="34">
                  <c:v>336.02883386480761</c:v>
                </c:pt>
                <c:pt idx="35">
                  <c:v>358.10947390735402</c:v>
                </c:pt>
                <c:pt idx="36">
                  <c:v>318.00102122537891</c:v>
                </c:pt>
                <c:pt idx="37">
                  <c:v>337.38854301296448</c:v>
                </c:pt>
                <c:pt idx="38">
                  <c:v>356.7515468667284</c:v>
                </c:pt>
                <c:pt idx="39">
                  <c:v>376.09155014049139</c:v>
                </c:pt>
                <c:pt idx="40">
                  <c:v>395.40990144559356</c:v>
                </c:pt>
                <c:pt idx="41">
                  <c:v>352.67708456218475</c:v>
                </c:pt>
                <c:pt idx="42">
                  <c:v>369.30811574035579</c:v>
                </c:pt>
                <c:pt idx="43">
                  <c:v>385.92281180916166</c:v>
                </c:pt>
                <c:pt idx="44">
                  <c:v>402.5219748287804</c:v>
                </c:pt>
                <c:pt idx="45">
                  <c:v>419.10633532774767</c:v>
                </c:pt>
                <c:pt idx="46">
                  <c:v>392.69981359198135</c:v>
                </c:pt>
                <c:pt idx="47">
                  <c:v>406.92332134334953</c:v>
                </c:pt>
                <c:pt idx="48">
                  <c:v>421.13608919058862</c:v>
                </c:pt>
                <c:pt idx="49">
                  <c:v>435.33853059869926</c:v>
                </c:pt>
                <c:pt idx="50">
                  <c:v>449.53102985794368</c:v>
                </c:pt>
                <c:pt idx="51">
                  <c:v>429.92926929891951</c:v>
                </c:pt>
                <c:pt idx="52">
                  <c:v>442.43600003546334</c:v>
                </c:pt>
                <c:pt idx="53">
                  <c:v>454.93515661064185</c:v>
                </c:pt>
                <c:pt idx="54">
                  <c:v>467.42697643811471</c:v>
                </c:pt>
                <c:pt idx="55">
                  <c:v>479.91168320756537</c:v>
                </c:pt>
                <c:pt idx="56">
                  <c:v>463.71394501783237</c:v>
                </c:pt>
                <c:pt idx="57">
                  <c:v>474.51375017343656</c:v>
                </c:pt>
                <c:pt idx="58">
                  <c:v>485.30832573764309</c:v>
                </c:pt>
                <c:pt idx="59">
                  <c:v>496.09780443549545</c:v>
                </c:pt>
                <c:pt idx="60">
                  <c:v>506.88231274768867</c:v>
                </c:pt>
                <c:pt idx="61">
                  <c:v>492.05233905304038</c:v>
                </c:pt>
                <c:pt idx="62">
                  <c:v>500.81663116885534</c:v>
                </c:pt>
                <c:pt idx="63">
                  <c:v>509.57767746501696</c:v>
                </c:pt>
                <c:pt idx="64">
                  <c:v>518.33554162748908</c:v>
                </c:pt>
                <c:pt idx="65">
                  <c:v>527.09028501417163</c:v>
                </c:pt>
                <c:pt idx="66">
                  <c:v>512.60960277392599</c:v>
                </c:pt>
                <c:pt idx="67">
                  <c:v>520.0193866370247</c:v>
                </c:pt>
                <c:pt idx="68">
                  <c:v>527.42694440011905</c:v>
                </c:pt>
                <c:pt idx="69">
                  <c:v>534.83231174765172</c:v>
                </c:pt>
                <c:pt idx="70">
                  <c:v>542.23552329497818</c:v>
                </c:pt>
                <c:pt idx="71">
                  <c:v>527.42694440011894</c:v>
                </c:pt>
                <c:pt idx="72">
                  <c:v>534.49575116718847</c:v>
                </c:pt>
                <c:pt idx="73">
                  <c:v>541.56259225555311</c:v>
                </c:pt>
                <c:pt idx="74">
                  <c:v>548.62749694119634</c:v>
                </c:pt>
                <c:pt idx="75">
                  <c:v>555.69049368437459</c:v>
                </c:pt>
                <c:pt idx="76">
                  <c:v>541.56259225555311</c:v>
                </c:pt>
                <c:pt idx="77">
                  <c:v>547.61834231122236</c:v>
                </c:pt>
                <c:pt idx="78">
                  <c:v>553.67268767470523</c:v>
                </c:pt>
                <c:pt idx="79">
                  <c:v>559.72564587886836</c:v>
                </c:pt>
                <c:pt idx="80">
                  <c:v>565.7772340462966</c:v>
                </c:pt>
                <c:pt idx="81">
                  <c:v>547.28194876789507</c:v>
                </c:pt>
                <c:pt idx="82">
                  <c:v>547.28194876789507</c:v>
                </c:pt>
                <c:pt idx="83">
                  <c:v>547.28194876789507</c:v>
                </c:pt>
                <c:pt idx="84">
                  <c:v>547.28194876789507</c:v>
                </c:pt>
                <c:pt idx="85">
                  <c:v>547.28194876789507</c:v>
                </c:pt>
                <c:pt idx="86">
                  <c:v>547.28194876789507</c:v>
                </c:pt>
                <c:pt idx="87">
                  <c:v>547.28194876789507</c:v>
                </c:pt>
                <c:pt idx="88">
                  <c:v>547.28194876789507</c:v>
                </c:pt>
                <c:pt idx="89">
                  <c:v>547.28194876789507</c:v>
                </c:pt>
                <c:pt idx="90">
                  <c:v>547.28194876789507</c:v>
                </c:pt>
                <c:pt idx="91">
                  <c:v>547.28194876789507</c:v>
                </c:pt>
                <c:pt idx="92">
                  <c:v>547.28194876789507</c:v>
                </c:pt>
                <c:pt idx="93">
                  <c:v>547.28194876789507</c:v>
                </c:pt>
                <c:pt idx="94">
                  <c:v>547.28194876789507</c:v>
                </c:pt>
                <c:pt idx="95">
                  <c:v>547.28194876789507</c:v>
                </c:pt>
                <c:pt idx="96">
                  <c:v>547.28194876789507</c:v>
                </c:pt>
                <c:pt idx="97">
                  <c:v>547.28194876789507</c:v>
                </c:pt>
                <c:pt idx="98">
                  <c:v>547.28194876789507</c:v>
                </c:pt>
                <c:pt idx="99">
                  <c:v>547.28194876789507</c:v>
                </c:pt>
                <c:pt idx="100">
                  <c:v>547.28194876789507</c:v>
                </c:pt>
                <c:pt idx="101">
                  <c:v>547.28194876789507</c:v>
                </c:pt>
                <c:pt idx="102">
                  <c:v>547.28194876789507</c:v>
                </c:pt>
                <c:pt idx="103">
                  <c:v>547.28194876789507</c:v>
                </c:pt>
                <c:pt idx="104">
                  <c:v>547.28194876789507</c:v>
                </c:pt>
                <c:pt idx="105">
                  <c:v>547.28194876789507</c:v>
                </c:pt>
                <c:pt idx="106">
                  <c:v>547.28194876789507</c:v>
                </c:pt>
                <c:pt idx="107">
                  <c:v>547.28194876789507</c:v>
                </c:pt>
                <c:pt idx="108">
                  <c:v>547.28194876789507</c:v>
                </c:pt>
                <c:pt idx="109">
                  <c:v>547.28194876789507</c:v>
                </c:pt>
                <c:pt idx="110">
                  <c:v>547.28194876789507</c:v>
                </c:pt>
                <c:pt idx="111">
                  <c:v>547.28194876789507</c:v>
                </c:pt>
                <c:pt idx="112">
                  <c:v>547.28194876789507</c:v>
                </c:pt>
                <c:pt idx="113">
                  <c:v>547.28194876789507</c:v>
                </c:pt>
                <c:pt idx="114">
                  <c:v>547.28194876789507</c:v>
                </c:pt>
                <c:pt idx="115">
                  <c:v>547.28194876789507</c:v>
                </c:pt>
                <c:pt idx="116">
                  <c:v>547.28194876789507</c:v>
                </c:pt>
                <c:pt idx="117">
                  <c:v>547.28194876789507</c:v>
                </c:pt>
                <c:pt idx="118">
                  <c:v>547.28194876789507</c:v>
                </c:pt>
                <c:pt idx="119">
                  <c:v>547.28194876789507</c:v>
                </c:pt>
                <c:pt idx="120">
                  <c:v>547.28194876789507</c:v>
                </c:pt>
                <c:pt idx="121">
                  <c:v>547.28194876789507</c:v>
                </c:pt>
                <c:pt idx="122">
                  <c:v>547.28194876789507</c:v>
                </c:pt>
                <c:pt idx="123">
                  <c:v>547.28194876789507</c:v>
                </c:pt>
                <c:pt idx="124">
                  <c:v>547.28194876789507</c:v>
                </c:pt>
                <c:pt idx="125">
                  <c:v>547.28194876789507</c:v>
                </c:pt>
                <c:pt idx="126">
                  <c:v>547.28194876789507</c:v>
                </c:pt>
                <c:pt idx="127">
                  <c:v>547.28194876789507</c:v>
                </c:pt>
                <c:pt idx="128">
                  <c:v>547.28194876789507</c:v>
                </c:pt>
                <c:pt idx="129">
                  <c:v>547.28194876789507</c:v>
                </c:pt>
                <c:pt idx="130">
                  <c:v>547.28194876789507</c:v>
                </c:pt>
                <c:pt idx="131">
                  <c:v>547.28194876789507</c:v>
                </c:pt>
                <c:pt idx="132">
                  <c:v>547.28194876789507</c:v>
                </c:pt>
                <c:pt idx="133">
                  <c:v>547.28194876789507</c:v>
                </c:pt>
                <c:pt idx="134">
                  <c:v>547.28194876789507</c:v>
                </c:pt>
                <c:pt idx="135">
                  <c:v>547.28194876789507</c:v>
                </c:pt>
                <c:pt idx="136">
                  <c:v>547.28194876789507</c:v>
                </c:pt>
                <c:pt idx="137">
                  <c:v>547.28194876789507</c:v>
                </c:pt>
                <c:pt idx="138">
                  <c:v>547.28194876789507</c:v>
                </c:pt>
                <c:pt idx="139">
                  <c:v>547.28194876789507</c:v>
                </c:pt>
                <c:pt idx="140">
                  <c:v>547.28194876789507</c:v>
                </c:pt>
                <c:pt idx="141">
                  <c:v>547.28194876789507</c:v>
                </c:pt>
                <c:pt idx="142">
                  <c:v>547.28194876789507</c:v>
                </c:pt>
                <c:pt idx="143">
                  <c:v>547.28194876789507</c:v>
                </c:pt>
                <c:pt idx="144">
                  <c:v>547.28194876789507</c:v>
                </c:pt>
                <c:pt idx="145">
                  <c:v>547.28194876789507</c:v>
                </c:pt>
                <c:pt idx="146">
                  <c:v>547.28194876789507</c:v>
                </c:pt>
                <c:pt idx="147">
                  <c:v>547.28194876789507</c:v>
                </c:pt>
                <c:pt idx="148">
                  <c:v>547.28194876789507</c:v>
                </c:pt>
                <c:pt idx="149">
                  <c:v>547.28194876789507</c:v>
                </c:pt>
                <c:pt idx="150">
                  <c:v>547.28194876789507</c:v>
                </c:pt>
                <c:pt idx="151">
                  <c:v>547.28194876789507</c:v>
                </c:pt>
                <c:pt idx="152">
                  <c:v>547.28194876789507</c:v>
                </c:pt>
                <c:pt idx="153">
                  <c:v>547.28194876789507</c:v>
                </c:pt>
                <c:pt idx="154">
                  <c:v>547.28194876789507</c:v>
                </c:pt>
                <c:pt idx="155">
                  <c:v>547.28194876789507</c:v>
                </c:pt>
                <c:pt idx="156">
                  <c:v>547.28194876789507</c:v>
                </c:pt>
                <c:pt idx="157">
                  <c:v>547.28194876789507</c:v>
                </c:pt>
                <c:pt idx="158">
                  <c:v>547.28194876789507</c:v>
                </c:pt>
                <c:pt idx="159">
                  <c:v>547.28194876789507</c:v>
                </c:pt>
                <c:pt idx="160">
                  <c:v>547.28194876789507</c:v>
                </c:pt>
                <c:pt idx="161">
                  <c:v>547.28194876789507</c:v>
                </c:pt>
                <c:pt idx="162">
                  <c:v>547.28194876789507</c:v>
                </c:pt>
                <c:pt idx="163">
                  <c:v>547.28194876789507</c:v>
                </c:pt>
                <c:pt idx="164">
                  <c:v>547.28194876789507</c:v>
                </c:pt>
                <c:pt idx="165">
                  <c:v>547.28194876789507</c:v>
                </c:pt>
                <c:pt idx="166">
                  <c:v>547.28194876789507</c:v>
                </c:pt>
                <c:pt idx="167">
                  <c:v>547.28194876789507</c:v>
                </c:pt>
                <c:pt idx="168">
                  <c:v>547.28194876789507</c:v>
                </c:pt>
                <c:pt idx="169">
                  <c:v>547.28194876789507</c:v>
                </c:pt>
                <c:pt idx="170">
                  <c:v>547.28194876789507</c:v>
                </c:pt>
                <c:pt idx="171">
                  <c:v>547.28194876789507</c:v>
                </c:pt>
                <c:pt idx="172">
                  <c:v>547.28194876789507</c:v>
                </c:pt>
                <c:pt idx="173">
                  <c:v>547.28194876789507</c:v>
                </c:pt>
                <c:pt idx="174">
                  <c:v>547.28194876789507</c:v>
                </c:pt>
                <c:pt idx="175">
                  <c:v>547.28194876789507</c:v>
                </c:pt>
                <c:pt idx="176">
                  <c:v>547.28194876789507</c:v>
                </c:pt>
                <c:pt idx="177">
                  <c:v>547.28194876789507</c:v>
                </c:pt>
                <c:pt idx="178">
                  <c:v>547.28194876789507</c:v>
                </c:pt>
                <c:pt idx="179">
                  <c:v>547.28194876789507</c:v>
                </c:pt>
                <c:pt idx="180">
                  <c:v>547.28194876789507</c:v>
                </c:pt>
                <c:pt idx="181">
                  <c:v>547.28194876789507</c:v>
                </c:pt>
                <c:pt idx="182">
                  <c:v>547.28194876789507</c:v>
                </c:pt>
                <c:pt idx="183">
                  <c:v>547.28194876789507</c:v>
                </c:pt>
                <c:pt idx="184">
                  <c:v>547.28194876789507</c:v>
                </c:pt>
                <c:pt idx="185">
                  <c:v>547.28194876789507</c:v>
                </c:pt>
                <c:pt idx="186">
                  <c:v>547.28194876789507</c:v>
                </c:pt>
                <c:pt idx="187">
                  <c:v>547.28194876789507</c:v>
                </c:pt>
                <c:pt idx="188">
                  <c:v>547.28194876789507</c:v>
                </c:pt>
                <c:pt idx="189">
                  <c:v>547.28194876789507</c:v>
                </c:pt>
                <c:pt idx="190">
                  <c:v>547.28194876789507</c:v>
                </c:pt>
                <c:pt idx="191">
                  <c:v>547.28194876789507</c:v>
                </c:pt>
                <c:pt idx="192">
                  <c:v>547.28194876789507</c:v>
                </c:pt>
                <c:pt idx="193">
                  <c:v>547.28194876789507</c:v>
                </c:pt>
                <c:pt idx="194">
                  <c:v>547.28194876789507</c:v>
                </c:pt>
                <c:pt idx="195">
                  <c:v>547.28194876789507</c:v>
                </c:pt>
                <c:pt idx="196">
                  <c:v>547.28194876789507</c:v>
                </c:pt>
                <c:pt idx="197">
                  <c:v>547.28194876789507</c:v>
                </c:pt>
                <c:pt idx="198">
                  <c:v>547.28194876789507</c:v>
                </c:pt>
                <c:pt idx="199">
                  <c:v>547.28194876789507</c:v>
                </c:pt>
                <c:pt idx="200">
                  <c:v>547.28194876789507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2.3771589152136832</c:v>
                </c:pt>
                <c:pt idx="2">
                  <c:v>2.9949424842304286</c:v>
                </c:pt>
                <c:pt idx="3">
                  <c:v>3.7739077794462492</c:v>
                </c:pt>
                <c:pt idx="4">
                  <c:v>4.7562627052095419</c:v>
                </c:pt>
                <c:pt idx="5">
                  <c:v>5.9953059624826457</c:v>
                </c:pt>
                <c:pt idx="6">
                  <c:v>7.5583506142245538</c:v>
                </c:pt>
                <c:pt idx="7">
                  <c:v>9.5304205700421178</c:v>
                </c:pt>
                <c:pt idx="8">
                  <c:v>12.018924879161736</c:v>
                </c:pt>
                <c:pt idx="9">
                  <c:v>15.159569166298086</c:v>
                </c:pt>
                <c:pt idx="10">
                  <c:v>19.123832490408656</c:v>
                </c:pt>
                <c:pt idx="11">
                  <c:v>37.129924657008708</c:v>
                </c:pt>
                <c:pt idx="12">
                  <c:v>54.88875090739392</c:v>
                </c:pt>
                <c:pt idx="13">
                  <c:v>72.494513498617124</c:v>
                </c:pt>
                <c:pt idx="14">
                  <c:v>89.990173613778268</c:v>
                </c:pt>
                <c:pt idx="15">
                  <c:v>107.40030981071855</c:v>
                </c:pt>
                <c:pt idx="16">
                  <c:v>77.688553841510227</c:v>
                </c:pt>
                <c:pt idx="17">
                  <c:v>99.671872945964807</c:v>
                </c:pt>
                <c:pt idx="18">
                  <c:v>121.53429599198023</c:v>
                </c:pt>
                <c:pt idx="19">
                  <c:v>143.30074516716834</c:v>
                </c:pt>
                <c:pt idx="20">
                  <c:v>164.98788980812969</c:v>
                </c:pt>
                <c:pt idx="21">
                  <c:v>132.74841047655565</c:v>
                </c:pt>
                <c:pt idx="22">
                  <c:v>156.3854681167081</c:v>
                </c:pt>
                <c:pt idx="23">
                  <c:v>179.93756030525927</c:v>
                </c:pt>
                <c:pt idx="24">
                  <c:v>203.41738632243269</c:v>
                </c:pt>
                <c:pt idx="25">
                  <c:v>226.83446508061596</c:v>
                </c:pt>
                <c:pt idx="26">
                  <c:v>193.90658129898392</c:v>
                </c:pt>
                <c:pt idx="27">
                  <c:v>216.39895226118747</c:v>
                </c:pt>
                <c:pt idx="28">
                  <c:v>238.83753816737965</c:v>
                </c:pt>
                <c:pt idx="29">
                  <c:v>261.22810222114174</c:v>
                </c:pt>
                <c:pt idx="30">
                  <c:v>283.57533816627659</c:v>
                </c:pt>
                <c:pt idx="31">
                  <c:v>248.93470217300001</c:v>
                </c:pt>
                <c:pt idx="32">
                  <c:v>269.41640439620915</c:v>
                </c:pt>
                <c:pt idx="33">
                  <c:v>289.86306359345826</c:v>
                </c:pt>
                <c:pt idx="34">
                  <c:v>310.27749848041276</c:v>
                </c:pt>
                <c:pt idx="35">
                  <c:v>330.66212656242277</c:v>
                </c:pt>
                <c:pt idx="36">
                  <c:v>293.63423101263379</c:v>
                </c:pt>
                <c:pt idx="37">
                  <c:v>311.53277495970787</c:v>
                </c:pt>
                <c:pt idx="38">
                  <c:v>329.40850810618275</c:v>
                </c:pt>
                <c:pt idx="39">
                  <c:v>347.26284215565835</c:v>
                </c:pt>
                <c:pt idx="40">
                  <c:v>365.09703181844537</c:v>
                </c:pt>
                <c:pt idx="41">
                  <c:v>325.64701898414177</c:v>
                </c:pt>
                <c:pt idx="42">
                  <c:v>341.00051892831272</c:v>
                </c:pt>
                <c:pt idx="43">
                  <c:v>356.33882114313155</c:v>
                </c:pt>
                <c:pt idx="44">
                  <c:v>371.66267184297823</c:v>
                </c:pt>
                <c:pt idx="45">
                  <c:v>386.97275069119178</c:v>
                </c:pt>
                <c:pt idx="46">
                  <c:v>362.59515964305297</c:v>
                </c:pt>
                <c:pt idx="47">
                  <c:v>375.72584517041173</c:v>
                </c:pt>
                <c:pt idx="48">
                  <c:v>388.84653859104043</c:v>
                </c:pt>
                <c:pt idx="49">
                  <c:v>401.95762458122357</c:v>
                </c:pt>
                <c:pt idx="50">
                  <c:v>415.05946067388413</c:v>
                </c:pt>
                <c:pt idx="51">
                  <c:v>396.96403469017787</c:v>
                </c:pt>
                <c:pt idx="52">
                  <c:v>408.50967750203745</c:v>
                </c:pt>
                <c:pt idx="53">
                  <c:v>420.04827352578377</c:v>
                </c:pt>
                <c:pt idx="54">
                  <c:v>431.5800436444527</c:v>
                </c:pt>
                <c:pt idx="55">
                  <c:v>443.10519597267603</c:v>
                </c:pt>
                <c:pt idx="56">
                  <c:v>428.1523799882828</c:v>
                </c:pt>
                <c:pt idx="57">
                  <c:v>438.12214558348154</c:v>
                </c:pt>
                <c:pt idx="58">
                  <c:v>448.08704571295783</c:v>
                </c:pt>
                <c:pt idx="59">
                  <c:v>458.04720386038417</c:v>
                </c:pt>
                <c:pt idx="60">
                  <c:v>468.00273769986552</c:v>
                </c:pt>
                <c:pt idx="61">
                  <c:v>454.31269266448356</c:v>
                </c:pt>
                <c:pt idx="62">
                  <c:v>462.40331218251168</c:v>
                </c:pt>
                <c:pt idx="63">
                  <c:v>470.49091188062221</c:v>
                </c:pt>
                <c:pt idx="64">
                  <c:v>478.57555101045619</c:v>
                </c:pt>
                <c:pt idx="65">
                  <c:v>486.65728665768989</c:v>
                </c:pt>
                <c:pt idx="66">
                  <c:v>473.28977290181297</c:v>
                </c:pt>
                <c:pt idx="67">
                  <c:v>480.12995470835148</c:v>
                </c:pt>
                <c:pt idx="68">
                  <c:v>486.96806541364276</c:v>
                </c:pt>
                <c:pt idx="69">
                  <c:v>493.80413821749539</c:v>
                </c:pt>
                <c:pt idx="70">
                  <c:v>500.63820532506901</c:v>
                </c:pt>
                <c:pt idx="71">
                  <c:v>486.96806541364259</c:v>
                </c:pt>
                <c:pt idx="72">
                  <c:v>493.49345138740449</c:v>
                </c:pt>
                <c:pt idx="73">
                  <c:v>500.01700854862014</c:v>
                </c:pt>
                <c:pt idx="74">
                  <c:v>506.53876413484659</c:v>
                </c:pt>
                <c:pt idx="75">
                  <c:v>513.05874462471149</c:v>
                </c:pt>
                <c:pt idx="76">
                  <c:v>500.01700854862014</c:v>
                </c:pt>
                <c:pt idx="77">
                  <c:v>505.60719405430768</c:v>
                </c:pt>
                <c:pt idx="78">
                  <c:v>511.19607267363199</c:v>
                </c:pt>
                <c:pt idx="79">
                  <c:v>516.78366071868209</c:v>
                </c:pt>
                <c:pt idx="80">
                  <c:v>522.36997411983293</c:v>
                </c:pt>
                <c:pt idx="81">
                  <c:v>505.29666263090093</c:v>
                </c:pt>
                <c:pt idx="82">
                  <c:v>505.29666263090093</c:v>
                </c:pt>
                <c:pt idx="83">
                  <c:v>505.29666263090093</c:v>
                </c:pt>
                <c:pt idx="84">
                  <c:v>505.29666263090093</c:v>
                </c:pt>
                <c:pt idx="85">
                  <c:v>505.29666263090093</c:v>
                </c:pt>
                <c:pt idx="86">
                  <c:v>505.29666263090093</c:v>
                </c:pt>
                <c:pt idx="87">
                  <c:v>505.29666263090093</c:v>
                </c:pt>
                <c:pt idx="88">
                  <c:v>505.29666263090093</c:v>
                </c:pt>
                <c:pt idx="89">
                  <c:v>505.29666263090093</c:v>
                </c:pt>
                <c:pt idx="90">
                  <c:v>505.29666263090093</c:v>
                </c:pt>
                <c:pt idx="91">
                  <c:v>505.29666263090093</c:v>
                </c:pt>
                <c:pt idx="92">
                  <c:v>505.29666263090093</c:v>
                </c:pt>
                <c:pt idx="93">
                  <c:v>505.29666263090093</c:v>
                </c:pt>
                <c:pt idx="94">
                  <c:v>505.29666263090093</c:v>
                </c:pt>
                <c:pt idx="95">
                  <c:v>505.29666263090093</c:v>
                </c:pt>
                <c:pt idx="96">
                  <c:v>505.29666263090093</c:v>
                </c:pt>
                <c:pt idx="97">
                  <c:v>505.29666263090093</c:v>
                </c:pt>
                <c:pt idx="98">
                  <c:v>505.29666263090093</c:v>
                </c:pt>
                <c:pt idx="99">
                  <c:v>505.29666263090093</c:v>
                </c:pt>
                <c:pt idx="100">
                  <c:v>505.29666263090093</c:v>
                </c:pt>
                <c:pt idx="101">
                  <c:v>505.29666263090093</c:v>
                </c:pt>
                <c:pt idx="102">
                  <c:v>505.29666263090093</c:v>
                </c:pt>
                <c:pt idx="103">
                  <c:v>505.29666263090093</c:v>
                </c:pt>
                <c:pt idx="104">
                  <c:v>505.29666263090093</c:v>
                </c:pt>
                <c:pt idx="105">
                  <c:v>505.29666263090093</c:v>
                </c:pt>
                <c:pt idx="106">
                  <c:v>505.29666263090093</c:v>
                </c:pt>
                <c:pt idx="107">
                  <c:v>505.29666263090093</c:v>
                </c:pt>
                <c:pt idx="108">
                  <c:v>505.29666263090093</c:v>
                </c:pt>
                <c:pt idx="109">
                  <c:v>505.29666263090093</c:v>
                </c:pt>
                <c:pt idx="110">
                  <c:v>505.29666263090093</c:v>
                </c:pt>
                <c:pt idx="111">
                  <c:v>505.29666263090093</c:v>
                </c:pt>
                <c:pt idx="112">
                  <c:v>505.29666263090093</c:v>
                </c:pt>
                <c:pt idx="113">
                  <c:v>505.29666263090093</c:v>
                </c:pt>
                <c:pt idx="114">
                  <c:v>505.29666263090093</c:v>
                </c:pt>
                <c:pt idx="115">
                  <c:v>505.29666263090093</c:v>
                </c:pt>
                <c:pt idx="116">
                  <c:v>505.29666263090093</c:v>
                </c:pt>
                <c:pt idx="117">
                  <c:v>505.29666263090093</c:v>
                </c:pt>
                <c:pt idx="118">
                  <c:v>505.29666263090093</c:v>
                </c:pt>
                <c:pt idx="119">
                  <c:v>505.29666263090093</c:v>
                </c:pt>
                <c:pt idx="120">
                  <c:v>505.29666263090093</c:v>
                </c:pt>
                <c:pt idx="121">
                  <c:v>505.29666263090093</c:v>
                </c:pt>
                <c:pt idx="122">
                  <c:v>505.29666263090093</c:v>
                </c:pt>
                <c:pt idx="123">
                  <c:v>505.29666263090093</c:v>
                </c:pt>
                <c:pt idx="124">
                  <c:v>505.29666263090093</c:v>
                </c:pt>
                <c:pt idx="125">
                  <c:v>505.29666263090093</c:v>
                </c:pt>
                <c:pt idx="126">
                  <c:v>505.29666263090093</c:v>
                </c:pt>
                <c:pt idx="127">
                  <c:v>505.29666263090093</c:v>
                </c:pt>
                <c:pt idx="128">
                  <c:v>505.29666263090093</c:v>
                </c:pt>
                <c:pt idx="129">
                  <c:v>505.29666263090093</c:v>
                </c:pt>
                <c:pt idx="130">
                  <c:v>505.29666263090093</c:v>
                </c:pt>
                <c:pt idx="131">
                  <c:v>505.29666263090093</c:v>
                </c:pt>
                <c:pt idx="132">
                  <c:v>505.29666263090093</c:v>
                </c:pt>
                <c:pt idx="133">
                  <c:v>505.29666263090093</c:v>
                </c:pt>
                <c:pt idx="134">
                  <c:v>505.29666263090093</c:v>
                </c:pt>
                <c:pt idx="135">
                  <c:v>505.29666263090093</c:v>
                </c:pt>
                <c:pt idx="136">
                  <c:v>505.29666263090093</c:v>
                </c:pt>
                <c:pt idx="137">
                  <c:v>505.29666263090093</c:v>
                </c:pt>
                <c:pt idx="138">
                  <c:v>505.29666263090093</c:v>
                </c:pt>
                <c:pt idx="139">
                  <c:v>505.29666263090093</c:v>
                </c:pt>
                <c:pt idx="140">
                  <c:v>505.29666263090093</c:v>
                </c:pt>
                <c:pt idx="141">
                  <c:v>505.29666263090093</c:v>
                </c:pt>
                <c:pt idx="142">
                  <c:v>505.29666263090093</c:v>
                </c:pt>
                <c:pt idx="143">
                  <c:v>505.29666263090093</c:v>
                </c:pt>
                <c:pt idx="144">
                  <c:v>505.29666263090093</c:v>
                </c:pt>
                <c:pt idx="145">
                  <c:v>505.29666263090093</c:v>
                </c:pt>
                <c:pt idx="146">
                  <c:v>505.29666263090093</c:v>
                </c:pt>
                <c:pt idx="147">
                  <c:v>505.29666263090093</c:v>
                </c:pt>
                <c:pt idx="148">
                  <c:v>505.29666263090093</c:v>
                </c:pt>
                <c:pt idx="149">
                  <c:v>505.29666263090093</c:v>
                </c:pt>
                <c:pt idx="150">
                  <c:v>505.29666263090093</c:v>
                </c:pt>
                <c:pt idx="151">
                  <c:v>505.29666263090093</c:v>
                </c:pt>
                <c:pt idx="152">
                  <c:v>505.29666263090093</c:v>
                </c:pt>
                <c:pt idx="153">
                  <c:v>505.29666263090093</c:v>
                </c:pt>
                <c:pt idx="154">
                  <c:v>505.29666263090093</c:v>
                </c:pt>
                <c:pt idx="155">
                  <c:v>505.29666263090093</c:v>
                </c:pt>
                <c:pt idx="156">
                  <c:v>505.29666263090093</c:v>
                </c:pt>
                <c:pt idx="157">
                  <c:v>505.29666263090093</c:v>
                </c:pt>
                <c:pt idx="158">
                  <c:v>505.29666263090093</c:v>
                </c:pt>
                <c:pt idx="159">
                  <c:v>505.29666263090093</c:v>
                </c:pt>
                <c:pt idx="160">
                  <c:v>505.29666263090093</c:v>
                </c:pt>
                <c:pt idx="161">
                  <c:v>505.29666263090093</c:v>
                </c:pt>
                <c:pt idx="162">
                  <c:v>505.29666263090093</c:v>
                </c:pt>
                <c:pt idx="163">
                  <c:v>505.29666263090093</c:v>
                </c:pt>
                <c:pt idx="164">
                  <c:v>505.29666263090093</c:v>
                </c:pt>
                <c:pt idx="165">
                  <c:v>505.29666263090093</c:v>
                </c:pt>
                <c:pt idx="166">
                  <c:v>505.29666263090093</c:v>
                </c:pt>
                <c:pt idx="167">
                  <c:v>505.29666263090093</c:v>
                </c:pt>
                <c:pt idx="168">
                  <c:v>505.29666263090093</c:v>
                </c:pt>
                <c:pt idx="169">
                  <c:v>505.29666263090093</c:v>
                </c:pt>
                <c:pt idx="170">
                  <c:v>505.29666263090093</c:v>
                </c:pt>
                <c:pt idx="171">
                  <c:v>505.29666263090093</c:v>
                </c:pt>
                <c:pt idx="172">
                  <c:v>505.29666263090093</c:v>
                </c:pt>
                <c:pt idx="173">
                  <c:v>505.29666263090093</c:v>
                </c:pt>
                <c:pt idx="174">
                  <c:v>505.29666263090093</c:v>
                </c:pt>
                <c:pt idx="175">
                  <c:v>505.29666263090093</c:v>
                </c:pt>
                <c:pt idx="176">
                  <c:v>505.29666263090093</c:v>
                </c:pt>
                <c:pt idx="177">
                  <c:v>505.29666263090093</c:v>
                </c:pt>
                <c:pt idx="178">
                  <c:v>505.29666263090093</c:v>
                </c:pt>
                <c:pt idx="179">
                  <c:v>505.29666263090093</c:v>
                </c:pt>
                <c:pt idx="180">
                  <c:v>505.29666263090093</c:v>
                </c:pt>
                <c:pt idx="181">
                  <c:v>505.29666263090093</c:v>
                </c:pt>
                <c:pt idx="182">
                  <c:v>505.29666263090093</c:v>
                </c:pt>
                <c:pt idx="183">
                  <c:v>505.29666263090093</c:v>
                </c:pt>
                <c:pt idx="184">
                  <c:v>505.29666263090093</c:v>
                </c:pt>
                <c:pt idx="185">
                  <c:v>505.29666263090093</c:v>
                </c:pt>
                <c:pt idx="186">
                  <c:v>505.29666263090093</c:v>
                </c:pt>
                <c:pt idx="187">
                  <c:v>505.29666263090093</c:v>
                </c:pt>
                <c:pt idx="188">
                  <c:v>505.29666263090093</c:v>
                </c:pt>
                <c:pt idx="189">
                  <c:v>505.29666263090093</c:v>
                </c:pt>
                <c:pt idx="190">
                  <c:v>505.29666263090093</c:v>
                </c:pt>
                <c:pt idx="191">
                  <c:v>505.29666263090093</c:v>
                </c:pt>
                <c:pt idx="192">
                  <c:v>505.29666263090093</c:v>
                </c:pt>
                <c:pt idx="193">
                  <c:v>505.29666263090093</c:v>
                </c:pt>
                <c:pt idx="194">
                  <c:v>505.29666263090093</c:v>
                </c:pt>
                <c:pt idx="195">
                  <c:v>505.29666263090093</c:v>
                </c:pt>
                <c:pt idx="196">
                  <c:v>505.29666263090093</c:v>
                </c:pt>
                <c:pt idx="197">
                  <c:v>505.29666263090093</c:v>
                </c:pt>
                <c:pt idx="198">
                  <c:v>505.29666263090093</c:v>
                </c:pt>
                <c:pt idx="199">
                  <c:v>505.29666263090093</c:v>
                </c:pt>
                <c:pt idx="200">
                  <c:v>505.29666263090093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25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25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25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25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25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25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25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25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25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25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25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25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25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25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25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25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25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25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E14" sqref="E14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8" t="s">
        <v>190</v>
      </c>
      <c r="D1" s="298"/>
      <c r="E1" s="298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5" t="s">
        <v>231</v>
      </c>
      <c r="B5" s="305"/>
      <c r="C5" s="26">
        <v>9.8000000000000007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324</v>
      </c>
      <c r="C9" s="35">
        <v>0.29599999999999999</v>
      </c>
      <c r="D9" s="36">
        <f t="shared" ref="D9:D18" si="0">C9*$C$5</f>
        <v>2.9008000000000003</v>
      </c>
      <c r="E9" s="37">
        <v>70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325</v>
      </c>
      <c r="C10" s="35">
        <v>0.29599999999999999</v>
      </c>
      <c r="D10" s="36">
        <f t="shared" si="0"/>
        <v>2.9008000000000003</v>
      </c>
      <c r="E10" s="37">
        <v>38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13</v>
      </c>
      <c r="C11" s="35">
        <v>0.13600000000000001</v>
      </c>
      <c r="D11" s="36">
        <f t="shared" si="0"/>
        <v>1.3328000000000002</v>
      </c>
      <c r="E11" s="37">
        <v>70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23</v>
      </c>
      <c r="C12" s="35">
        <v>0.13600000000000001</v>
      </c>
      <c r="D12" s="36">
        <f t="shared" si="0"/>
        <v>1.3328000000000002</v>
      </c>
      <c r="E12" s="37">
        <v>80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8</v>
      </c>
      <c r="C13" s="35">
        <v>0.13600000000000001</v>
      </c>
      <c r="D13" s="36">
        <f t="shared" si="0"/>
        <v>1.3328000000000002</v>
      </c>
      <c r="E13" s="37">
        <v>80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9.8000000000000025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douglas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19</v>
      </c>
      <c r="B36" s="63">
        <v>154.44</v>
      </c>
      <c r="C36" s="63">
        <v>1</v>
      </c>
      <c r="D36" s="63">
        <v>0</v>
      </c>
      <c r="E36" s="54"/>
      <c r="F36" s="54"/>
      <c r="G36" s="54">
        <v>1</v>
      </c>
      <c r="H36" s="54"/>
      <c r="I36" s="52">
        <f>IFERROR(B36/A36,"")</f>
        <v>8.1284210526315785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21</v>
      </c>
      <c r="B37" s="63">
        <v>195.15</v>
      </c>
      <c r="C37" s="63">
        <v>2</v>
      </c>
      <c r="D37" s="63">
        <v>64.58</v>
      </c>
      <c r="E37" s="54"/>
      <c r="F37" s="54">
        <v>0.5</v>
      </c>
      <c r="G37" s="54">
        <v>0.5</v>
      </c>
      <c r="H37" s="54"/>
      <c r="I37" s="56">
        <f t="shared" ref="I37:I55" si="1">IF(A37&lt;&gt;0,(B37-(B36-D36))/(A37-A36),"")</f>
        <v>20.355000000000004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28</v>
      </c>
      <c r="B38" s="63">
        <v>281.86</v>
      </c>
      <c r="C38" s="63">
        <v>3</v>
      </c>
      <c r="D38" s="63">
        <v>67.61</v>
      </c>
      <c r="E38" s="54">
        <v>0.2</v>
      </c>
      <c r="F38" s="54">
        <v>0.35</v>
      </c>
      <c r="G38" s="54">
        <v>0.5</v>
      </c>
      <c r="H38" s="54"/>
      <c r="I38" s="56">
        <f t="shared" si="1"/>
        <v>21.612857142857145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35</v>
      </c>
      <c r="B39" s="63">
        <v>377.12</v>
      </c>
      <c r="C39" s="63">
        <v>4</v>
      </c>
      <c r="D39" s="63">
        <v>86.68</v>
      </c>
      <c r="E39" s="54"/>
      <c r="F39" s="54"/>
      <c r="G39" s="54"/>
      <c r="H39" s="54"/>
      <c r="I39" s="52">
        <f t="shared" si="1"/>
        <v>23.267142857142858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42</v>
      </c>
      <c r="B40" s="63">
        <v>450.23</v>
      </c>
      <c r="C40" s="63">
        <v>5</v>
      </c>
      <c r="D40" s="63">
        <v>99.98</v>
      </c>
      <c r="E40" s="54"/>
      <c r="F40" s="54"/>
      <c r="G40" s="54"/>
      <c r="H40" s="54"/>
      <c r="I40" s="52">
        <f t="shared" si="1"/>
        <v>22.82714285714286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49</v>
      </c>
      <c r="B41" s="63">
        <v>503.83</v>
      </c>
      <c r="C41" s="63">
        <v>6</v>
      </c>
      <c r="D41" s="63">
        <v>112.61</v>
      </c>
      <c r="E41" s="54"/>
      <c r="F41" s="54"/>
      <c r="G41" s="54"/>
      <c r="H41" s="54"/>
      <c r="I41" s="56">
        <f t="shared" si="1"/>
        <v>21.939999999999998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56</v>
      </c>
      <c r="B42" s="63">
        <v>533.49</v>
      </c>
      <c r="C42" s="63">
        <v>7</v>
      </c>
      <c r="D42" s="63">
        <v>94.57</v>
      </c>
      <c r="E42" s="54"/>
      <c r="F42" s="54"/>
      <c r="G42" s="54"/>
      <c r="H42" s="54"/>
      <c r="I42" s="56">
        <f t="shared" si="1"/>
        <v>20.324285714285718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63</v>
      </c>
      <c r="B43" s="63">
        <v>569</v>
      </c>
      <c r="C43" s="63">
        <v>8</v>
      </c>
      <c r="D43" s="63">
        <v>99.49</v>
      </c>
      <c r="E43" s="54"/>
      <c r="F43" s="54"/>
      <c r="G43" s="54"/>
      <c r="H43" s="54"/>
      <c r="I43" s="52">
        <f t="shared" si="1"/>
        <v>18.58285714285714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69</v>
      </c>
      <c r="B44" s="63">
        <v>569.98</v>
      </c>
      <c r="C44" s="63">
        <v>9</v>
      </c>
      <c r="D44" s="63">
        <v>0</v>
      </c>
      <c r="E44" s="54"/>
      <c r="F44" s="54"/>
      <c r="G44" s="54"/>
      <c r="H44" s="54"/>
      <c r="I44" s="52">
        <f t="shared" si="1"/>
        <v>16.745000000000005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>
        <v>70</v>
      </c>
      <c r="B45" s="63">
        <v>586.05999999999995</v>
      </c>
      <c r="C45" s="63">
        <v>10</v>
      </c>
      <c r="D45" s="63">
        <v>586.05999999999995</v>
      </c>
      <c r="E45" s="54"/>
      <c r="F45" s="54"/>
      <c r="G45" s="54"/>
      <c r="H45" s="54"/>
      <c r="I45" s="52">
        <f t="shared" si="1"/>
        <v>16.079999999999927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pin taeda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13</v>
      </c>
      <c r="B62" s="63">
        <v>75</v>
      </c>
      <c r="C62" s="63">
        <v>1</v>
      </c>
      <c r="D62" s="63">
        <v>15</v>
      </c>
      <c r="E62" s="54"/>
      <c r="F62" s="54"/>
      <c r="G62" s="54">
        <v>1</v>
      </c>
      <c r="H62" s="54"/>
      <c r="I62" s="56">
        <f>IFERROR(B62/A62,"")</f>
        <v>5.7692307692307692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19</v>
      </c>
      <c r="B63" s="63">
        <v>163</v>
      </c>
      <c r="C63" s="63">
        <v>2</v>
      </c>
      <c r="D63" s="63">
        <v>40</v>
      </c>
      <c r="E63" s="54">
        <v>0.3</v>
      </c>
      <c r="F63" s="54"/>
      <c r="G63" s="54">
        <v>0.7</v>
      </c>
      <c r="H63" s="54"/>
      <c r="I63" s="52">
        <f>IF(A63&lt;&gt;0,(B63-(B62-D62))/(A63-A62),"")</f>
        <v>17.166666666666668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25</v>
      </c>
      <c r="B64" s="63">
        <v>222</v>
      </c>
      <c r="C64" s="63">
        <v>3</v>
      </c>
      <c r="D64" s="63">
        <v>54</v>
      </c>
      <c r="E64" s="54">
        <v>0.4</v>
      </c>
      <c r="F64" s="54">
        <v>0.2</v>
      </c>
      <c r="G64" s="54">
        <v>0.4</v>
      </c>
      <c r="H64" s="54"/>
      <c r="I64" s="52">
        <f>IF(A64&lt;&gt;0,(B64-(B63-D63))/(A64-A63),"")</f>
        <v>16.5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30</v>
      </c>
      <c r="B65" s="63">
        <v>237</v>
      </c>
      <c r="C65" s="63">
        <v>4</v>
      </c>
      <c r="D65" s="63">
        <v>0</v>
      </c>
      <c r="E65" s="54">
        <v>0.6</v>
      </c>
      <c r="F65" s="54"/>
      <c r="G65" s="54">
        <v>0.4</v>
      </c>
      <c r="H65" s="54"/>
      <c r="I65" s="52">
        <f>IF(A65&lt;&gt;0,(B65-(B64-D64))/(A65-A64),"")</f>
        <v>13.8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38</v>
      </c>
      <c r="B66" s="63">
        <v>338</v>
      </c>
      <c r="C66" s="63">
        <v>5</v>
      </c>
      <c r="D66" s="63">
        <v>338</v>
      </c>
      <c r="E66" s="54">
        <v>0.7</v>
      </c>
      <c r="F66" s="54"/>
      <c r="G66" s="54">
        <v>0.3</v>
      </c>
      <c r="H66" s="54"/>
      <c r="I66" s="52">
        <f t="shared" ref="I66:I81" si="2">IF(A66&lt;&gt;0,(B66-(B65-D65))/(A66-A65),"")</f>
        <v>12.625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Chêne rouge d'Amérique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15</v>
      </c>
      <c r="B88" s="63">
        <v>87</v>
      </c>
      <c r="C88" s="63">
        <v>1</v>
      </c>
      <c r="D88" s="63">
        <v>21</v>
      </c>
      <c r="E88" s="54"/>
      <c r="F88" s="54"/>
      <c r="G88" s="54"/>
      <c r="H88" s="93">
        <v>1</v>
      </c>
      <c r="I88" s="56">
        <f>IFERROR(B88/A88,"")</f>
        <v>5.8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20</v>
      </c>
      <c r="B89" s="63">
        <v>137</v>
      </c>
      <c r="C89" s="63">
        <v>2</v>
      </c>
      <c r="D89" s="63">
        <v>43</v>
      </c>
      <c r="E89" s="54"/>
      <c r="F89" s="54"/>
      <c r="G89" s="54"/>
      <c r="H89" s="93">
        <v>1</v>
      </c>
      <c r="I89" s="56">
        <f t="shared" ref="I89:I107" si="3">IF(A89&lt;&gt;0,(B89-(B88-D88))/(A89-A88),"")</f>
        <v>14.2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25</v>
      </c>
      <c r="B90" s="63">
        <v>163</v>
      </c>
      <c r="C90" s="63">
        <v>3</v>
      </c>
      <c r="D90" s="63">
        <v>44</v>
      </c>
      <c r="E90" s="93"/>
      <c r="F90" s="93"/>
      <c r="G90" s="93"/>
      <c r="H90" s="93">
        <v>1</v>
      </c>
      <c r="I90" s="56">
        <f t="shared" si="3"/>
        <v>13.8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30</v>
      </c>
      <c r="B91" s="63">
        <v>185</v>
      </c>
      <c r="C91" s="63">
        <v>4</v>
      </c>
      <c r="D91" s="63">
        <v>44</v>
      </c>
      <c r="E91" s="93"/>
      <c r="F91" s="93"/>
      <c r="G91" s="93"/>
      <c r="H91" s="93">
        <v>1</v>
      </c>
      <c r="I91" s="56">
        <f t="shared" si="3"/>
        <v>13.2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35</v>
      </c>
      <c r="B92" s="63">
        <v>201</v>
      </c>
      <c r="C92" s="63">
        <v>5</v>
      </c>
      <c r="D92" s="63">
        <v>42</v>
      </c>
      <c r="E92" s="93"/>
      <c r="F92" s="93"/>
      <c r="G92" s="93"/>
      <c r="H92" s="93"/>
      <c r="I92" s="56">
        <f t="shared" si="3"/>
        <v>12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40</v>
      </c>
      <c r="B93" s="63">
        <v>214</v>
      </c>
      <c r="C93" s="63">
        <v>6</v>
      </c>
      <c r="D93" s="63">
        <v>39</v>
      </c>
      <c r="E93" s="93"/>
      <c r="F93" s="93"/>
      <c r="G93" s="93"/>
      <c r="H93" s="93"/>
      <c r="I93" s="56">
        <f t="shared" si="3"/>
        <v>11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45</v>
      </c>
      <c r="B94" s="63">
        <v>224</v>
      </c>
      <c r="C94" s="63">
        <v>7</v>
      </c>
      <c r="D94" s="63">
        <v>36</v>
      </c>
      <c r="E94" s="93"/>
      <c r="F94" s="93"/>
      <c r="G94" s="93"/>
      <c r="H94" s="93"/>
      <c r="I94" s="56">
        <f t="shared" si="3"/>
        <v>9.8000000000000007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50</v>
      </c>
      <c r="B95" s="63">
        <v>231</v>
      </c>
      <c r="C95" s="63">
        <v>8</v>
      </c>
      <c r="D95" s="63">
        <v>33</v>
      </c>
      <c r="E95" s="93"/>
      <c r="F95" s="93"/>
      <c r="G95" s="93"/>
      <c r="H95" s="93"/>
      <c r="I95" s="56">
        <f t="shared" si="3"/>
        <v>8.6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55</v>
      </c>
      <c r="B96" s="63">
        <v>237</v>
      </c>
      <c r="C96" s="63">
        <v>9</v>
      </c>
      <c r="D96" s="63">
        <v>29</v>
      </c>
      <c r="E96" s="93"/>
      <c r="F96" s="93"/>
      <c r="G96" s="93"/>
      <c r="H96" s="93"/>
      <c r="I96" s="56">
        <f t="shared" si="3"/>
        <v>7.8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>
        <v>60</v>
      </c>
      <c r="B97" s="63">
        <v>242</v>
      </c>
      <c r="C97" s="63">
        <v>10</v>
      </c>
      <c r="D97" s="63">
        <v>26</v>
      </c>
      <c r="E97" s="93"/>
      <c r="F97" s="93"/>
      <c r="G97" s="93"/>
      <c r="H97" s="93"/>
      <c r="I97" s="56">
        <f t="shared" si="3"/>
        <v>6.8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>
        <v>65</v>
      </c>
      <c r="B98" s="63">
        <v>246</v>
      </c>
      <c r="C98" s="63">
        <v>11</v>
      </c>
      <c r="D98" s="63">
        <v>23</v>
      </c>
      <c r="E98" s="93"/>
      <c r="F98" s="93"/>
      <c r="G98" s="93"/>
      <c r="H98" s="93"/>
      <c r="I98" s="56">
        <f t="shared" si="3"/>
        <v>6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>
        <v>70</v>
      </c>
      <c r="B99" s="63">
        <v>249</v>
      </c>
      <c r="C99" s="63">
        <v>12</v>
      </c>
      <c r="D99" s="63">
        <v>249</v>
      </c>
      <c r="E99" s="93"/>
      <c r="F99" s="93"/>
      <c r="G99" s="93"/>
      <c r="H99" s="93"/>
      <c r="I99" s="56">
        <f t="shared" si="3"/>
        <v>5.2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Erable sycomore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10</v>
      </c>
      <c r="B114" s="63">
        <v>11</v>
      </c>
      <c r="C114" s="53">
        <v>1</v>
      </c>
      <c r="D114" s="63">
        <v>0</v>
      </c>
      <c r="E114" s="54"/>
      <c r="F114" s="54"/>
      <c r="G114" s="54"/>
      <c r="H114" s="54">
        <v>1</v>
      </c>
      <c r="I114" s="56">
        <f>IFERROR(B114/A114,"")</f>
        <v>1.1000000000000001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15</v>
      </c>
      <c r="B115" s="63">
        <v>65</v>
      </c>
      <c r="C115" s="53">
        <v>2</v>
      </c>
      <c r="D115" s="63">
        <v>32</v>
      </c>
      <c r="E115" s="54"/>
      <c r="F115" s="54"/>
      <c r="G115" s="54"/>
      <c r="H115" s="54">
        <v>1</v>
      </c>
      <c r="I115" s="56">
        <f t="shared" ref="I115:I133" si="4">IF(A115&lt;&gt;0,(B115-(B114-D114))/(A115-A114),"")</f>
        <v>10.8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20</v>
      </c>
      <c r="B116" s="63">
        <v>101</v>
      </c>
      <c r="C116" s="53">
        <v>3</v>
      </c>
      <c r="D116" s="63">
        <v>35</v>
      </c>
      <c r="E116" s="54">
        <v>0.2</v>
      </c>
      <c r="F116" s="54"/>
      <c r="G116" s="54"/>
      <c r="H116" s="54">
        <v>0.8</v>
      </c>
      <c r="I116" s="56">
        <f t="shared" si="4"/>
        <v>13.6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25</v>
      </c>
      <c r="B117" s="63">
        <v>140</v>
      </c>
      <c r="C117" s="53">
        <v>4</v>
      </c>
      <c r="D117" s="63">
        <v>35</v>
      </c>
      <c r="E117" s="54">
        <v>0.4</v>
      </c>
      <c r="F117" s="54"/>
      <c r="G117" s="54"/>
      <c r="H117" s="54">
        <v>0.6</v>
      </c>
      <c r="I117" s="56">
        <f t="shared" si="4"/>
        <v>14.8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30</v>
      </c>
      <c r="B118" s="63">
        <v>176</v>
      </c>
      <c r="C118" s="53">
        <v>5</v>
      </c>
      <c r="D118" s="63">
        <v>35</v>
      </c>
      <c r="E118" s="54">
        <v>0.5</v>
      </c>
      <c r="F118" s="54"/>
      <c r="G118" s="54"/>
      <c r="H118" s="54">
        <v>0.5</v>
      </c>
      <c r="I118" s="56">
        <f t="shared" si="4"/>
        <v>14.2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35</v>
      </c>
      <c r="B119" s="63">
        <v>206</v>
      </c>
      <c r="C119" s="53">
        <v>6</v>
      </c>
      <c r="D119" s="63">
        <v>35</v>
      </c>
      <c r="E119" s="54"/>
      <c r="F119" s="54"/>
      <c r="G119" s="54"/>
      <c r="H119" s="54"/>
      <c r="I119" s="56">
        <f t="shared" si="4"/>
        <v>13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>
        <v>40</v>
      </c>
      <c r="B120" s="63">
        <v>228</v>
      </c>
      <c r="C120" s="63">
        <v>7</v>
      </c>
      <c r="D120" s="63">
        <v>35</v>
      </c>
      <c r="E120" s="93"/>
      <c r="F120" s="93"/>
      <c r="G120" s="93"/>
      <c r="H120" s="93"/>
      <c r="I120" s="56">
        <f t="shared" si="4"/>
        <v>11.4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>
        <v>45</v>
      </c>
      <c r="B121" s="63">
        <v>242</v>
      </c>
      <c r="C121" s="63">
        <v>8</v>
      </c>
      <c r="D121" s="63">
        <v>24</v>
      </c>
      <c r="E121" s="93"/>
      <c r="F121" s="93"/>
      <c r="G121" s="93"/>
      <c r="H121" s="93"/>
      <c r="I121" s="56">
        <f t="shared" si="4"/>
        <v>9.8000000000000007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>
        <v>50</v>
      </c>
      <c r="B122" s="63">
        <v>260</v>
      </c>
      <c r="C122" s="63">
        <v>9</v>
      </c>
      <c r="D122" s="63">
        <v>19</v>
      </c>
      <c r="E122" s="93"/>
      <c r="F122" s="93"/>
      <c r="G122" s="93"/>
      <c r="H122" s="93"/>
      <c r="I122" s="56">
        <f t="shared" si="4"/>
        <v>8.4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>
        <v>55</v>
      </c>
      <c r="B123" s="63">
        <v>278</v>
      </c>
      <c r="C123" s="63">
        <v>10</v>
      </c>
      <c r="D123" s="63">
        <v>16</v>
      </c>
      <c r="E123" s="93"/>
      <c r="F123" s="93"/>
      <c r="G123" s="93"/>
      <c r="H123" s="93"/>
      <c r="I123" s="56">
        <f t="shared" si="4"/>
        <v>7.4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>
        <v>60</v>
      </c>
      <c r="B124" s="63">
        <v>294</v>
      </c>
      <c r="C124" s="63">
        <v>11</v>
      </c>
      <c r="D124" s="63">
        <v>14</v>
      </c>
      <c r="E124" s="93"/>
      <c r="F124" s="93"/>
      <c r="G124" s="93"/>
      <c r="H124" s="93"/>
      <c r="I124" s="56">
        <f t="shared" si="4"/>
        <v>6.4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>
        <v>65</v>
      </c>
      <c r="B125" s="63">
        <v>306</v>
      </c>
      <c r="C125" s="63">
        <v>12</v>
      </c>
      <c r="D125" s="63">
        <v>13</v>
      </c>
      <c r="E125" s="93"/>
      <c r="F125" s="93"/>
      <c r="G125" s="93"/>
      <c r="H125" s="93"/>
      <c r="I125" s="56">
        <f t="shared" si="4"/>
        <v>5.2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>
        <v>70</v>
      </c>
      <c r="B126" s="63">
        <v>315</v>
      </c>
      <c r="C126" s="63">
        <v>13</v>
      </c>
      <c r="D126" s="63">
        <v>13</v>
      </c>
      <c r="E126" s="68"/>
      <c r="F126" s="68"/>
      <c r="G126" s="68"/>
      <c r="H126" s="68"/>
      <c r="I126" s="56">
        <f t="shared" si="4"/>
        <v>4.4000000000000004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>
        <v>75</v>
      </c>
      <c r="B127" s="63">
        <v>323</v>
      </c>
      <c r="C127" s="63">
        <v>14</v>
      </c>
      <c r="D127" s="63">
        <v>12</v>
      </c>
      <c r="E127" s="68"/>
      <c r="F127" s="68"/>
      <c r="G127" s="68"/>
      <c r="H127" s="68"/>
      <c r="I127" s="56">
        <f t="shared" si="4"/>
        <v>4.2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>
        <v>80</v>
      </c>
      <c r="B128" s="53">
        <v>329</v>
      </c>
      <c r="C128" s="53">
        <v>15</v>
      </c>
      <c r="D128" s="53">
        <v>11</v>
      </c>
      <c r="E128" s="57"/>
      <c r="F128" s="57"/>
      <c r="G128" s="57"/>
      <c r="H128" s="57"/>
      <c r="I128" s="56">
        <f t="shared" si="4"/>
        <v>3.6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Châtaignier</v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>
        <v>10</v>
      </c>
      <c r="B140" s="63">
        <v>11</v>
      </c>
      <c r="C140" s="53">
        <v>1</v>
      </c>
      <c r="D140" s="63">
        <v>0</v>
      </c>
      <c r="E140" s="54"/>
      <c r="F140" s="54"/>
      <c r="G140" s="54"/>
      <c r="H140" s="54">
        <v>1</v>
      </c>
      <c r="I140" s="60">
        <f>IFERROR(B140/A140,"")</f>
        <v>1.1000000000000001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>
        <v>15</v>
      </c>
      <c r="B141" s="63">
        <v>65</v>
      </c>
      <c r="C141" s="53">
        <v>2</v>
      </c>
      <c r="D141" s="63">
        <v>32</v>
      </c>
      <c r="E141" s="54"/>
      <c r="F141" s="54"/>
      <c r="G141" s="54"/>
      <c r="H141" s="54">
        <v>1</v>
      </c>
      <c r="I141" s="60">
        <f t="shared" ref="I141:I159" si="5">IF(A141&lt;&gt;0,(B141-(B140-D140))/(A141-A140),"")</f>
        <v>10.8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>
        <v>20</v>
      </c>
      <c r="B142" s="63">
        <v>101</v>
      </c>
      <c r="C142" s="53">
        <v>3</v>
      </c>
      <c r="D142" s="63">
        <v>35</v>
      </c>
      <c r="E142" s="54">
        <v>0.2</v>
      </c>
      <c r="F142" s="54"/>
      <c r="G142" s="54"/>
      <c r="H142" s="54">
        <v>0.8</v>
      </c>
      <c r="I142" s="60">
        <f t="shared" si="5"/>
        <v>13.6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>
        <v>25</v>
      </c>
      <c r="B143" s="63">
        <v>140</v>
      </c>
      <c r="C143" s="53">
        <v>4</v>
      </c>
      <c r="D143" s="63">
        <v>35</v>
      </c>
      <c r="E143" s="54">
        <v>0.4</v>
      </c>
      <c r="F143" s="54"/>
      <c r="G143" s="54"/>
      <c r="H143" s="54">
        <v>0.6</v>
      </c>
      <c r="I143" s="60">
        <f t="shared" si="5"/>
        <v>14.8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>
        <v>30</v>
      </c>
      <c r="B144" s="63">
        <v>176</v>
      </c>
      <c r="C144" s="53">
        <v>5</v>
      </c>
      <c r="D144" s="63">
        <v>35</v>
      </c>
      <c r="E144" s="54">
        <v>0.5</v>
      </c>
      <c r="F144" s="54"/>
      <c r="G144" s="54"/>
      <c r="H144" s="54">
        <v>0.5</v>
      </c>
      <c r="I144" s="60">
        <f t="shared" si="5"/>
        <v>14.2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>
        <v>35</v>
      </c>
      <c r="B145" s="63">
        <v>206</v>
      </c>
      <c r="C145" s="53">
        <v>6</v>
      </c>
      <c r="D145" s="63">
        <v>35</v>
      </c>
      <c r="E145" s="54"/>
      <c r="F145" s="54"/>
      <c r="G145" s="54"/>
      <c r="H145" s="54"/>
      <c r="I145" s="60">
        <f t="shared" si="5"/>
        <v>13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>
        <v>40</v>
      </c>
      <c r="B146" s="63">
        <v>228</v>
      </c>
      <c r="C146" s="53">
        <v>7</v>
      </c>
      <c r="D146" s="63">
        <v>35</v>
      </c>
      <c r="E146" s="54"/>
      <c r="F146" s="54"/>
      <c r="G146" s="54"/>
      <c r="H146" s="54"/>
      <c r="I146" s="60">
        <f t="shared" si="5"/>
        <v>11.4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>
        <v>45</v>
      </c>
      <c r="B147" s="63">
        <v>242</v>
      </c>
      <c r="C147" s="53">
        <v>8</v>
      </c>
      <c r="D147" s="63">
        <v>24</v>
      </c>
      <c r="E147" s="54"/>
      <c r="F147" s="54"/>
      <c r="G147" s="54"/>
      <c r="H147" s="54"/>
      <c r="I147" s="60">
        <f>IF(A147&lt;&gt;0,(B147-(B146-D146))/(A147-A146),"")</f>
        <v>9.8000000000000007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>
        <v>50</v>
      </c>
      <c r="B148" s="63">
        <v>260</v>
      </c>
      <c r="C148" s="53">
        <v>9</v>
      </c>
      <c r="D148" s="63">
        <v>19</v>
      </c>
      <c r="E148" s="54"/>
      <c r="F148" s="54"/>
      <c r="G148" s="54"/>
      <c r="H148" s="54"/>
      <c r="I148" s="60">
        <f t="shared" si="5"/>
        <v>8.4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>
        <v>55</v>
      </c>
      <c r="B149" s="63">
        <v>278</v>
      </c>
      <c r="C149" s="53">
        <v>10</v>
      </c>
      <c r="D149" s="63">
        <v>16</v>
      </c>
      <c r="E149" s="54"/>
      <c r="F149" s="54"/>
      <c r="G149" s="54"/>
      <c r="H149" s="54"/>
      <c r="I149" s="60">
        <f t="shared" si="5"/>
        <v>7.4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>
        <v>60</v>
      </c>
      <c r="B150" s="63">
        <v>294</v>
      </c>
      <c r="C150" s="53">
        <v>11</v>
      </c>
      <c r="D150" s="63">
        <v>14</v>
      </c>
      <c r="E150" s="54"/>
      <c r="F150" s="54"/>
      <c r="G150" s="54"/>
      <c r="H150" s="54"/>
      <c r="I150" s="60">
        <f t="shared" si="5"/>
        <v>6.4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>
        <v>65</v>
      </c>
      <c r="B151" s="63">
        <v>306</v>
      </c>
      <c r="C151" s="53">
        <v>12</v>
      </c>
      <c r="D151" s="63">
        <v>13</v>
      </c>
      <c r="E151" s="54"/>
      <c r="F151" s="54"/>
      <c r="G151" s="54"/>
      <c r="H151" s="54"/>
      <c r="I151" s="60">
        <f t="shared" si="5"/>
        <v>5.2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>
        <v>70</v>
      </c>
      <c r="B152" s="63">
        <v>315</v>
      </c>
      <c r="C152" s="53">
        <v>13</v>
      </c>
      <c r="D152" s="63">
        <v>13</v>
      </c>
      <c r="E152" s="57"/>
      <c r="F152" s="57"/>
      <c r="G152" s="57"/>
      <c r="H152" s="57"/>
      <c r="I152" s="60">
        <f t="shared" si="5"/>
        <v>4.4000000000000004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>
        <v>75</v>
      </c>
      <c r="B153" s="63">
        <v>323</v>
      </c>
      <c r="C153" s="53">
        <v>14</v>
      </c>
      <c r="D153" s="63">
        <v>12</v>
      </c>
      <c r="E153" s="57"/>
      <c r="F153" s="57"/>
      <c r="G153" s="57"/>
      <c r="H153" s="57"/>
      <c r="I153" s="60">
        <f t="shared" si="5"/>
        <v>4.2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>
        <v>80</v>
      </c>
      <c r="B154" s="59">
        <v>329</v>
      </c>
      <c r="C154" s="53">
        <v>15</v>
      </c>
      <c r="D154" s="53">
        <v>11</v>
      </c>
      <c r="E154" s="57"/>
      <c r="F154" s="57"/>
      <c r="G154" s="57"/>
      <c r="H154" s="57"/>
      <c r="I154" s="60">
        <f t="shared" si="5"/>
        <v>3.6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E22" sqref="E22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1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douglas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>pin taeda</v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>Chêne rouge d'Amérique</v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>Erable sycomore</v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>Châtaignier</v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/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/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/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183.33333333333334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165</v>
      </c>
      <c r="S3" s="62">
        <f ca="1">AVERAGE(OFFSET($R$3,0,0,'Données projet'!$E$9+1,1))-AVERAGE(OFFSET($H$3,0,0,'Données projet'!$E$9+1,1))</f>
        <v>409.45931633551902</v>
      </c>
      <c r="T3" s="62">
        <f>IF('Données projet'!E9&gt;30,$R$33-$H$33,LOOKUP('Données projet'!$E$9,$A$3:$A$203,R3:R203)-LOOKUP('Données projet'!$E$9,$A$3:$A$203,$H$3:$H$203))</f>
        <v>375.18886653687389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165</v>
      </c>
      <c r="AN3" s="62">
        <f ca="1">AVERAGE(OFFSET($AM$3,0,0,'Données projet'!$E$10+1,1))-AVERAGE(OFFSET($H$3,0,0,'Données projet'!$E$10+1,1))</f>
        <v>212.90262675152454</v>
      </c>
      <c r="AO3" s="62">
        <f>IF('Données projet'!E10&gt;30,$AM$33-$H$33,LOOKUP('Données projet'!$E$10,$A$3:$A$203,AM3:AM203)-LOOKUP('Données projet'!$E$10,$A$3:$A$203,$H$3:$H$203))</f>
        <v>366.51899340890498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165</v>
      </c>
      <c r="BI3" s="62">
        <f ca="1">AVERAGE(OFFSET($BH$3,0,0,'Données projet'!$E$11+1,1))-AVERAGE(OFFSET($H$3,0,0,'Données projet'!$E$11+1,1))</f>
        <v>342.02279578180605</v>
      </c>
      <c r="BJ3" s="62">
        <f>IF('Données projet'!E11&gt;30,$BH$33-$H$33,LOOKUP('Données projet'!$E$11,$A$3:$A$203,BH3:BH203)-LOOKUP('Données projet'!$E$11,$A$3:$A$203,$H$3:$H$203))</f>
        <v>409.02379334777754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165</v>
      </c>
      <c r="CD3" s="62">
        <f ca="1">AVERAGE(OFFSET($CC$3,0,0,'Données projet'!$E$12+1,1))-AVERAGE(OFFSET($H$3,0,0,'Données projet'!$E$12+1,1))</f>
        <v>376.47942810265266</v>
      </c>
      <c r="CE3" s="62">
        <f>IF('Données projet'!E12&gt;30,$CC$33-$H$33,LOOKUP('Données projet'!$E$12,$A$3:$A$203,CC3:CC203)-LOOKUP('Données projet'!$E$12,$A$3:$A$203,$H$3:$H$203))</f>
        <v>362.87951024071265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165</v>
      </c>
      <c r="CY3" s="62">
        <f ca="1">AVERAGE(OFFSET($CX$3,0,0,'Données projet'!$E$13+1,1))-AVERAGE(OFFSET($H$3,0,0,'Données projet'!$E$13+1,1))</f>
        <v>351.7223836693733</v>
      </c>
      <c r="CZ3" s="62">
        <f>IF('Données projet'!E13&gt;30,$CX$33-$H$33,LOOKUP('Données projet'!$E$13,$A$3:$A$203,CX3:CX203)-LOOKUP('Données projet'!$E$13,$A$3:$A$203,$H$3:$H$203))</f>
        <v>339.34942976598518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183.33333333333334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8.1284210526315785</v>
      </c>
      <c r="N4" s="14">
        <f>IF('Données projet'!$A$36&gt;35,N3+M4-V3,IF(A4&lt;'Données projet'!$A$36,$K$205^A4,IF(A4='Données projet'!$A$36,'Données projet'!$B$36,N3+M4-V3)))</f>
        <v>1.3037606943669584</v>
      </c>
      <c r="O4" s="14">
        <f>N4*VLOOKUP('Données projet'!$B$9,Paramètres!$A$1:$I$89,3,0)*VLOOKUP('Données projet'!$B$9,Paramètres!$A$1:$I$89,5,0)</f>
        <v>0.72880222815112972</v>
      </c>
      <c r="P4" s="14">
        <f>EXP(-1.0587+0.8836*LN(O4)+0.284)</f>
        <v>0.34846084744582984</v>
      </c>
      <c r="Q4" s="22">
        <f t="shared" ref="Q4:Q34" si="2">(O4+P4)*0.475*44/12</f>
        <v>1.876233189998038</v>
      </c>
      <c r="R4" s="62">
        <f t="shared" si="0"/>
        <v>169.68866714292187</v>
      </c>
      <c r="S4" s="62">
        <f ca="1">AVERAGE(OFFSET($R$3,0,0,'Données projet'!$E$9+1,1))-AVERAGE(OFFSET($H$3,0,0,'Données projet'!$E$9+1,1))</f>
        <v>409.45931633551902</v>
      </c>
      <c r="T4" s="62">
        <f>$T$3</f>
        <v>375.18886653687389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5.7692307692307692</v>
      </c>
      <c r="AI4" s="14">
        <f>IF('Données projet'!$A$62&gt;35,AI3+AH4-AQ3,IF(A4&lt;'Données projet'!$A$62,$AF$205^A4,IF(A4='Données projet'!$A$62,'Données projet'!$B$62,AI3+AH4-AQ3)))</f>
        <v>1.3939124009120489</v>
      </c>
      <c r="AJ4" s="14">
        <f>AI4*VLOOKUP('Données projet'!$B$10,Paramètres!$A$1:$I$89,3,0)*VLOOKUP('Données projet'!$B$10,Paramètres!$A$1:$I$89,5,0)</f>
        <v>0.83355961574540538</v>
      </c>
      <c r="AK4" s="14">
        <f>EXP(-1.0587+0.8836*LN(AJ4)+0.284)</f>
        <v>0.39236630327500827</v>
      </c>
      <c r="AL4" s="22">
        <f t="shared" ref="AL4:AL67" si="4">(AJ4+AK4)*0.475*44/12</f>
        <v>2.1351543089605536</v>
      </c>
      <c r="AM4" s="62">
        <f t="shared" ref="AM4:AM67" si="5">AL4+(AD4+AE4)*44/12</f>
        <v>169.94758826188439</v>
      </c>
      <c r="AN4" s="62">
        <f ca="1">AVERAGE(OFFSET($AM$3,0,0,'Données projet'!$E$10+1,1))-AVERAGE(OFFSET($H$3,0,0,'Données projet'!$E$10+1,1))</f>
        <v>212.90262675152454</v>
      </c>
      <c r="AO4" s="62">
        <f>$AO$3</f>
        <v>366.51899340890498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5.8</v>
      </c>
      <c r="BD4" s="13">
        <f>IF('Données projet'!$A$88&gt;35,BD3+BC4-BL3,IF(A4&lt;'Données projet'!$A$88,$BA$205^A4,IF(A4='Données projet'!$A$88,'Données projet'!$B$88,BD3+BC4-BL3)))</f>
        <v>1.3467943429205997</v>
      </c>
      <c r="BE4" s="14">
        <f>BD4*VLOOKUP('Données projet'!$B$11,Paramètres!$A$1:$I$89,3,0)*VLOOKUP('Données projet'!$B$11,Paramètres!$A$1:$I$89,5,0)</f>
        <v>1.1765595379754361</v>
      </c>
      <c r="BF4" s="14">
        <f>EXP(-1.0587+0.8836*LN(BE4)+0.284)</f>
        <v>0.53204273185561757</v>
      </c>
      <c r="BG4" s="22">
        <f t="shared" ref="BG4:BG67" si="7">(BE4+BF4)*0.475*44/12</f>
        <v>2.9758156199557515</v>
      </c>
      <c r="BH4" s="62">
        <f t="shared" ref="BH4:BH67" si="8">BG4+(AY4+AZ4)*44/12</f>
        <v>170.78824957287958</v>
      </c>
      <c r="BI4" s="62">
        <f ca="1">AVERAGE(OFFSET($BH$3,0,0,'Données projet'!$E$11+1,1))-AVERAGE(OFFSET($H$3,0,0,'Données projet'!$E$11+1,1))</f>
        <v>342.02279578180605</v>
      </c>
      <c r="BJ4" s="62">
        <f>$BJ$3</f>
        <v>409.02379334777754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1.1000000000000001</v>
      </c>
      <c r="BY4" s="13">
        <f>IF('Données projet'!$A$114&gt;35,BY3+BX4-CG3,IF(A4&lt;'Données projet'!$A$114,$BV$205^A4,IF(A4='Données projet'!$A$114,'Données projet'!$B$114,BY3+BX4-CG3)))</f>
        <v>1.2709816152101407</v>
      </c>
      <c r="BZ4" s="14">
        <f>BY4*VLOOKUP('Données projet'!$B$12,Paramètres!$A$1:$I$89,3,0)*VLOOKUP('Données projet'!$B$12,Paramètres!$A$1:$I$89,5,0)</f>
        <v>1.0111929730611879</v>
      </c>
      <c r="CA4" s="14">
        <f>EXP(-1.0587+0.8836*LN(BZ4)+0.284)</f>
        <v>0.46539683474213156</v>
      </c>
      <c r="CB4" s="22">
        <f t="shared" ref="CB4:CB67" si="10">(BZ4+CA4)*0.475*44/12</f>
        <v>2.5717272485907814</v>
      </c>
      <c r="CC4" s="62">
        <f t="shared" ref="CC4:CC67" si="11">CB4+(BT4+BU4)*44/12</f>
        <v>170.38416120151462</v>
      </c>
      <c r="CD4" s="62">
        <f ca="1">AVERAGE(OFFSET($CC$3,0,0,'Données projet'!$E$12+1,1))-AVERAGE(OFFSET($H$3,0,0,'Données projet'!$E$12+1,1))</f>
        <v>376.47942810265266</v>
      </c>
      <c r="CE4" s="62">
        <f>$CE$3</f>
        <v>362.87951024071265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1.1000000000000001</v>
      </c>
      <c r="CT4" s="13">
        <f>IF('Données projet'!$A$140&gt;35,CT3+CS4-DB3,IF(A4&lt;'Données projet'!$A$140,$CQ$205^A4,IF(A4='Données projet'!$A$140,'Données projet'!$B$140,CT3+CS4-DB3)))</f>
        <v>1.2709816152101407</v>
      </c>
      <c r="CU4" s="18">
        <f>CT4*VLOOKUP('Données projet'!$B$13,Paramètres!$A$1:$I$89,3,0)*VLOOKUP('Données projet'!$B$13,Paramètres!$A$1:$I$89,5,0)</f>
        <v>0.93188372027207511</v>
      </c>
      <c r="CV4" s="14">
        <f>EXP(-1.0587+0.8836*LN(CU4)+0.284)</f>
        <v>0.43299221190803017</v>
      </c>
      <c r="CW4" s="22">
        <f t="shared" ref="CW4:CW67" si="13">(CU4+CV4)*0.475*44/12</f>
        <v>2.3771589152136832</v>
      </c>
      <c r="CX4" s="62">
        <f t="shared" ref="CX4:CX67" si="14">CW4+(CO4+CP4)*44/12</f>
        <v>170.18959286813751</v>
      </c>
      <c r="CY4" s="62">
        <f ca="1">AVERAGE(OFFSET($CX$3,0,0,'Données projet'!$E$13+1,1))-AVERAGE(OFFSET($H$3,0,0,'Données projet'!$E$13+1,1))</f>
        <v>351.7223836693733</v>
      </c>
      <c r="CZ4" s="62">
        <f>$CZ$3</f>
        <v>339.34942976598518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183.33333333333334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8.1284210526315785</v>
      </c>
      <c r="N5" s="14">
        <f>IF('Données projet'!$A$36&gt;35,N4+M5-V4,IF(A5&lt;'Données projet'!$A$36,$K$205^A5,IF(A5='Données projet'!$A$36,'Données projet'!$B$36,N4+M5-V4)))</f>
        <v>1.6997919481762136</v>
      </c>
      <c r="O5" s="14">
        <f>N5*VLOOKUP('Données projet'!$B$9,Paramètres!$A$1:$I$89,3,0)*VLOOKUP('Données projet'!$B$9,Paramètres!$A$1:$I$89,5,0)</f>
        <v>0.95018369903050348</v>
      </c>
      <c r="P5" s="14">
        <f t="shared" ref="P5:P68" si="33">EXP(-1.0587+0.8836*LN(O5)+0.284)</f>
        <v>0.44049688197714731</v>
      </c>
      <c r="Q5" s="22">
        <f t="shared" si="2"/>
        <v>2.4221020119216585</v>
      </c>
      <c r="R5" s="62">
        <f t="shared" si="0"/>
        <v>173.01938329942249</v>
      </c>
      <c r="S5" s="62">
        <f ca="1">AVERAGE(OFFSET($R$3,0,0,'Données projet'!$E$9+1,1))-AVERAGE(OFFSET($H$3,0,0,'Données projet'!$E$9+1,1))</f>
        <v>409.45931633551902</v>
      </c>
      <c r="T5" s="62">
        <f t="shared" ref="T5:T68" si="34">$T$3</f>
        <v>375.18886653687389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5.7692307692307692</v>
      </c>
      <c r="AI5" s="14">
        <f>IF('Données projet'!$A$62&gt;35,AI4+AH5-AQ4,IF(A5&lt;'Données projet'!$A$62,$AF$205^A5,IF(A5='Données projet'!$A$62,'Données projet'!$B$62,AI4+AH5-AQ4)))</f>
        <v>1.9429917814163926</v>
      </c>
      <c r="AJ5" s="14">
        <f>AI5*VLOOKUP('Données projet'!$B$10,Paramètres!$A$1:$I$89,3,0)*VLOOKUP('Données projet'!$B$10,Paramètres!$A$1:$I$89,5,0)</f>
        <v>1.1619090852870029</v>
      </c>
      <c r="AK5" s="14">
        <f t="shared" ref="AK5:AK68" si="35">EXP(-1.0587+0.8836*LN(AJ5)+0.284)</f>
        <v>0.52618464987689018</v>
      </c>
      <c r="AL5" s="22">
        <f t="shared" si="4"/>
        <v>2.9400965887437809</v>
      </c>
      <c r="AM5" s="62">
        <f t="shared" si="5"/>
        <v>173.53737787624462</v>
      </c>
      <c r="AN5" s="62">
        <f ca="1">AVERAGE(OFFSET($AM$3,0,0,'Données projet'!$E$10+1,1))-AVERAGE(OFFSET($H$3,0,0,'Données projet'!$E$10+1,1))</f>
        <v>212.90262675152454</v>
      </c>
      <c r="AO5" s="62">
        <f t="shared" ref="AO5:AO68" si="36">$AO$3</f>
        <v>366.51899340890498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5.8</v>
      </c>
      <c r="BD5" s="13">
        <f>IF('Données projet'!$A$88&gt;35,BD4+BC5-BL4,IF(A5&lt;'Données projet'!$A$88,$BA$205^A5,IF(A5='Données projet'!$A$88,'Données projet'!$B$88,BD4+BC5-BL4)))</f>
        <v>1.81385500212293</v>
      </c>
      <c r="BE5" s="14">
        <f>BD5*VLOOKUP('Données projet'!$B$11,Paramètres!$A$1:$I$89,3,0)*VLOOKUP('Données projet'!$B$11,Paramètres!$A$1:$I$89,5,0)</f>
        <v>1.5845837298545919</v>
      </c>
      <c r="BF5" s="14">
        <f t="shared" ref="BF5:BF68" si="37">EXP(-1.0587+0.8836*LN(BE5)+0.284)</f>
        <v>0.69214506839939893</v>
      </c>
      <c r="BG5" s="22">
        <f t="shared" si="7"/>
        <v>3.9653026569590337</v>
      </c>
      <c r="BH5" s="62">
        <f t="shared" si="8"/>
        <v>174.56258394445987</v>
      </c>
      <c r="BI5" s="62">
        <f ca="1">AVERAGE(OFFSET($BH$3,0,0,'Données projet'!$E$11+1,1))-AVERAGE(OFFSET($H$3,0,0,'Données projet'!$E$11+1,1))</f>
        <v>342.02279578180605</v>
      </c>
      <c r="BJ5" s="62">
        <f t="shared" ref="BJ5:BJ68" si="38">$BJ$3</f>
        <v>409.02379334777754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1.1000000000000001</v>
      </c>
      <c r="BY5" s="13">
        <f>IF('Données projet'!$A$114&gt;35,BY4+BX5-CG4,IF(A5&lt;'Données projet'!$A$114,$BV$205^A5,IF(A5='Données projet'!$A$114,'Données projet'!$B$114,BY4+BX5-CG4)))</f>
        <v>1.6153942662021783</v>
      </c>
      <c r="BZ5" s="14">
        <f>BY5*VLOOKUP('Données projet'!$B$12,Paramètres!$A$1:$I$89,3,0)*VLOOKUP('Données projet'!$B$12,Paramètres!$A$1:$I$89,5,0)</f>
        <v>1.2852076781904531</v>
      </c>
      <c r="CA5" s="14">
        <f t="shared" ref="CA5:CA68" si="39">EXP(-1.0587+0.8836*LN(BZ5)+0.284)</f>
        <v>0.57522914588482876</v>
      </c>
      <c r="CB5" s="22">
        <f t="shared" si="10"/>
        <v>3.2402608019311159</v>
      </c>
      <c r="CC5" s="62">
        <f t="shared" si="11"/>
        <v>173.83754208943196</v>
      </c>
      <c r="CD5" s="62">
        <f ca="1">AVERAGE(OFFSET($CC$3,0,0,'Données projet'!$E$12+1,1))-AVERAGE(OFFSET($H$3,0,0,'Données projet'!$E$12+1,1))</f>
        <v>376.47942810265266</v>
      </c>
      <c r="CE5" s="62">
        <f t="shared" ref="CE5:CE68" si="40">$CE$3</f>
        <v>362.87951024071265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1.1000000000000001</v>
      </c>
      <c r="CT5" s="13">
        <f>IF('Données projet'!$A$140&gt;35,CT4+CS5-DB4,IF(A5&lt;'Données projet'!$A$140,$CQ$205^A5,IF(A5='Données projet'!$A$140,'Données projet'!$B$140,CT4+CS5-DB4)))</f>
        <v>1.6153942662021783</v>
      </c>
      <c r="CU5" s="18">
        <f>CT5*VLOOKUP('Données projet'!$B$13,Paramètres!$A$1:$I$89,3,0)*VLOOKUP('Données projet'!$B$13,Paramètres!$A$1:$I$89,5,0)</f>
        <v>1.1844070759794372</v>
      </c>
      <c r="CV5" s="14">
        <f t="shared" ref="CV5:CV68" si="41">EXP(-1.0587+0.8836*LN(CU5)+0.284)</f>
        <v>0.53517712549257934</v>
      </c>
      <c r="CW5" s="22">
        <f t="shared" si="13"/>
        <v>2.9949424842304286</v>
      </c>
      <c r="CX5" s="62">
        <f t="shared" si="14"/>
        <v>173.59222377173126</v>
      </c>
      <c r="CY5" s="62">
        <f ca="1">AVERAGE(OFFSET($CX$3,0,0,'Données projet'!$E$13+1,1))-AVERAGE(OFFSET($H$3,0,0,'Données projet'!$E$13+1,1))</f>
        <v>351.7223836693733</v>
      </c>
      <c r="CZ5" s="62">
        <f t="shared" ref="CZ5:CZ68" si="42">$CZ$3</f>
        <v>339.34942976598518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183.33333333333334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8.1284210526315785</v>
      </c>
      <c r="N6" s="14">
        <f>IF('Données projet'!$A$36&gt;35,N5+M6-V5,IF(A6&lt;'Données projet'!$A$36,$K$205^A6,IF(A6='Données projet'!$A$36,'Données projet'!$B$36,N5+M6-V5)))</f>
        <v>2.2161219306335851</v>
      </c>
      <c r="O6" s="14">
        <f>N6*VLOOKUP('Données projet'!$B$9,Paramètres!$A$1:$I$89,3,0)*VLOOKUP('Données projet'!$B$9,Paramètres!$A$1:$I$89,5,0)</f>
        <v>1.2388121592241741</v>
      </c>
      <c r="P6" s="14">
        <f t="shared" si="33"/>
        <v>0.5568416206694583</v>
      </c>
      <c r="Q6" s="22">
        <f t="shared" si="2"/>
        <v>3.1274303333147428</v>
      </c>
      <c r="R6" s="62">
        <f t="shared" si="0"/>
        <v>176.48245090319963</v>
      </c>
      <c r="S6" s="62">
        <f ca="1">AVERAGE(OFFSET($R$3,0,0,'Données projet'!$E$9+1,1))-AVERAGE(OFFSET($H$3,0,0,'Données projet'!$E$9+1,1))</f>
        <v>409.45931633551902</v>
      </c>
      <c r="T6" s="62">
        <f t="shared" si="34"/>
        <v>375.18886653687389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5.7692307692307692</v>
      </c>
      <c r="AI6" s="14">
        <f>IF('Données projet'!$A$62&gt;35,AI5+AH6-AQ5,IF(A6&lt;'Données projet'!$A$62,$AF$205^A6,IF(A6='Données projet'!$A$62,'Données projet'!$B$62,AI5+AH6-AQ5)))</f>
        <v>2.7083603389865027</v>
      </c>
      <c r="AJ6" s="14">
        <f>AI6*VLOOKUP('Données projet'!$B$10,Paramètres!$A$1:$I$89,3,0)*VLOOKUP('Données projet'!$B$10,Paramètres!$A$1:$I$89,5,0)</f>
        <v>1.6195994827139286</v>
      </c>
      <c r="AK6" s="14">
        <f t="shared" si="35"/>
        <v>0.70564236392136903</v>
      </c>
      <c r="AL6" s="22">
        <f t="shared" si="4"/>
        <v>4.0497962162231431</v>
      </c>
      <c r="AM6" s="62">
        <f t="shared" si="5"/>
        <v>177.40481678610803</v>
      </c>
      <c r="AN6" s="62">
        <f ca="1">AVERAGE(OFFSET($AM$3,0,0,'Données projet'!$E$10+1,1))-AVERAGE(OFFSET($H$3,0,0,'Données projet'!$E$10+1,1))</f>
        <v>212.90262675152454</v>
      </c>
      <c r="AO6" s="62">
        <f t="shared" si="36"/>
        <v>366.51899340890498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5.8</v>
      </c>
      <c r="BD6" s="13">
        <f>IF('Données projet'!$A$88&gt;35,BD5+BC6-BL5,IF(A6&lt;'Données projet'!$A$88,$BA$205^A6,IF(A6='Données projet'!$A$88,'Données projet'!$B$88,BD5+BC6-BL5)))</f>
        <v>2.4428896557373947</v>
      </c>
      <c r="BE6" s="14">
        <f>BD6*VLOOKUP('Données projet'!$B$11,Paramètres!$A$1:$I$89,3,0)*VLOOKUP('Données projet'!$B$11,Paramètres!$A$1:$I$89,5,0)</f>
        <v>2.1341084032521884</v>
      </c>
      <c r="BF6" s="14">
        <f t="shared" si="37"/>
        <v>0.90042541139273424</v>
      </c>
      <c r="BG6" s="22">
        <f t="shared" si="7"/>
        <v>5.2851463938399075</v>
      </c>
      <c r="BH6" s="62">
        <f t="shared" si="8"/>
        <v>178.64016696372479</v>
      </c>
      <c r="BI6" s="62">
        <f ca="1">AVERAGE(OFFSET($BH$3,0,0,'Données projet'!$E$11+1,1))-AVERAGE(OFFSET($H$3,0,0,'Données projet'!$E$11+1,1))</f>
        <v>342.02279578180605</v>
      </c>
      <c r="BJ6" s="62">
        <f t="shared" si="38"/>
        <v>409.02379334777754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1.1000000000000001</v>
      </c>
      <c r="BY6" s="13">
        <f>IF('Données projet'!$A$114&gt;35,BY5+BX6-CG5,IF(A6&lt;'Données projet'!$A$114,$BV$205^A6,IF(A6='Données projet'!$A$114,'Données projet'!$B$114,BY5+BX6-CG5)))</f>
        <v>2.0531364136588448</v>
      </c>
      <c r="BZ6" s="14">
        <f>BY6*VLOOKUP('Données projet'!$B$12,Paramètres!$A$1:$I$89,3,0)*VLOOKUP('Données projet'!$B$12,Paramètres!$A$1:$I$89,5,0)</f>
        <v>1.6334753307069771</v>
      </c>
      <c r="CA6" s="14">
        <f t="shared" si="39"/>
        <v>0.71098156578295024</v>
      </c>
      <c r="CB6" s="22">
        <f t="shared" si="10"/>
        <v>4.0832624280532892</v>
      </c>
      <c r="CC6" s="62">
        <f t="shared" si="11"/>
        <v>177.43828299793819</v>
      </c>
      <c r="CD6" s="62">
        <f ca="1">AVERAGE(OFFSET($CC$3,0,0,'Données projet'!$E$12+1,1))-AVERAGE(OFFSET($H$3,0,0,'Données projet'!$E$12+1,1))</f>
        <v>376.47942810265266</v>
      </c>
      <c r="CE6" s="62">
        <f t="shared" si="40"/>
        <v>362.87951024071265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1.1000000000000001</v>
      </c>
      <c r="CT6" s="13">
        <f>IF('Données projet'!$A$140&gt;35,CT5+CS6-DB5,IF(A6&lt;'Données projet'!$A$140,$CQ$205^A6,IF(A6='Données projet'!$A$140,'Données projet'!$B$140,CT5+CS6-DB5)))</f>
        <v>2.0531364136588448</v>
      </c>
      <c r="CU6" s="18">
        <f>CT6*VLOOKUP('Données projet'!$B$13,Paramètres!$A$1:$I$89,3,0)*VLOOKUP('Données projet'!$B$13,Paramètres!$A$1:$I$89,5,0)</f>
        <v>1.5053596184946649</v>
      </c>
      <c r="CV6" s="14">
        <f t="shared" si="41"/>
        <v>0.66147738405820555</v>
      </c>
      <c r="CW6" s="22">
        <f t="shared" si="13"/>
        <v>3.7739077794462492</v>
      </c>
      <c r="CX6" s="62">
        <f t="shared" si="14"/>
        <v>177.12892834933115</v>
      </c>
      <c r="CY6" s="62">
        <f ca="1">AVERAGE(OFFSET($CX$3,0,0,'Données projet'!$E$13+1,1))-AVERAGE(OFFSET($H$3,0,0,'Données projet'!$E$13+1,1))</f>
        <v>351.7223836693733</v>
      </c>
      <c r="CZ6" s="62">
        <f t="shared" si="42"/>
        <v>339.34942976598518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183.33333333333334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8.1284210526315785</v>
      </c>
      <c r="N7" s="14">
        <f>IF('Données projet'!$A$36&gt;35,N6+M7-V6,IF(A7&lt;'Données projet'!$A$36,$K$205^A7,IF(A7='Données projet'!$A$36,'Données projet'!$B$36,N6+M7-V6)))</f>
        <v>2.8892926670846877</v>
      </c>
      <c r="O7" s="14">
        <f>N7*VLOOKUP('Données projet'!$B$9,Paramètres!$A$1:$I$89,3,0)*VLOOKUP('Données projet'!$B$9,Paramètres!$A$1:$I$89,5,0)</f>
        <v>1.6151146009003403</v>
      </c>
      <c r="P7" s="14">
        <f t="shared" si="33"/>
        <v>0.70391551721783874</v>
      </c>
      <c r="Q7" s="22">
        <f t="shared" si="2"/>
        <v>4.0389774557224944</v>
      </c>
      <c r="R7" s="62">
        <f t="shared" si="0"/>
        <v>180.12509951989944</v>
      </c>
      <c r="S7" s="62">
        <f ca="1">AVERAGE(OFFSET($R$3,0,0,'Données projet'!$E$9+1,1))-AVERAGE(OFFSET($H$3,0,0,'Données projet'!$E$9+1,1))</f>
        <v>409.45931633551902</v>
      </c>
      <c r="T7" s="62">
        <f t="shared" si="34"/>
        <v>375.18886653687389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5.7692307692307692</v>
      </c>
      <c r="AI7" s="14">
        <f>IF('Données projet'!$A$62&gt;35,AI6+AH7-AQ6,IF(A7&lt;'Données projet'!$A$62,$AF$205^A7,IF(A7='Données projet'!$A$62,'Données projet'!$B$62,AI6+AH7-AQ6)))</f>
        <v>3.775217062651647</v>
      </c>
      <c r="AJ7" s="14">
        <f>AI7*VLOOKUP('Données projet'!$B$10,Paramètres!$A$1:$I$89,3,0)*VLOOKUP('Données projet'!$B$10,Paramètres!$A$1:$I$89,5,0)</f>
        <v>2.2575798034656849</v>
      </c>
      <c r="AK7" s="14">
        <f t="shared" si="35"/>
        <v>0.94630496324253699</v>
      </c>
      <c r="AL7" s="22">
        <f t="shared" si="4"/>
        <v>5.5800993020168193</v>
      </c>
      <c r="AM7" s="62">
        <f t="shared" si="5"/>
        <v>181.66622136619378</v>
      </c>
      <c r="AN7" s="62">
        <f ca="1">AVERAGE(OFFSET($AM$3,0,0,'Données projet'!$E$10+1,1))-AVERAGE(OFFSET($H$3,0,0,'Données projet'!$E$10+1,1))</f>
        <v>212.90262675152454</v>
      </c>
      <c r="AO7" s="62">
        <f t="shared" si="36"/>
        <v>366.51899340890498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5.8</v>
      </c>
      <c r="BD7" s="13">
        <f>IF('Données projet'!$A$88&gt;35,BD6+BC7-BL6,IF(A7&lt;'Données projet'!$A$88,$BA$205^A7,IF(A7='Données projet'!$A$88,'Données projet'!$B$88,BD6+BC7-BL6)))</f>
        <v>3.2900699687263746</v>
      </c>
      <c r="BE7" s="14">
        <f>BD7*VLOOKUP('Données projet'!$B$11,Paramètres!$A$1:$I$89,3,0)*VLOOKUP('Données projet'!$B$11,Paramètres!$A$1:$I$89,5,0)</f>
        <v>2.874205124679361</v>
      </c>
      <c r="BF7" s="14">
        <f t="shared" si="37"/>
        <v>1.1713814899478936</v>
      </c>
      <c r="BG7" s="22">
        <f t="shared" si="7"/>
        <v>7.0460633538091342</v>
      </c>
      <c r="BH7" s="62">
        <f t="shared" si="8"/>
        <v>183.13218541798608</v>
      </c>
      <c r="BI7" s="62">
        <f ca="1">AVERAGE(OFFSET($BH$3,0,0,'Données projet'!$E$11+1,1))-AVERAGE(OFFSET($H$3,0,0,'Données projet'!$E$11+1,1))</f>
        <v>342.02279578180605</v>
      </c>
      <c r="BJ7" s="62">
        <f t="shared" si="38"/>
        <v>409.02379334777754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1.1000000000000001</v>
      </c>
      <c r="BY7" s="13">
        <f>IF('Données projet'!$A$114&gt;35,BY6+BX7-CG6,IF(A7&lt;'Données projet'!$A$114,$BV$205^A7,IF(A7='Données projet'!$A$114,'Données projet'!$B$114,BY6+BX7-CG6)))</f>
        <v>2.6094986352788743</v>
      </c>
      <c r="BZ7" s="14">
        <f>BY7*VLOOKUP('Données projet'!$B$12,Paramètres!$A$1:$I$89,3,0)*VLOOKUP('Données projet'!$B$12,Paramètres!$A$1:$I$89,5,0)</f>
        <v>2.0761171142278725</v>
      </c>
      <c r="CA7" s="14">
        <f t="shared" si="39"/>
        <v>0.87877116536856548</v>
      </c>
      <c r="CB7" s="22">
        <f t="shared" si="10"/>
        <v>5.14643042029713</v>
      </c>
      <c r="CC7" s="62">
        <f t="shared" si="11"/>
        <v>181.23255248447407</v>
      </c>
      <c r="CD7" s="62">
        <f ca="1">AVERAGE(OFFSET($CC$3,0,0,'Données projet'!$E$12+1,1))-AVERAGE(OFFSET($H$3,0,0,'Données projet'!$E$12+1,1))</f>
        <v>376.47942810265266</v>
      </c>
      <c r="CE7" s="62">
        <f t="shared" si="40"/>
        <v>362.87951024071265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1.1000000000000001</v>
      </c>
      <c r="CT7" s="13">
        <f>IF('Données projet'!$A$140&gt;35,CT6+CS7-DB6,IF(A7&lt;'Données projet'!$A$140,$CQ$205^A7,IF(A7='Données projet'!$A$140,'Données projet'!$B$140,CT6+CS7-DB6)))</f>
        <v>2.6094986352788743</v>
      </c>
      <c r="CU7" s="18">
        <f>CT7*VLOOKUP('Données projet'!$B$13,Paramètres!$A$1:$I$89,3,0)*VLOOKUP('Données projet'!$B$13,Paramètres!$A$1:$I$89,5,0)</f>
        <v>1.9132843993864705</v>
      </c>
      <c r="CV7" s="14">
        <f t="shared" si="41"/>
        <v>0.81758413948982178</v>
      </c>
      <c r="CW7" s="22">
        <f t="shared" si="13"/>
        <v>4.7562627052095419</v>
      </c>
      <c r="CX7" s="62">
        <f t="shared" si="14"/>
        <v>180.84238476938648</v>
      </c>
      <c r="CY7" s="62">
        <f ca="1">AVERAGE(OFFSET($CX$3,0,0,'Données projet'!$E$13+1,1))-AVERAGE(OFFSET($H$3,0,0,'Données projet'!$E$13+1,1))</f>
        <v>351.7223836693733</v>
      </c>
      <c r="CZ7" s="62">
        <f t="shared" si="42"/>
        <v>339.34942976598518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183.33333333333334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8.1284210526315785</v>
      </c>
      <c r="N8" s="14">
        <f>IF('Données projet'!$A$36&gt;35,N7+M8-V7,IF(A8&lt;'Données projet'!$A$36,$K$205^A8,IF(A8='Données projet'!$A$36,'Données projet'!$B$36,N7+M8-V7)))</f>
        <v>3.7669462138676937</v>
      </c>
      <c r="O8" s="14">
        <f>N8*VLOOKUP('Données projet'!$B$9,Paramètres!$A$1:$I$89,3,0)*VLOOKUP('Données projet'!$B$9,Paramètres!$A$1:$I$89,5,0)</f>
        <v>2.1057229335520411</v>
      </c>
      <c r="P8" s="14">
        <f t="shared" si="33"/>
        <v>0.88983480578256757</v>
      </c>
      <c r="Q8" s="22">
        <f t="shared" si="2"/>
        <v>5.2172630626744434</v>
      </c>
      <c r="R8" s="62">
        <f t="shared" si="0"/>
        <v>184.0083109391218</v>
      </c>
      <c r="S8" s="62">
        <f ca="1">AVERAGE(OFFSET($R$3,0,0,'Données projet'!$E$9+1,1))-AVERAGE(OFFSET($H$3,0,0,'Données projet'!$E$9+1,1))</f>
        <v>409.45931633551902</v>
      </c>
      <c r="T8" s="62">
        <f t="shared" si="34"/>
        <v>375.18886653687389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5.7692307692307692</v>
      </c>
      <c r="AI8" s="14">
        <f>IF('Données projet'!$A$62&gt;35,AI7+AH8-AQ7,IF(A8&lt;'Données projet'!$A$62,$AF$205^A8,IF(A8='Données projet'!$A$62,'Données projet'!$B$62,AI7+AH8-AQ7)))</f>
        <v>5.2623218797648903</v>
      </c>
      <c r="AJ8" s="14">
        <f>AI8*VLOOKUP('Données projet'!$B$10,Paramètres!$A$1:$I$89,3,0)*VLOOKUP('Données projet'!$B$10,Paramètres!$A$1:$I$89,5,0)</f>
        <v>3.1468684840994046</v>
      </c>
      <c r="AK8" s="14">
        <f t="shared" si="35"/>
        <v>1.2690466576879811</v>
      </c>
      <c r="AL8" s="22">
        <f t="shared" si="4"/>
        <v>7.6910522052796955</v>
      </c>
      <c r="AM8" s="62">
        <f t="shared" si="5"/>
        <v>186.48210008172705</v>
      </c>
      <c r="AN8" s="62">
        <f ca="1">AVERAGE(OFFSET($AM$3,0,0,'Données projet'!$E$10+1,1))-AVERAGE(OFFSET($H$3,0,0,'Données projet'!$E$10+1,1))</f>
        <v>212.90262675152454</v>
      </c>
      <c r="AO8" s="62">
        <f t="shared" si="36"/>
        <v>366.51899340890498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5.8</v>
      </c>
      <c r="BD8" s="13">
        <f>IF('Données projet'!$A$88&gt;35,BD7+BC8-BL7,IF(A8&lt;'Données projet'!$A$88,$BA$205^A8,IF(A8='Données projet'!$A$88,'Données projet'!$B$88,BD7+BC8-BL7)))</f>
        <v>4.4310476216936356</v>
      </c>
      <c r="BE8" s="14">
        <f>BD8*VLOOKUP('Données projet'!$B$11,Paramètres!$A$1:$I$89,3,0)*VLOOKUP('Données projet'!$B$11,Paramètres!$A$1:$I$89,5,0)</f>
        <v>3.8709632023115605</v>
      </c>
      <c r="BF8" s="14">
        <f t="shared" si="37"/>
        <v>1.5238736908481918</v>
      </c>
      <c r="BG8" s="22">
        <f t="shared" si="7"/>
        <v>9.3960075889199022</v>
      </c>
      <c r="BH8" s="62">
        <f t="shared" si="8"/>
        <v>188.18705546536725</v>
      </c>
      <c r="BI8" s="62">
        <f ca="1">AVERAGE(OFFSET($BH$3,0,0,'Données projet'!$E$11+1,1))-AVERAGE(OFFSET($H$3,0,0,'Données projet'!$E$11+1,1))</f>
        <v>342.02279578180605</v>
      </c>
      <c r="BJ8" s="62">
        <f t="shared" si="38"/>
        <v>409.02379334777754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1.1000000000000001</v>
      </c>
      <c r="BY8" s="13">
        <f>IF('Données projet'!$A$114&gt;35,BY7+BX8-CG7,IF(A8&lt;'Données projet'!$A$114,$BV$205^A8,IF(A8='Données projet'!$A$114,'Données projet'!$B$114,BY7+BX8-CG7)))</f>
        <v>3.3166247903554016</v>
      </c>
      <c r="BZ8" s="14">
        <f>BY8*VLOOKUP('Données projet'!$B$12,Paramètres!$A$1:$I$89,3,0)*VLOOKUP('Données projet'!$B$12,Paramètres!$A$1:$I$89,5,0)</f>
        <v>2.6387066832067574</v>
      </c>
      <c r="CA8" s="14">
        <f t="shared" si="39"/>
        <v>1.0861586266766543</v>
      </c>
      <c r="CB8" s="22">
        <f t="shared" si="10"/>
        <v>6.4874737480469413</v>
      </c>
      <c r="CC8" s="62">
        <f t="shared" si="11"/>
        <v>185.27852162449429</v>
      </c>
      <c r="CD8" s="62">
        <f ca="1">AVERAGE(OFFSET($CC$3,0,0,'Données projet'!$E$12+1,1))-AVERAGE(OFFSET($H$3,0,0,'Données projet'!$E$12+1,1))</f>
        <v>376.47942810265266</v>
      </c>
      <c r="CE8" s="62">
        <f t="shared" si="40"/>
        <v>362.87951024071265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1.1000000000000001</v>
      </c>
      <c r="CT8" s="13">
        <f>IF('Données projet'!$A$140&gt;35,CT7+CS8-DB7,IF(A8&lt;'Données projet'!$A$140,$CQ$205^A8,IF(A8='Données projet'!$A$140,'Données projet'!$B$140,CT7+CS8-DB7)))</f>
        <v>3.3166247903554016</v>
      </c>
      <c r="CU8" s="18">
        <f>CT8*VLOOKUP('Données projet'!$B$13,Paramètres!$A$1:$I$89,3,0)*VLOOKUP('Données projet'!$B$13,Paramètres!$A$1:$I$89,5,0)</f>
        <v>2.4317492962885807</v>
      </c>
      <c r="CV8" s="14">
        <f t="shared" si="41"/>
        <v>1.010531639108154</v>
      </c>
      <c r="CW8" s="22">
        <f t="shared" si="13"/>
        <v>5.9953059624826457</v>
      </c>
      <c r="CX8" s="62">
        <f t="shared" si="14"/>
        <v>184.78635383892998</v>
      </c>
      <c r="CY8" s="62">
        <f ca="1">AVERAGE(OFFSET($CX$3,0,0,'Données projet'!$E$13+1,1))-AVERAGE(OFFSET($H$3,0,0,'Données projet'!$E$13+1,1))</f>
        <v>351.7223836693733</v>
      </c>
      <c r="CZ8" s="62">
        <f t="shared" si="42"/>
        <v>339.34942976598518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183.33333333333334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8.1284210526315785</v>
      </c>
      <c r="N9" s="14">
        <f>IF('Données projet'!$A$36&gt;35,N8+M9-V8,IF(A9&lt;'Données projet'!$A$36,$K$205^A9,IF(A9='Données projet'!$A$36,'Données projet'!$B$36,N8+M9-V8)))</f>
        <v>4.911196411435129</v>
      </c>
      <c r="O9" s="14">
        <f>N9*VLOOKUP('Données projet'!$B$9,Paramètres!$A$1:$I$89,3,0)*VLOOKUP('Données projet'!$B$9,Paramètres!$A$1:$I$89,5,0)</f>
        <v>2.7453587939922373</v>
      </c>
      <c r="P9" s="14">
        <f t="shared" si="33"/>
        <v>1.1248593932289483</v>
      </c>
      <c r="Q9" s="22">
        <f t="shared" si="2"/>
        <v>6.7406300094102312</v>
      </c>
      <c r="R9" s="62">
        <f t="shared" si="0"/>
        <v>188.21088210566921</v>
      </c>
      <c r="S9" s="62">
        <f ca="1">AVERAGE(OFFSET($R$3,0,0,'Données projet'!$E$9+1,1))-AVERAGE(OFFSET($H$3,0,0,'Données projet'!$E$9+1,1))</f>
        <v>409.45931633551902</v>
      </c>
      <c r="T9" s="62">
        <f t="shared" si="34"/>
        <v>375.18886653687389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5.7692307692307692</v>
      </c>
      <c r="AI9" s="14">
        <f>IF('Données projet'!$A$62&gt;35,AI8+AH9-AQ8,IF(A9&lt;'Données projet'!$A$62,$AF$205^A9,IF(A9='Données projet'!$A$62,'Données projet'!$B$62,AI8+AH9-AQ8)))</f>
        <v>7.3352157257950852</v>
      </c>
      <c r="AJ9" s="14">
        <f>AI9*VLOOKUP('Données projet'!$B$10,Paramètres!$A$1:$I$89,3,0)*VLOOKUP('Données projet'!$B$10,Paramètres!$A$1:$I$89,5,0)</f>
        <v>4.3864590040254612</v>
      </c>
      <c r="AK9" s="14">
        <f t="shared" si="35"/>
        <v>1.7018609031391834</v>
      </c>
      <c r="AL9" s="22">
        <f t="shared" si="4"/>
        <v>10.603823838311754</v>
      </c>
      <c r="AM9" s="62">
        <f t="shared" si="5"/>
        <v>192.07407593457071</v>
      </c>
      <c r="AN9" s="62">
        <f ca="1">AVERAGE(OFFSET($AM$3,0,0,'Données projet'!$E$10+1,1))-AVERAGE(OFFSET($H$3,0,0,'Données projet'!$E$10+1,1))</f>
        <v>212.90262675152454</v>
      </c>
      <c r="AO9" s="62">
        <f t="shared" si="36"/>
        <v>366.51899340890498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5.8</v>
      </c>
      <c r="BD9" s="13">
        <f>IF('Données projet'!$A$88&gt;35,BD8+BC9-BL8,IF(A9&lt;'Données projet'!$A$88,$BA$205^A9,IF(A9='Données projet'!$A$88,'Données projet'!$B$88,BD8+BC9-BL8)))</f>
        <v>5.9677098701087665</v>
      </c>
      <c r="BE9" s="14">
        <f>BD9*VLOOKUP('Données projet'!$B$11,Paramètres!$A$1:$I$89,3,0)*VLOOKUP('Données projet'!$B$11,Paramètres!$A$1:$I$89,5,0)</f>
        <v>5.2133913425270189</v>
      </c>
      <c r="BF9" s="14">
        <f t="shared" si="37"/>
        <v>1.9824378698032765</v>
      </c>
      <c r="BG9" s="22">
        <f t="shared" si="7"/>
        <v>12.53273587814193</v>
      </c>
      <c r="BH9" s="62">
        <f t="shared" si="8"/>
        <v>194.0029879744009</v>
      </c>
      <c r="BI9" s="62">
        <f ca="1">AVERAGE(OFFSET($BH$3,0,0,'Données projet'!$E$11+1,1))-AVERAGE(OFFSET($H$3,0,0,'Données projet'!$E$11+1,1))</f>
        <v>342.02279578180605</v>
      </c>
      <c r="BJ9" s="62">
        <f t="shared" si="38"/>
        <v>409.02379334777754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1.1000000000000001</v>
      </c>
      <c r="BY9" s="13">
        <f>IF('Données projet'!$A$114&gt;35,BY8+BX9-CG8,IF(A9&lt;'Données projet'!$A$114,$BV$205^A9,IF(A9='Données projet'!$A$114,'Données projet'!$B$114,BY8+BX9-CG8)))</f>
        <v>4.2153691330919028</v>
      </c>
      <c r="BZ9" s="14">
        <f>BY9*VLOOKUP('Données projet'!$B$12,Paramètres!$A$1:$I$89,3,0)*VLOOKUP('Données projet'!$B$12,Paramètres!$A$1:$I$89,5,0)</f>
        <v>3.353747682287918</v>
      </c>
      <c r="CA9" s="14">
        <f t="shared" si="39"/>
        <v>1.3424889309030987</v>
      </c>
      <c r="CB9" s="22">
        <f t="shared" si="10"/>
        <v>8.1792787679743544</v>
      </c>
      <c r="CC9" s="62">
        <f t="shared" si="11"/>
        <v>189.64953086423333</v>
      </c>
      <c r="CD9" s="62">
        <f ca="1">AVERAGE(OFFSET($CC$3,0,0,'Données projet'!$E$12+1,1))-AVERAGE(OFFSET($H$3,0,0,'Données projet'!$E$12+1,1))</f>
        <v>376.47942810265266</v>
      </c>
      <c r="CE9" s="62">
        <f t="shared" si="40"/>
        <v>362.87951024071265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1.1000000000000001</v>
      </c>
      <c r="CT9" s="13">
        <f>IF('Données projet'!$A$140&gt;35,CT8+CS9-DB8,IF(A9&lt;'Données projet'!$A$140,$CQ$205^A9,IF(A9='Données projet'!$A$140,'Données projet'!$B$140,CT8+CS9-DB8)))</f>
        <v>4.2153691330919028</v>
      </c>
      <c r="CU9" s="18">
        <f>CT9*VLOOKUP('Données projet'!$B$13,Paramètres!$A$1:$I$89,3,0)*VLOOKUP('Données projet'!$B$13,Paramètres!$A$1:$I$89,5,0)</f>
        <v>3.0907086483829831</v>
      </c>
      <c r="CV9" s="14">
        <f t="shared" si="41"/>
        <v>1.2490141923201104</v>
      </c>
      <c r="CW9" s="22">
        <f t="shared" si="13"/>
        <v>7.5583506142245538</v>
      </c>
      <c r="CX9" s="62">
        <f t="shared" si="14"/>
        <v>189.02860271048354</v>
      </c>
      <c r="CY9" s="62">
        <f ca="1">AVERAGE(OFFSET($CX$3,0,0,'Données projet'!$E$13+1,1))-AVERAGE(OFFSET($H$3,0,0,'Données projet'!$E$13+1,1))</f>
        <v>351.7223836693733</v>
      </c>
      <c r="CZ9" s="62">
        <f t="shared" si="42"/>
        <v>339.34942976598518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183.33333333333334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8.1284210526315785</v>
      </c>
      <c r="N10" s="14">
        <f>IF('Données projet'!$A$36&gt;35,N9+M10-V9,IF(A10&lt;'Données projet'!$A$36,$K$205^A10,IF(A10='Données projet'!$A$36,'Données projet'!$B$36,N9+M10-V9)))</f>
        <v>6.403024843545178</v>
      </c>
      <c r="O10" s="14">
        <f>N10*VLOOKUP('Données projet'!$B$9,Paramètres!$A$1:$I$89,3,0)*VLOOKUP('Données projet'!$B$9,Paramètres!$A$1:$I$89,5,0)</f>
        <v>3.5792908875417546</v>
      </c>
      <c r="P10" s="14">
        <f t="shared" si="33"/>
        <v>1.4219590493795295</v>
      </c>
      <c r="Q10" s="22">
        <f t="shared" si="2"/>
        <v>8.7105103068045704</v>
      </c>
      <c r="R10" s="62">
        <f t="shared" si="0"/>
        <v>192.8346912425408</v>
      </c>
      <c r="S10" s="62">
        <f ca="1">AVERAGE(OFFSET($R$3,0,0,'Données projet'!$E$9+1,1))-AVERAGE(OFFSET($H$3,0,0,'Données projet'!$E$9+1,1))</f>
        <v>409.45931633551902</v>
      </c>
      <c r="T10" s="62">
        <f t="shared" si="34"/>
        <v>375.18886653687389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5.7692307692307692</v>
      </c>
      <c r="AI10" s="14">
        <f>IF('Données projet'!$A$62&gt;35,AI9+AH10-AQ9,IF(A10&lt;'Données projet'!$A$62,$AF$205^A10,IF(A10='Données projet'!$A$62,'Données projet'!$B$62,AI9+AH10-AQ9)))</f>
        <v>10.224648163550844</v>
      </c>
      <c r="AJ10" s="14">
        <f>AI10*VLOOKUP('Données projet'!$B$10,Paramètres!$A$1:$I$89,3,0)*VLOOKUP('Données projet'!$B$10,Paramètres!$A$1:$I$89,5,0)</f>
        <v>6.1143396018034055</v>
      </c>
      <c r="AK10" s="14">
        <f t="shared" si="35"/>
        <v>2.2822884533736612</v>
      </c>
      <c r="AL10" s="22">
        <f t="shared" si="4"/>
        <v>14.624127196100055</v>
      </c>
      <c r="AM10" s="62">
        <f t="shared" si="5"/>
        <v>198.7483081318363</v>
      </c>
      <c r="AN10" s="62">
        <f ca="1">AVERAGE(OFFSET($AM$3,0,0,'Données projet'!$E$10+1,1))-AVERAGE(OFFSET($H$3,0,0,'Données projet'!$E$10+1,1))</f>
        <v>212.90262675152454</v>
      </c>
      <c r="AO10" s="62">
        <f t="shared" si="36"/>
        <v>366.51899340890498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5.8</v>
      </c>
      <c r="BD10" s="13">
        <f>IF('Données projet'!$A$88&gt;35,BD9+BC10-BL9,IF(A10&lt;'Données projet'!$A$88,$BA$205^A10,IF(A10='Données projet'!$A$88,'Données projet'!$B$88,BD9+BC10-BL9)))</f>
        <v>8.0372778932539148</v>
      </c>
      <c r="BE10" s="14">
        <f>BD10*VLOOKUP('Données projet'!$B$11,Paramètres!$A$1:$I$89,3,0)*VLOOKUP('Données projet'!$B$11,Paramètres!$A$1:$I$89,5,0)</f>
        <v>7.0213659675466209</v>
      </c>
      <c r="BF10" s="14">
        <f t="shared" si="37"/>
        <v>2.5789932139603198</v>
      </c>
      <c r="BG10" s="22">
        <f t="shared" si="7"/>
        <v>16.72062557445792</v>
      </c>
      <c r="BH10" s="62">
        <f t="shared" si="8"/>
        <v>200.84480651019416</v>
      </c>
      <c r="BI10" s="62">
        <f ca="1">AVERAGE(OFFSET($BH$3,0,0,'Données projet'!$E$11+1,1))-AVERAGE(OFFSET($H$3,0,0,'Données projet'!$E$11+1,1))</f>
        <v>342.02279578180605</v>
      </c>
      <c r="BJ10" s="62">
        <f t="shared" si="38"/>
        <v>409.02379334777754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1.1000000000000001</v>
      </c>
      <c r="BY10" s="13">
        <f>IF('Données projet'!$A$114&gt;35,BY9+BX10-CG9,IF(A10&lt;'Données projet'!$A$114,$BV$205^A10,IF(A10='Données projet'!$A$114,'Données projet'!$B$114,BY9+BX10-CG9)))</f>
        <v>5.3576566694841175</v>
      </c>
      <c r="BZ10" s="14">
        <f>BY10*VLOOKUP('Données projet'!$B$12,Paramètres!$A$1:$I$89,3,0)*VLOOKUP('Données projet'!$B$12,Paramètres!$A$1:$I$89,5,0)</f>
        <v>4.2625516462415645</v>
      </c>
      <c r="CA10" s="14">
        <f t="shared" si="39"/>
        <v>1.6593124478620722</v>
      </c>
      <c r="CB10" s="22">
        <f t="shared" si="10"/>
        <v>10.313913297230501</v>
      </c>
      <c r="CC10" s="62">
        <f t="shared" si="11"/>
        <v>194.43809423296673</v>
      </c>
      <c r="CD10" s="62">
        <f ca="1">AVERAGE(OFFSET($CC$3,0,0,'Données projet'!$E$12+1,1))-AVERAGE(OFFSET($H$3,0,0,'Données projet'!$E$12+1,1))</f>
        <v>376.47942810265266</v>
      </c>
      <c r="CE10" s="62">
        <f t="shared" si="40"/>
        <v>362.87951024071265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1.1000000000000001</v>
      </c>
      <c r="CT10" s="13">
        <f>IF('Données projet'!$A$140&gt;35,CT9+CS10-DB9,IF(A10&lt;'Données projet'!$A$140,$CQ$205^A10,IF(A10='Données projet'!$A$140,'Données projet'!$B$140,CT9+CS10-DB9)))</f>
        <v>5.3576566694841175</v>
      </c>
      <c r="CU10" s="18">
        <f>CT10*VLOOKUP('Données projet'!$B$13,Paramètres!$A$1:$I$89,3,0)*VLOOKUP('Données projet'!$B$13,Paramètres!$A$1:$I$89,5,0)</f>
        <v>3.9282338700657551</v>
      </c>
      <c r="CV10" s="14">
        <f t="shared" si="41"/>
        <v>1.5437779404847436</v>
      </c>
      <c r="CW10" s="22">
        <f t="shared" si="13"/>
        <v>9.5304205700421178</v>
      </c>
      <c r="CX10" s="62">
        <f t="shared" si="14"/>
        <v>193.65460150577834</v>
      </c>
      <c r="CY10" s="62">
        <f ca="1">AVERAGE(OFFSET($CX$3,0,0,'Données projet'!$E$13+1,1))-AVERAGE(OFFSET($H$3,0,0,'Données projet'!$E$13+1,1))</f>
        <v>351.7223836693733</v>
      </c>
      <c r="CZ10" s="62">
        <f t="shared" si="42"/>
        <v>339.34942976598518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183.33333333333334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8.1284210526315785</v>
      </c>
      <c r="N11" s="14">
        <f>IF('Données projet'!$A$36&gt;35,N10+M11-V10,IF(A11&lt;'Données projet'!$A$36,$K$205^A11,IF(A11='Données projet'!$A$36,'Données projet'!$B$36,N10+M11-V10)))</f>
        <v>8.3480121160693486</v>
      </c>
      <c r="O11" s="14">
        <f>N11*VLOOKUP('Données projet'!$B$9,Paramètres!$A$1:$I$89,3,0)*VLOOKUP('Données projet'!$B$9,Paramètres!$A$1:$I$89,5,0)</f>
        <v>4.6665387728827659</v>
      </c>
      <c r="P11" s="14">
        <f t="shared" si="33"/>
        <v>1.7975291403383375</v>
      </c>
      <c r="Q11" s="22">
        <f t="shared" si="2"/>
        <v>11.258251615526754</v>
      </c>
      <c r="R11" s="62">
        <f t="shared" si="0"/>
        <v>198.0115244817473</v>
      </c>
      <c r="S11" s="62">
        <f ca="1">AVERAGE(OFFSET($R$3,0,0,'Données projet'!$E$9+1,1))-AVERAGE(OFFSET($H$3,0,0,'Données projet'!$E$9+1,1))</f>
        <v>409.45931633551902</v>
      </c>
      <c r="T11" s="62">
        <f t="shared" si="34"/>
        <v>375.18886653687389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5.7692307692307692</v>
      </c>
      <c r="AI11" s="14">
        <f>IF('Données projet'!$A$62&gt;35,AI10+AH11-AQ10,IF(A11&lt;'Données projet'!$A$62,$AF$205^A11,IF(A11='Données projet'!$A$62,'Données projet'!$B$62,AI10+AH11-AQ10)))</f>
        <v>14.252263870136129</v>
      </c>
      <c r="AJ11" s="14">
        <f>AI11*VLOOKUP('Données projet'!$B$10,Paramètres!$A$1:$I$89,3,0)*VLOOKUP('Données projet'!$B$10,Paramètres!$A$1:$I$89,5,0)</f>
        <v>8.5228537943414064</v>
      </c>
      <c r="AK11" s="14">
        <f t="shared" si="35"/>
        <v>3.0606735102702713</v>
      </c>
      <c r="AL11" s="22">
        <f t="shared" si="4"/>
        <v>20.174643388865338</v>
      </c>
      <c r="AM11" s="62">
        <f t="shared" si="5"/>
        <v>206.9279162550859</v>
      </c>
      <c r="AN11" s="62">
        <f ca="1">AVERAGE(OFFSET($AM$3,0,0,'Données projet'!$E$10+1,1))-AVERAGE(OFFSET($H$3,0,0,'Données projet'!$E$10+1,1))</f>
        <v>212.90262675152454</v>
      </c>
      <c r="AO11" s="62">
        <f t="shared" si="36"/>
        <v>366.51899340890498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5.8</v>
      </c>
      <c r="BD11" s="13">
        <f>IF('Données projet'!$A$88&gt;35,BD10+BC11-BL10,IF(A11&lt;'Données projet'!$A$88,$BA$205^A11,IF(A11='Données projet'!$A$88,'Données projet'!$B$88,BD10+BC11-BL10)))</f>
        <v>10.824560399115168</v>
      </c>
      <c r="BE11" s="14">
        <f>BD11*VLOOKUP('Données projet'!$B$11,Paramètres!$A$1:$I$89,3,0)*VLOOKUP('Données projet'!$B$11,Paramètres!$A$1:$I$89,5,0)</f>
        <v>9.4563359646670122</v>
      </c>
      <c r="BF11" s="14">
        <f t="shared" si="37"/>
        <v>3.3550640345230081</v>
      </c>
      <c r="BG11" s="22">
        <f t="shared" si="7"/>
        <v>22.313188331922618</v>
      </c>
      <c r="BH11" s="62">
        <f t="shared" si="8"/>
        <v>209.06646119814317</v>
      </c>
      <c r="BI11" s="62">
        <f ca="1">AVERAGE(OFFSET($BH$3,0,0,'Données projet'!$E$11+1,1))-AVERAGE(OFFSET($H$3,0,0,'Données projet'!$E$11+1,1))</f>
        <v>342.02279578180605</v>
      </c>
      <c r="BJ11" s="62">
        <f t="shared" si="38"/>
        <v>409.02379334777754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1.1000000000000001</v>
      </c>
      <c r="BY11" s="13">
        <f>IF('Données projet'!$A$114&gt;35,BY10+BX11-CG10,IF(A11&lt;'Données projet'!$A$114,$BV$205^A11,IF(A11='Données projet'!$A$114,'Données projet'!$B$114,BY10+BX11-CG10)))</f>
        <v>6.8094831275223076</v>
      </c>
      <c r="BZ11" s="14">
        <f>BY11*VLOOKUP('Données projet'!$B$12,Paramètres!$A$1:$I$89,3,0)*VLOOKUP('Données projet'!$B$12,Paramètres!$A$1:$I$89,5,0)</f>
        <v>5.4176247762567487</v>
      </c>
      <c r="CA11" s="14">
        <f t="shared" si="39"/>
        <v>2.0509054013412618</v>
      </c>
      <c r="CB11" s="22">
        <f t="shared" si="10"/>
        <v>13.007690059316532</v>
      </c>
      <c r="CC11" s="62">
        <f t="shared" si="11"/>
        <v>199.76096292553709</v>
      </c>
      <c r="CD11" s="62">
        <f ca="1">AVERAGE(OFFSET($CC$3,0,0,'Données projet'!$E$12+1,1))-AVERAGE(OFFSET($H$3,0,0,'Données projet'!$E$12+1,1))</f>
        <v>376.47942810265266</v>
      </c>
      <c r="CE11" s="62">
        <f t="shared" si="40"/>
        <v>362.87951024071265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1.1000000000000001</v>
      </c>
      <c r="CT11" s="13">
        <f>IF('Données projet'!$A$140&gt;35,CT10+CS11-DB10,IF(A11&lt;'Données projet'!$A$140,$CQ$205^A11,IF(A11='Données projet'!$A$140,'Données projet'!$B$140,CT10+CS11-DB10)))</f>
        <v>6.8094831275223076</v>
      </c>
      <c r="CU11" s="18">
        <f>CT11*VLOOKUP('Données projet'!$B$13,Paramètres!$A$1:$I$89,3,0)*VLOOKUP('Données projet'!$B$13,Paramètres!$A$1:$I$89,5,0)</f>
        <v>4.9927130290993551</v>
      </c>
      <c r="CV11" s="14">
        <f t="shared" si="41"/>
        <v>1.9081050833380053</v>
      </c>
      <c r="CW11" s="22">
        <f t="shared" si="13"/>
        <v>12.018924879161736</v>
      </c>
      <c r="CX11" s="62">
        <f t="shared" si="14"/>
        <v>198.7721977453823</v>
      </c>
      <c r="CY11" s="62">
        <f ca="1">AVERAGE(OFFSET($CX$3,0,0,'Données projet'!$E$13+1,1))-AVERAGE(OFFSET($H$3,0,0,'Données projet'!$E$13+1,1))</f>
        <v>351.7223836693733</v>
      </c>
      <c r="CZ11" s="62">
        <f t="shared" si="42"/>
        <v>339.34942976598518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183.33333333333334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8.1284210526315785</v>
      </c>
      <c r="N12" s="14">
        <f>IF('Données projet'!$A$36&gt;35,N11+M12-V11,IF(A12&lt;'Données projet'!$A$36,$K$205^A12,IF(A12='Données projet'!$A$36,'Données projet'!$B$36,N11+M12-V11)))</f>
        <v>10.883810073030356</v>
      </c>
      <c r="O12" s="14">
        <f>N12*VLOOKUP('Données projet'!$B$9,Paramètres!$A$1:$I$89,3,0)*VLOOKUP('Données projet'!$B$9,Paramètres!$A$1:$I$89,5,0)</f>
        <v>6.084049830823969</v>
      </c>
      <c r="P12" s="14">
        <f t="shared" si="33"/>
        <v>2.272295402441705</v>
      </c>
      <c r="Q12" s="22">
        <f t="shared" si="2"/>
        <v>14.553967947937716</v>
      </c>
      <c r="R12" s="62">
        <f t="shared" si="0"/>
        <v>203.91192670049378</v>
      </c>
      <c r="S12" s="62">
        <f ca="1">AVERAGE(OFFSET($R$3,0,0,'Données projet'!$E$9+1,1))-AVERAGE(OFFSET($H$3,0,0,'Données projet'!$E$9+1,1))</f>
        <v>409.45931633551902</v>
      </c>
      <c r="T12" s="62">
        <f t="shared" si="34"/>
        <v>375.18886653687389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5.7692307692307692</v>
      </c>
      <c r="AI12" s="14">
        <f>IF('Données projet'!$A$62&gt;35,AI11+AH12-AQ11,IF(A12&lt;'Données projet'!$A$62,$AF$205^A12,IF(A12='Données projet'!$A$62,'Données projet'!$B$62,AI11+AH12-AQ11)))</f>
        <v>19.866407349653503</v>
      </c>
      <c r="AJ12" s="14">
        <f>AI12*VLOOKUP('Données projet'!$B$10,Paramètres!$A$1:$I$89,3,0)*VLOOKUP('Données projet'!$B$10,Paramètres!$A$1:$I$89,5,0)</f>
        <v>11.880111595092796</v>
      </c>
      <c r="AK12" s="14">
        <f t="shared" si="35"/>
        <v>4.1045303991363813</v>
      </c>
      <c r="AL12" s="22">
        <f t="shared" si="4"/>
        <v>27.839918139949148</v>
      </c>
      <c r="AM12" s="62">
        <f t="shared" si="5"/>
        <v>217.19787689250523</v>
      </c>
      <c r="AN12" s="62">
        <f ca="1">AVERAGE(OFFSET($AM$3,0,0,'Données projet'!$E$10+1,1))-AVERAGE(OFFSET($H$3,0,0,'Données projet'!$E$10+1,1))</f>
        <v>212.90262675152454</v>
      </c>
      <c r="AO12" s="62">
        <f t="shared" si="36"/>
        <v>366.51899340890498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5.8</v>
      </c>
      <c r="BD12" s="13">
        <f>IF('Données projet'!$A$88&gt;35,BD11+BC12-BL11,IF(A12&lt;'Données projet'!$A$88,$BA$205^A12,IF(A12='Données projet'!$A$88,'Données projet'!$B$88,BD11+BC12-BL11)))</f>
        <v>14.578456710130657</v>
      </c>
      <c r="BE12" s="14">
        <f>BD12*VLOOKUP('Données projet'!$B$11,Paramètres!$A$1:$I$89,3,0)*VLOOKUP('Données projet'!$B$11,Paramètres!$A$1:$I$89,5,0)</f>
        <v>12.735739781970144</v>
      </c>
      <c r="BF12" s="14">
        <f t="shared" si="37"/>
        <v>4.364670141362768</v>
      </c>
      <c r="BG12" s="22">
        <f t="shared" si="7"/>
        <v>29.783213949804821</v>
      </c>
      <c r="BH12" s="62">
        <f t="shared" si="8"/>
        <v>219.1411727023609</v>
      </c>
      <c r="BI12" s="62">
        <f ca="1">AVERAGE(OFFSET($BH$3,0,0,'Données projet'!$E$11+1,1))-AVERAGE(OFFSET($H$3,0,0,'Données projet'!$E$11+1,1))</f>
        <v>342.02279578180605</v>
      </c>
      <c r="BJ12" s="62">
        <f t="shared" si="38"/>
        <v>409.02379334777754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1.1000000000000001</v>
      </c>
      <c r="BY12" s="13">
        <f>IF('Données projet'!$A$114&gt;35,BY11+BX12-CG11,IF(A12&lt;'Données projet'!$A$114,$BV$205^A12,IF(A12='Données projet'!$A$114,'Données projet'!$B$114,BY11+BX12-CG11)))</f>
        <v>8.6547278641645029</v>
      </c>
      <c r="BZ12" s="14">
        <f>BY12*VLOOKUP('Données projet'!$B$12,Paramètres!$A$1:$I$89,3,0)*VLOOKUP('Données projet'!$B$12,Paramètres!$A$1:$I$89,5,0)</f>
        <v>6.8857014887292793</v>
      </c>
      <c r="CA12" s="14">
        <f t="shared" si="39"/>
        <v>2.5349131627802968</v>
      </c>
      <c r="CB12" s="22">
        <f t="shared" si="10"/>
        <v>16.407570518045844</v>
      </c>
      <c r="CC12" s="62">
        <f t="shared" si="11"/>
        <v>205.76552927060192</v>
      </c>
      <c r="CD12" s="62">
        <f ca="1">AVERAGE(OFFSET($CC$3,0,0,'Données projet'!$E$12+1,1))-AVERAGE(OFFSET($H$3,0,0,'Données projet'!$E$12+1,1))</f>
        <v>376.47942810265266</v>
      </c>
      <c r="CE12" s="62">
        <f t="shared" si="40"/>
        <v>362.87951024071265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1.1000000000000001</v>
      </c>
      <c r="CT12" s="13">
        <f>IF('Données projet'!$A$140&gt;35,CT11+CS12-DB11,IF(A12&lt;'Données projet'!$A$140,$CQ$205^A12,IF(A12='Données projet'!$A$140,'Données projet'!$B$140,CT11+CS12-DB11)))</f>
        <v>8.6547278641645029</v>
      </c>
      <c r="CU12" s="18">
        <f>CT12*VLOOKUP('Données projet'!$B$13,Paramètres!$A$1:$I$89,3,0)*VLOOKUP('Données projet'!$B$13,Paramètres!$A$1:$I$89,5,0)</f>
        <v>6.3456464700054127</v>
      </c>
      <c r="CV12" s="14">
        <f t="shared" si="41"/>
        <v>2.3584123814576028</v>
      </c>
      <c r="CW12" s="22">
        <f t="shared" si="13"/>
        <v>15.159569166298086</v>
      </c>
      <c r="CX12" s="62">
        <f t="shared" si="14"/>
        <v>204.51752791885417</v>
      </c>
      <c r="CY12" s="62">
        <f ca="1">AVERAGE(OFFSET($CX$3,0,0,'Données projet'!$E$13+1,1))-AVERAGE(OFFSET($H$3,0,0,'Données projet'!$E$13+1,1))</f>
        <v>351.7223836693733</v>
      </c>
      <c r="CZ12" s="62">
        <f t="shared" si="42"/>
        <v>339.34942976598518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183.33333333333334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8.1284210526315785</v>
      </c>
      <c r="N13" s="14">
        <f>IF('Données projet'!$A$36&gt;35,N12+M13-V12,IF(A13&lt;'Données projet'!$A$36,$K$205^A13,IF(A13='Données projet'!$A$36,'Données projet'!$B$36,N12+M13-V12)))</f>
        <v>14.189883778172153</v>
      </c>
      <c r="O13" s="14">
        <f>N13*VLOOKUP('Données projet'!$B$9,Paramètres!$A$1:$I$89,3,0)*VLOOKUP('Données projet'!$B$9,Paramètres!$A$1:$I$89,5,0)</f>
        <v>7.9321450319982336</v>
      </c>
      <c r="P13" s="14">
        <f t="shared" si="33"/>
        <v>2.8724576865473512</v>
      </c>
      <c r="Q13" s="22">
        <f t="shared" si="2"/>
        <v>18.818016401466895</v>
      </c>
      <c r="R13" s="62">
        <f t="shared" si="0"/>
        <v>210.75667838651179</v>
      </c>
      <c r="S13" s="62">
        <f ca="1">AVERAGE(OFFSET($R$3,0,0,'Données projet'!$E$9+1,1))-AVERAGE(OFFSET($H$3,0,0,'Données projet'!$E$9+1,1))</f>
        <v>409.45931633551902</v>
      </c>
      <c r="T13" s="62">
        <f t="shared" si="34"/>
        <v>375.18886653687389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5.7692307692307692</v>
      </c>
      <c r="AI13" s="14">
        <f>IF('Données projet'!$A$62&gt;35,AI12+AH13-AQ12,IF(A13&lt;'Données projet'!$A$62,$AF$205^A13,IF(A13='Données projet'!$A$62,'Données projet'!$B$62,AI12+AH13-AQ12)))</f>
        <v>27.69203156625229</v>
      </c>
      <c r="AJ13" s="14">
        <f>AI13*VLOOKUP('Données projet'!$B$10,Paramètres!$A$1:$I$89,3,0)*VLOOKUP('Données projet'!$B$10,Paramètres!$A$1:$I$89,5,0)</f>
        <v>16.559834876618869</v>
      </c>
      <c r="AK13" s="14">
        <f t="shared" si="35"/>
        <v>5.5043995188977117</v>
      </c>
      <c r="AL13" s="22">
        <f t="shared" si="4"/>
        <v>38.428541572191371</v>
      </c>
      <c r="AM13" s="62">
        <f t="shared" si="5"/>
        <v>230.36720355723625</v>
      </c>
      <c r="AN13" s="62">
        <f ca="1">AVERAGE(OFFSET($AM$3,0,0,'Données projet'!$E$10+1,1))-AVERAGE(OFFSET($H$3,0,0,'Données projet'!$E$10+1,1))</f>
        <v>212.90262675152454</v>
      </c>
      <c r="AO13" s="62">
        <f t="shared" si="36"/>
        <v>366.51899340890498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5.8</v>
      </c>
      <c r="BD13" s="13">
        <f>IF('Données projet'!$A$88&gt;35,BD12+BC13-BL12,IF(A13&lt;'Données projet'!$A$88,$BA$205^A13,IF(A13='Données projet'!$A$88,'Données projet'!$B$88,BD12+BC13-BL12)))</f>
        <v>19.634183025716826</v>
      </c>
      <c r="BE13" s="14">
        <f>BD13*VLOOKUP('Données projet'!$B$11,Paramètres!$A$1:$I$89,3,0)*VLOOKUP('Données projet'!$B$11,Paramètres!$A$1:$I$89,5,0)</f>
        <v>17.152422291266223</v>
      </c>
      <c r="BF13" s="14">
        <f t="shared" si="37"/>
        <v>5.678086989362658</v>
      </c>
      <c r="BG13" s="22">
        <f t="shared" si="7"/>
        <v>39.763136997095295</v>
      </c>
      <c r="BH13" s="62">
        <f t="shared" si="8"/>
        <v>231.70179898214019</v>
      </c>
      <c r="BI13" s="62">
        <f ca="1">AVERAGE(OFFSET($BH$3,0,0,'Données projet'!$E$11+1,1))-AVERAGE(OFFSET($H$3,0,0,'Données projet'!$E$11+1,1))</f>
        <v>342.02279578180605</v>
      </c>
      <c r="BJ13" s="62">
        <f t="shared" si="38"/>
        <v>409.02379334777754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>
        <f>VLOOKUP(A13,'Données projet'!$A$113:$I$133,2,0)</f>
        <v>11</v>
      </c>
      <c r="BW13" s="13">
        <f>VLOOKUP(A13,'Données projet'!$A$113:$I$133,9,0)</f>
        <v>1.1000000000000001</v>
      </c>
      <c r="BX13" s="13">
        <f t="array" ref="BX13">INDEX(BW:BW,MIN(IF(ISNUMBER(BW13:BW209),ROW(BW13:BW209),"")))</f>
        <v>1.1000000000000001</v>
      </c>
      <c r="BY13" s="13">
        <f>IF('Données projet'!$A$114&gt;35,BY12+BX13-CG12,IF(A13&lt;'Données projet'!$A$114,$BV$205^A13,IF(A13='Données projet'!$A$114,'Données projet'!$B$114,BY12+BX13-CG12)))</f>
        <v>11</v>
      </c>
      <c r="BZ13" s="14">
        <f>BY13*VLOOKUP('Données projet'!$B$12,Paramètres!$A$1:$I$89,3,0)*VLOOKUP('Données projet'!$B$12,Paramètres!$A$1:$I$89,5,0)</f>
        <v>8.7516000000000016</v>
      </c>
      <c r="CA13" s="14">
        <f t="shared" si="39"/>
        <v>3.1331453604025001</v>
      </c>
      <c r="CB13" s="22">
        <f t="shared" si="10"/>
        <v>20.699264836034356</v>
      </c>
      <c r="CC13" s="62">
        <f t="shared" si="11"/>
        <v>212.63792682107925</v>
      </c>
      <c r="CD13" s="62">
        <f ca="1">AVERAGE(OFFSET($CC$3,0,0,'Données projet'!$E$12+1,1))-AVERAGE(OFFSET($H$3,0,0,'Données projet'!$E$12+1,1))</f>
        <v>376.47942810265266</v>
      </c>
      <c r="CE13" s="62">
        <f t="shared" si="40"/>
        <v>362.87951024071265</v>
      </c>
      <c r="CF13" s="16">
        <f>IF(ISNA(VLOOKUP(A13,'Données projet'!$A$113:$I$133,3,0)),0,VLOOKUP(A13,'Données projet'!$A$113:$I$133,3,0))</f>
        <v>1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>
        <f>VLOOKUP(A13,'Données projet'!$A$139:$I$159,2,0)</f>
        <v>11</v>
      </c>
      <c r="CR13" s="13">
        <f>VLOOKUP(A13,'Données projet'!$A$139:$I$159,9,0)</f>
        <v>1.1000000000000001</v>
      </c>
      <c r="CS13" s="13">
        <f t="array" ref="CS13">INDEX(CR:CR,MIN(IF(ISNUMBER(CR13:CR209),ROW(CR13:CR209),"")))</f>
        <v>1.1000000000000001</v>
      </c>
      <c r="CT13" s="13">
        <f>IF('Données projet'!$A$140&gt;35,CT12+CS13-DB12,IF(A13&lt;'Données projet'!$A$140,$CQ$205^A13,IF(A13='Données projet'!$A$140,'Données projet'!$B$140,CT12+CS13-DB12)))</f>
        <v>11</v>
      </c>
      <c r="CU13" s="18">
        <f>CT13*VLOOKUP('Données projet'!$B$13,Paramètres!$A$1:$I$89,3,0)*VLOOKUP('Données projet'!$B$13,Paramètres!$A$1:$I$89,5,0)</f>
        <v>8.0652000000000008</v>
      </c>
      <c r="CV13" s="14">
        <f t="shared" si="41"/>
        <v>2.9149909035839161</v>
      </c>
      <c r="CW13" s="22">
        <f t="shared" si="13"/>
        <v>19.123832490408656</v>
      </c>
      <c r="CX13" s="62">
        <f t="shared" si="14"/>
        <v>211.06249447545355</v>
      </c>
      <c r="CY13" s="62">
        <f ca="1">AVERAGE(OFFSET($CX$3,0,0,'Données projet'!$E$13+1,1))-AVERAGE(OFFSET($H$3,0,0,'Données projet'!$E$13+1,1))</f>
        <v>351.7223836693733</v>
      </c>
      <c r="CZ13" s="62">
        <f t="shared" si="42"/>
        <v>339.34942976598518</v>
      </c>
      <c r="DA13" s="16">
        <f>IF(ISNA(VLOOKUP(A13,'Données projet'!$A$139:$I$159,3,0)),0,VLOOKUP(A13,'Données projet'!$A$139:$I$159,3,0))</f>
        <v>1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183.33333333333334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8.1284210526315785</v>
      </c>
      <c r="N14" s="14">
        <f>IF('Données projet'!$A$36&gt;35,N13+M14-V13,IF(A14&lt;'Données projet'!$A$36,$K$205^A14,IF(A14='Données projet'!$A$36,'Données projet'!$B$36,N13+M14-V13)))</f>
        <v>18.500212727616166</v>
      </c>
      <c r="O14" s="14">
        <f>N14*VLOOKUP('Données projet'!$B$9,Paramètres!$A$1:$I$89,3,0)*VLOOKUP('Données projet'!$B$9,Paramètres!$A$1:$I$89,5,0)</f>
        <v>10.341618914737436</v>
      </c>
      <c r="P14" s="14">
        <f t="shared" si="33"/>
        <v>3.6311357898884093</v>
      </c>
      <c r="Q14" s="22">
        <f t="shared" si="2"/>
        <v>24.335881110556681</v>
      </c>
      <c r="R14" s="62">
        <f t="shared" si="0"/>
        <v>218.8316797196708</v>
      </c>
      <c r="S14" s="62">
        <f ca="1">AVERAGE(OFFSET($R$3,0,0,'Données projet'!$E$9+1,1))-AVERAGE(OFFSET($H$3,0,0,'Données projet'!$E$9+1,1))</f>
        <v>409.45931633551902</v>
      </c>
      <c r="T14" s="62">
        <f t="shared" si="34"/>
        <v>375.18886653687389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5.7692307692307692</v>
      </c>
      <c r="AI14" s="14">
        <f>IF('Données projet'!$A$62&gt;35,AI13+AH14-AQ13,IF(A14&lt;'Données projet'!$A$62,$AF$205^A14,IF(A14='Données projet'!$A$62,'Données projet'!$B$62,AI13+AH14-AQ13)))</f>
        <v>38.600266206646971</v>
      </c>
      <c r="AJ14" s="14">
        <f>AI14*VLOOKUP('Données projet'!$B$10,Paramètres!$A$1:$I$89,3,0)*VLOOKUP('Données projet'!$B$10,Paramètres!$A$1:$I$89,5,0)</f>
        <v>23.08295919157489</v>
      </c>
      <c r="AK14" s="14">
        <f t="shared" si="35"/>
        <v>7.3817004912465372</v>
      </c>
      <c r="AL14" s="22">
        <f t="shared" si="4"/>
        <v>53.059282280913983</v>
      </c>
      <c r="AM14" s="62">
        <f t="shared" si="5"/>
        <v>247.55508089002811</v>
      </c>
      <c r="AN14" s="62">
        <f ca="1">AVERAGE(OFFSET($AM$3,0,0,'Données projet'!$E$10+1,1))-AVERAGE(OFFSET($H$3,0,0,'Données projet'!$E$10+1,1))</f>
        <v>212.90262675152454</v>
      </c>
      <c r="AO14" s="62">
        <f t="shared" si="36"/>
        <v>366.51899340890498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5.8</v>
      </c>
      <c r="BD14" s="13">
        <f>IF('Données projet'!$A$88&gt;35,BD13+BC14-BL13,IF(A14&lt;'Données projet'!$A$88,$BA$205^A14,IF(A14='Données projet'!$A$88,'Données projet'!$B$88,BD13+BC14-BL13)))</f>
        <v>26.443206626903088</v>
      </c>
      <c r="BE14" s="14">
        <f>BD14*VLOOKUP('Données projet'!$B$11,Paramètres!$A$1:$I$89,3,0)*VLOOKUP('Données projet'!$B$11,Paramètres!$A$1:$I$89,5,0)</f>
        <v>23.100785309262541</v>
      </c>
      <c r="BF14" s="14">
        <f t="shared" si="37"/>
        <v>7.3867373282653306</v>
      </c>
      <c r="BG14" s="22">
        <f t="shared" si="7"/>
        <v>53.099101927027704</v>
      </c>
      <c r="BH14" s="62">
        <f t="shared" si="8"/>
        <v>247.59490053614184</v>
      </c>
      <c r="BI14" s="62">
        <f ca="1">AVERAGE(OFFSET($BH$3,0,0,'Données projet'!$E$11+1,1))-AVERAGE(OFFSET($H$3,0,0,'Données projet'!$E$11+1,1))</f>
        <v>342.02279578180605</v>
      </c>
      <c r="BJ14" s="62">
        <f t="shared" si="38"/>
        <v>409.02379334777754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10.8</v>
      </c>
      <c r="BY14" s="13">
        <f>IF('Données projet'!$A$114&gt;35,BY13+BX14-CG13,IF(A14&lt;'Données projet'!$A$114,$BV$205^A14,IF(A14='Données projet'!$A$114,'Données projet'!$B$114,BY13+BX14-CG13)))</f>
        <v>21.8</v>
      </c>
      <c r="BZ14" s="14">
        <f>BY14*VLOOKUP('Données projet'!$B$12,Paramètres!$A$1:$I$89,3,0)*VLOOKUP('Données projet'!$B$12,Paramètres!$A$1:$I$89,5,0)</f>
        <v>17.344080000000002</v>
      </c>
      <c r="CA14" s="14">
        <f t="shared" si="39"/>
        <v>5.7341113912136308</v>
      </c>
      <c r="CB14" s="22">
        <f t="shared" si="10"/>
        <v>40.194516673030414</v>
      </c>
      <c r="CC14" s="62">
        <f t="shared" si="11"/>
        <v>234.69031528214455</v>
      </c>
      <c r="CD14" s="62">
        <f ca="1">AVERAGE(OFFSET($CC$3,0,0,'Données projet'!$E$12+1,1))-AVERAGE(OFFSET($H$3,0,0,'Données projet'!$E$12+1,1))</f>
        <v>376.47942810265266</v>
      </c>
      <c r="CE14" s="62">
        <f t="shared" si="40"/>
        <v>362.87951024071265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10.8</v>
      </c>
      <c r="CT14" s="13">
        <f>IF('Données projet'!$A$140&gt;35,CT13+CS14-DB13,IF(A14&lt;'Données projet'!$A$140,$CQ$205^A14,IF(A14='Données projet'!$A$140,'Données projet'!$B$140,CT13+CS14-DB13)))</f>
        <v>21.8</v>
      </c>
      <c r="CU14" s="18">
        <f>CT14*VLOOKUP('Données projet'!$B$13,Paramètres!$A$1:$I$89,3,0)*VLOOKUP('Données projet'!$B$13,Paramètres!$A$1:$I$89,5,0)</f>
        <v>15.983760000000002</v>
      </c>
      <c r="CV14" s="14">
        <f t="shared" si="41"/>
        <v>5.3348570279475842</v>
      </c>
      <c r="CW14" s="22">
        <f t="shared" si="13"/>
        <v>37.129924657008708</v>
      </c>
      <c r="CX14" s="62">
        <f t="shared" si="14"/>
        <v>231.62572326612283</v>
      </c>
      <c r="CY14" s="62">
        <f ca="1">AVERAGE(OFFSET($CX$3,0,0,'Données projet'!$E$13+1,1))-AVERAGE(OFFSET($H$3,0,0,'Données projet'!$E$13+1,1))</f>
        <v>351.7223836693733</v>
      </c>
      <c r="CZ14" s="62">
        <f t="shared" si="42"/>
        <v>339.34942976598518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183.33333333333334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8.1284210526315785</v>
      </c>
      <c r="N15" s="14">
        <f>IF('Données projet'!$A$36&gt;35,N14+M15-V14,IF(A15&lt;'Données projet'!$A$36,$K$205^A15,IF(A15='Données projet'!$A$36,'Données projet'!$B$36,N14+M15-V14)))</f>
        <v>24.119850191693295</v>
      </c>
      <c r="O15" s="14">
        <f>N15*VLOOKUP('Données projet'!$B$9,Paramètres!$A$1:$I$89,3,0)*VLOOKUP('Données projet'!$B$9,Paramètres!$A$1:$I$89,5,0)</f>
        <v>13.482996257156552</v>
      </c>
      <c r="P15" s="14">
        <f t="shared" si="33"/>
        <v>4.5901971633416325</v>
      </c>
      <c r="Q15" s="22">
        <f t="shared" si="2"/>
        <v>31.477478540701004</v>
      </c>
      <c r="R15" s="62">
        <f t="shared" si="0"/>
        <v>228.50725599343389</v>
      </c>
      <c r="S15" s="62">
        <f ca="1">AVERAGE(OFFSET($R$3,0,0,'Données projet'!$E$9+1,1))-AVERAGE(OFFSET($H$3,0,0,'Données projet'!$E$9+1,1))</f>
        <v>409.45931633551902</v>
      </c>
      <c r="T15" s="62">
        <f t="shared" si="34"/>
        <v>375.18886653687389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5.7692307692307692</v>
      </c>
      <c r="AI15" s="14">
        <f>IF('Données projet'!$A$62&gt;35,AI14+AH15-AQ14,IF(A15&lt;'Données projet'!$A$62,$AF$205^A15,IF(A15='Données projet'!$A$62,'Données projet'!$B$62,AI14+AH15-AQ14)))</f>
        <v>53.805389743951515</v>
      </c>
      <c r="AJ15" s="14">
        <f>AI15*VLOOKUP('Données projet'!$B$10,Paramètres!$A$1:$I$89,3,0)*VLOOKUP('Données projet'!$B$10,Paramètres!$A$1:$I$89,5,0)</f>
        <v>32.175623066883006</v>
      </c>
      <c r="AK15" s="14">
        <f t="shared" si="35"/>
        <v>9.8992636627112418</v>
      </c>
      <c r="AL15" s="22">
        <f t="shared" si="4"/>
        <v>73.28042772070998</v>
      </c>
      <c r="AM15" s="62">
        <f t="shared" si="5"/>
        <v>270.31020517344285</v>
      </c>
      <c r="AN15" s="62">
        <f ca="1">AVERAGE(OFFSET($AM$3,0,0,'Données projet'!$E$10+1,1))-AVERAGE(OFFSET($H$3,0,0,'Données projet'!$E$10+1,1))</f>
        <v>212.90262675152454</v>
      </c>
      <c r="AO15" s="62">
        <f t="shared" si="36"/>
        <v>366.51899340890498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5.8</v>
      </c>
      <c r="BD15" s="13">
        <f>IF('Données projet'!$A$88&gt;35,BD14+BC15-BL14,IF(A15&lt;'Données projet'!$A$88,$BA$205^A15,IF(A15='Données projet'!$A$88,'Données projet'!$B$88,BD14+BC15-BL14)))</f>
        <v>35.613561093793592</v>
      </c>
      <c r="BE15" s="14">
        <f>BD15*VLOOKUP('Données projet'!$B$11,Paramètres!$A$1:$I$89,3,0)*VLOOKUP('Données projet'!$B$11,Paramètres!$A$1:$I$89,5,0)</f>
        <v>31.112006971538086</v>
      </c>
      <c r="BF15" s="14">
        <f t="shared" si="37"/>
        <v>9.6095548481396289</v>
      </c>
      <c r="BG15" s="22">
        <f t="shared" si="7"/>
        <v>70.9233868359387</v>
      </c>
      <c r="BH15" s="62">
        <f t="shared" si="8"/>
        <v>267.95316428867159</v>
      </c>
      <c r="BI15" s="62">
        <f ca="1">AVERAGE(OFFSET($BH$3,0,0,'Données projet'!$E$11+1,1))-AVERAGE(OFFSET($H$3,0,0,'Données projet'!$E$11+1,1))</f>
        <v>342.02279578180605</v>
      </c>
      <c r="BJ15" s="62">
        <f t="shared" si="38"/>
        <v>409.02379334777754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10.8</v>
      </c>
      <c r="BY15" s="13">
        <f>IF('Données projet'!$A$114&gt;35,BY14+BX15-CG14,IF(A15&lt;'Données projet'!$A$114,$BV$205^A15,IF(A15='Données projet'!$A$114,'Données projet'!$B$114,BY14+BX15-CG14)))</f>
        <v>32.6</v>
      </c>
      <c r="BZ15" s="14">
        <f>BY15*VLOOKUP('Données projet'!$B$12,Paramètres!$A$1:$I$89,3,0)*VLOOKUP('Données projet'!$B$12,Paramètres!$A$1:$I$89,5,0)</f>
        <v>25.936560000000004</v>
      </c>
      <c r="CA15" s="14">
        <f t="shared" si="39"/>
        <v>8.1824816304360635</v>
      </c>
      <c r="CB15" s="22">
        <f t="shared" si="10"/>
        <v>59.423997506342801</v>
      </c>
      <c r="CC15" s="62">
        <f t="shared" si="11"/>
        <v>256.45377495907564</v>
      </c>
      <c r="CD15" s="62">
        <f ca="1">AVERAGE(OFFSET($CC$3,0,0,'Données projet'!$E$12+1,1))-AVERAGE(OFFSET($H$3,0,0,'Données projet'!$E$12+1,1))</f>
        <v>376.47942810265266</v>
      </c>
      <c r="CE15" s="62">
        <f t="shared" si="40"/>
        <v>362.87951024071265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10.8</v>
      </c>
      <c r="CT15" s="13">
        <f>IF('Données projet'!$A$140&gt;35,CT14+CS15-DB14,IF(A15&lt;'Données projet'!$A$140,$CQ$205^A15,IF(A15='Données projet'!$A$140,'Données projet'!$B$140,CT14+CS15-DB14)))</f>
        <v>32.6</v>
      </c>
      <c r="CU15" s="18">
        <f>CT15*VLOOKUP('Données projet'!$B$13,Paramètres!$A$1:$I$89,3,0)*VLOOKUP('Données projet'!$B$13,Paramètres!$A$1:$I$89,5,0)</f>
        <v>23.90232</v>
      </c>
      <c r="CV15" s="14">
        <f t="shared" si="41"/>
        <v>7.6127522913266521</v>
      </c>
      <c r="CW15" s="22">
        <f t="shared" si="13"/>
        <v>54.88875090739392</v>
      </c>
      <c r="CX15" s="62">
        <f t="shared" si="14"/>
        <v>251.9185283601268</v>
      </c>
      <c r="CY15" s="62">
        <f ca="1">AVERAGE(OFFSET($CX$3,0,0,'Données projet'!$E$13+1,1))-AVERAGE(OFFSET($H$3,0,0,'Données projet'!$E$13+1,1))</f>
        <v>351.7223836693733</v>
      </c>
      <c r="CZ15" s="62">
        <f t="shared" si="42"/>
        <v>339.34942976598518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183.33333333333334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8.1284210526315785</v>
      </c>
      <c r="N16" s="14">
        <f>IF('Données projet'!$A$36&gt;35,N15+M16-V15,IF(A16&lt;'Données projet'!$A$36,$K$205^A16,IF(A16='Données projet'!$A$36,'Données projet'!$B$36,N15+M16-V15)))</f>
        <v>31.446512633949066</v>
      </c>
      <c r="O16" s="14">
        <f>N16*VLOOKUP('Données projet'!$B$9,Paramètres!$A$1:$I$89,3,0)*VLOOKUP('Données projet'!$B$9,Paramètres!$A$1:$I$89,5,0)</f>
        <v>17.578600562377527</v>
      </c>
      <c r="P16" s="14">
        <f t="shared" si="33"/>
        <v>5.8025673556529513</v>
      </c>
      <c r="Q16" s="22">
        <f t="shared" si="2"/>
        <v>40.722200790569744</v>
      </c>
      <c r="R16" s="62">
        <f t="shared" si="0"/>
        <v>240.26320104218854</v>
      </c>
      <c r="S16" s="62">
        <f ca="1">AVERAGE(OFFSET($R$3,0,0,'Données projet'!$E$9+1,1))-AVERAGE(OFFSET($H$3,0,0,'Données projet'!$E$9+1,1))</f>
        <v>409.45931633551902</v>
      </c>
      <c r="T16" s="62">
        <f t="shared" si="34"/>
        <v>375.18886653687389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>
        <f>VLOOKUP(A16,'Données projet'!$A$61:$I$81,2,0)</f>
        <v>75</v>
      </c>
      <c r="AG16" s="13">
        <f>VLOOKUP(A16,'Données projet'!$A$61:$I$81,9,0)</f>
        <v>5.7692307692307692</v>
      </c>
      <c r="AH16" s="13">
        <f t="array" ref="AH16">INDEX(AG:AG,MIN(IF(ISNUMBER(AG16:AG212),ROW(AG16:AG212),"")))</f>
        <v>5.7692307692307692</v>
      </c>
      <c r="AI16" s="14">
        <f>IF('Données projet'!$A$62&gt;35,AI15+AH16-AQ15,IF(A16&lt;'Données projet'!$A$62,$AF$205^A16,IF(A16='Données projet'!$A$62,'Données projet'!$B$62,AI15+AH16-AQ15)))</f>
        <v>75</v>
      </c>
      <c r="AJ16" s="14">
        <f>AI16*VLOOKUP('Données projet'!$B$10,Paramètres!$A$1:$I$89,3,0)*VLOOKUP('Données projet'!$B$10,Paramètres!$A$1:$I$89,5,0)</f>
        <v>44.85</v>
      </c>
      <c r="AK16" s="14">
        <f t="shared" si="35"/>
        <v>13.275453424327006</v>
      </c>
      <c r="AL16" s="22">
        <f t="shared" si="4"/>
        <v>101.2351647140362</v>
      </c>
      <c r="AM16" s="62">
        <f t="shared" si="5"/>
        <v>300.77616496565503</v>
      </c>
      <c r="AN16" s="62">
        <f ca="1">AVERAGE(OFFSET($AM$3,0,0,'Données projet'!$E$10+1,1))-AVERAGE(OFFSET($H$3,0,0,'Données projet'!$E$10+1,1))</f>
        <v>212.90262675152454</v>
      </c>
      <c r="AO16" s="62">
        <f t="shared" si="36"/>
        <v>366.51899340890498</v>
      </c>
      <c r="AP16" s="16">
        <f>IF(ISNA(VLOOKUP(A16,'Données projet'!$A$61:$I$81,3,0)),0,VLOOKUP(A16,'Données projet'!$A$61:$I$81,3,0))</f>
        <v>1</v>
      </c>
      <c r="AQ16" s="16">
        <f>IF(ISNA(VLOOKUP(A16,'Données projet'!$A$61:$I$81,4,0)),0,VLOOKUP(A16,'Données projet'!$A$61:$I$81,4,0))</f>
        <v>15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1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10.1561237088124</v>
      </c>
      <c r="AX16" s="23">
        <f t="shared" si="6"/>
        <v>10.1561237088124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5.8</v>
      </c>
      <c r="BD16" s="13">
        <f>IF('Données projet'!$A$88&gt;35,BD15+BC16-BL15,IF(A16&lt;'Données projet'!$A$88,$BA$205^A16,IF(A16='Données projet'!$A$88,'Données projet'!$B$88,BD15+BC16-BL15)))</f>
        <v>47.964142612378375</v>
      </c>
      <c r="BE16" s="14">
        <f>BD16*VLOOKUP('Données projet'!$B$11,Paramètres!$A$1:$I$89,3,0)*VLOOKUP('Données projet'!$B$11,Paramètres!$A$1:$I$89,5,0)</f>
        <v>41.901474986173753</v>
      </c>
      <c r="BF16" s="14">
        <f t="shared" si="37"/>
        <v>12.501262773491545</v>
      </c>
      <c r="BG16" s="22">
        <f t="shared" si="7"/>
        <v>94.751434931417066</v>
      </c>
      <c r="BH16" s="62">
        <f t="shared" si="8"/>
        <v>294.29243518303588</v>
      </c>
      <c r="BI16" s="62">
        <f ca="1">AVERAGE(OFFSET($BH$3,0,0,'Données projet'!$E$11+1,1))-AVERAGE(OFFSET($H$3,0,0,'Données projet'!$E$11+1,1))</f>
        <v>342.02279578180605</v>
      </c>
      <c r="BJ16" s="62">
        <f t="shared" si="38"/>
        <v>409.02379334777754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10.8</v>
      </c>
      <c r="BY16" s="13">
        <f>IF('Données projet'!$A$114&gt;35,BY15+BX16-CG15,IF(A16&lt;'Données projet'!$A$114,$BV$205^A16,IF(A16='Données projet'!$A$114,'Données projet'!$B$114,BY15+BX16-CG15)))</f>
        <v>43.400000000000006</v>
      </c>
      <c r="BZ16" s="14">
        <f>BY16*VLOOKUP('Données projet'!$B$12,Paramètres!$A$1:$I$89,3,0)*VLOOKUP('Données projet'!$B$12,Paramètres!$A$1:$I$89,5,0)</f>
        <v>34.529040000000009</v>
      </c>
      <c r="CA16" s="14">
        <f t="shared" si="39"/>
        <v>10.536391336679102</v>
      </c>
      <c r="CB16" s="22">
        <f t="shared" si="10"/>
        <v>78.488959578049446</v>
      </c>
      <c r="CC16" s="62">
        <f t="shared" si="11"/>
        <v>278.02995982966826</v>
      </c>
      <c r="CD16" s="62">
        <f ca="1">AVERAGE(OFFSET($CC$3,0,0,'Données projet'!$E$12+1,1))-AVERAGE(OFFSET($H$3,0,0,'Données projet'!$E$12+1,1))</f>
        <v>376.47942810265266</v>
      </c>
      <c r="CE16" s="62">
        <f t="shared" si="40"/>
        <v>362.87951024071265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10.8</v>
      </c>
      <c r="CT16" s="13">
        <f>IF('Données projet'!$A$140&gt;35,CT15+CS16-DB15,IF(A16&lt;'Données projet'!$A$140,$CQ$205^A16,IF(A16='Données projet'!$A$140,'Données projet'!$B$140,CT15+CS16-DB15)))</f>
        <v>43.400000000000006</v>
      </c>
      <c r="CU16" s="18">
        <f>CT16*VLOOKUP('Données projet'!$B$13,Paramètres!$A$1:$I$89,3,0)*VLOOKUP('Données projet'!$B$13,Paramètres!$A$1:$I$89,5,0)</f>
        <v>31.820880000000006</v>
      </c>
      <c r="CV16" s="14">
        <f t="shared" si="41"/>
        <v>9.8027641140385384</v>
      </c>
      <c r="CW16" s="22">
        <f t="shared" si="13"/>
        <v>72.494513498617124</v>
      </c>
      <c r="CX16" s="62">
        <f t="shared" si="14"/>
        <v>272.03551375023596</v>
      </c>
      <c r="CY16" s="62">
        <f ca="1">AVERAGE(OFFSET($CX$3,0,0,'Données projet'!$E$13+1,1))-AVERAGE(OFFSET($H$3,0,0,'Données projet'!$E$13+1,1))</f>
        <v>351.7223836693733</v>
      </c>
      <c r="CZ16" s="62">
        <f t="shared" si="42"/>
        <v>339.34942976598518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183.33333333333334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8.1284210526315785</v>
      </c>
      <c r="N17" s="14">
        <f>IF('Données projet'!$A$36&gt;35,N16+M17-V16,IF(A17&lt;'Données projet'!$A$36,$K$205^A17,IF(A17='Données projet'!$A$36,'Données projet'!$B$36,N16+M17-V16)))</f>
        <v>40.998727147056762</v>
      </c>
      <c r="O17" s="14">
        <f>N17*VLOOKUP('Données projet'!$B$9,Paramètres!$A$1:$I$89,3,0)*VLOOKUP('Données projet'!$B$9,Paramètres!$A$1:$I$89,5,0)</f>
        <v>22.918288475204729</v>
      </c>
      <c r="P17" s="14">
        <f t="shared" si="33"/>
        <v>7.3351506958750976</v>
      </c>
      <c r="Q17" s="22">
        <f t="shared" si="2"/>
        <v>52.691406556297359</v>
      </c>
      <c r="R17" s="62">
        <f t="shared" si="0"/>
        <v>254.72126832857055</v>
      </c>
      <c r="S17" s="62">
        <f ca="1">AVERAGE(OFFSET($R$3,0,0,'Données projet'!$E$9+1,1))-AVERAGE(OFFSET($H$3,0,0,'Données projet'!$E$9+1,1))</f>
        <v>409.45931633551902</v>
      </c>
      <c r="T17" s="62">
        <f t="shared" si="34"/>
        <v>375.18886653687389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17.166666666666668</v>
      </c>
      <c r="AI17" s="14">
        <f>IF('Données projet'!$A$62&gt;35,AI16+AH17-AQ16,IF(A17&lt;'Données projet'!$A$62,$AF$205^A17,IF(A17='Données projet'!$A$62,'Données projet'!$B$62,AI16+AH17-AQ16)))</f>
        <v>77.166666666666671</v>
      </c>
      <c r="AJ17" s="14">
        <f>AI17*VLOOKUP('Données projet'!$B$10,Paramètres!$A$1:$I$89,3,0)*VLOOKUP('Données projet'!$B$10,Paramètres!$A$1:$I$89,5,0)</f>
        <v>46.145666666666671</v>
      </c>
      <c r="AK17" s="14">
        <f t="shared" si="35"/>
        <v>13.613761874667908</v>
      </c>
      <c r="AL17" s="22">
        <f t="shared" si="4"/>
        <v>104.08100470949104</v>
      </c>
      <c r="AM17" s="62">
        <f t="shared" si="5"/>
        <v>306.11086648176422</v>
      </c>
      <c r="AN17" s="62">
        <f ca="1">AVERAGE(OFFSET($AM$3,0,0,'Données projet'!$E$10+1,1))-AVERAGE(OFFSET($H$3,0,0,'Données projet'!$E$10+1,1))</f>
        <v>212.90262675152454</v>
      </c>
      <c r="AO17" s="62">
        <f t="shared" si="36"/>
        <v>366.51899340890498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7.1814639450707176</v>
      </c>
      <c r="AX17" s="23">
        <f t="shared" si="6"/>
        <v>7.1814639450707176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5.8</v>
      </c>
      <c r="BD17" s="13">
        <f>IF('Données projet'!$A$88&gt;35,BD16+BC17-BL16,IF(A17&lt;'Données projet'!$A$88,$BA$205^A17,IF(A17='Données projet'!$A$88,'Données projet'!$B$88,BD16+BC17-BL16)))</f>
        <v>64.597835933388069</v>
      </c>
      <c r="BE17" s="14">
        <f>BD17*VLOOKUP('Données projet'!$B$11,Paramètres!$A$1:$I$89,3,0)*VLOOKUP('Données projet'!$B$11,Paramètres!$A$1:$I$89,5,0)</f>
        <v>56.432669471407827</v>
      </c>
      <c r="BF17" s="14">
        <f t="shared" si="37"/>
        <v>16.263143652501352</v>
      </c>
      <c r="BG17" s="22">
        <f t="shared" si="7"/>
        <v>126.61187452414181</v>
      </c>
      <c r="BH17" s="62">
        <f t="shared" si="8"/>
        <v>328.64173629641499</v>
      </c>
      <c r="BI17" s="62">
        <f ca="1">AVERAGE(OFFSET($BH$3,0,0,'Données projet'!$E$11+1,1))-AVERAGE(OFFSET($H$3,0,0,'Données projet'!$E$11+1,1))</f>
        <v>342.02279578180605</v>
      </c>
      <c r="BJ17" s="62">
        <f t="shared" si="38"/>
        <v>409.02379334777754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10.8</v>
      </c>
      <c r="BY17" s="13">
        <f>IF('Données projet'!$A$114&gt;35,BY16+BX17-CG16,IF(A17&lt;'Données projet'!$A$114,$BV$205^A17,IF(A17='Données projet'!$A$114,'Données projet'!$B$114,BY16+BX17-CG16)))</f>
        <v>54.2</v>
      </c>
      <c r="BZ17" s="14">
        <f>BY17*VLOOKUP('Données projet'!$B$12,Paramètres!$A$1:$I$89,3,0)*VLOOKUP('Données projet'!$B$12,Paramètres!$A$1:$I$89,5,0)</f>
        <v>43.121520000000004</v>
      </c>
      <c r="CA17" s="14">
        <f t="shared" si="39"/>
        <v>12.822353245070515</v>
      </c>
      <c r="CB17" s="22">
        <f t="shared" si="10"/>
        <v>97.435579235164482</v>
      </c>
      <c r="CC17" s="62">
        <f t="shared" si="11"/>
        <v>299.46544100743768</v>
      </c>
      <c r="CD17" s="62">
        <f ca="1">AVERAGE(OFFSET($CC$3,0,0,'Données projet'!$E$12+1,1))-AVERAGE(OFFSET($H$3,0,0,'Données projet'!$E$12+1,1))</f>
        <v>376.47942810265266</v>
      </c>
      <c r="CE17" s="62">
        <f t="shared" si="40"/>
        <v>362.87951024071265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10.8</v>
      </c>
      <c r="CT17" s="13">
        <f>IF('Données projet'!$A$140&gt;35,CT16+CS17-DB16,IF(A17&lt;'Données projet'!$A$140,$CQ$205^A17,IF(A17='Données projet'!$A$140,'Données projet'!$B$140,CT16+CS17-DB16)))</f>
        <v>54.2</v>
      </c>
      <c r="CU17" s="18">
        <f>CT17*VLOOKUP('Données projet'!$B$13,Paramètres!$A$1:$I$89,3,0)*VLOOKUP('Données projet'!$B$13,Paramètres!$A$1:$I$89,5,0)</f>
        <v>39.739440000000002</v>
      </c>
      <c r="CV17" s="14">
        <f t="shared" si="41"/>
        <v>11.929559204083212</v>
      </c>
      <c r="CW17" s="22">
        <f t="shared" si="13"/>
        <v>89.990173613778268</v>
      </c>
      <c r="CX17" s="62">
        <f t="shared" si="14"/>
        <v>292.02003538605146</v>
      </c>
      <c r="CY17" s="62">
        <f ca="1">AVERAGE(OFFSET($CX$3,0,0,'Données projet'!$E$13+1,1))-AVERAGE(OFFSET($H$3,0,0,'Données projet'!$E$13+1,1))</f>
        <v>351.7223836693733</v>
      </c>
      <c r="CZ17" s="62">
        <f t="shared" si="42"/>
        <v>339.34942976598518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183.33333333333334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8.1284210526315785</v>
      </c>
      <c r="N18" s="14">
        <f>IF('Données projet'!$A$36&gt;35,N17+M18-V17,IF(A18&lt;'Données projet'!$A$36,$K$205^A18,IF(A18='Données projet'!$A$36,'Données projet'!$B$36,N17+M18-V17)))</f>
        <v>53.452528973408192</v>
      </c>
      <c r="O18" s="14">
        <f>N18*VLOOKUP('Données projet'!$B$9,Paramètres!$A$1:$I$89,3,0)*VLOOKUP('Données projet'!$B$9,Paramètres!$A$1:$I$89,5,0)</f>
        <v>29.879963696135178</v>
      </c>
      <c r="P18" s="14">
        <f t="shared" si="33"/>
        <v>9.2725223911067207</v>
      </c>
      <c r="Q18" s="22">
        <f t="shared" si="2"/>
        <v>68.190579935279629</v>
      </c>
      <c r="R18" s="62">
        <f t="shared" si="0"/>
        <v>272.68732986816065</v>
      </c>
      <c r="S18" s="62">
        <f ca="1">AVERAGE(OFFSET($R$3,0,0,'Données projet'!$E$9+1,1))-AVERAGE(OFFSET($H$3,0,0,'Données projet'!$E$9+1,1))</f>
        <v>409.45931633551902</v>
      </c>
      <c r="T18" s="62">
        <f t="shared" si="34"/>
        <v>375.18886653687389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17.166666666666668</v>
      </c>
      <c r="AI18" s="14">
        <f>IF('Données projet'!$A$62&gt;35,AI17+AH18-AQ17,IF(A18&lt;'Données projet'!$A$62,$AF$205^A18,IF(A18='Données projet'!$A$62,'Données projet'!$B$62,AI17+AH18-AQ17)))</f>
        <v>94.333333333333343</v>
      </c>
      <c r="AJ18" s="14">
        <f>AI18*VLOOKUP('Données projet'!$B$10,Paramètres!$A$1:$I$89,3,0)*VLOOKUP('Données projet'!$B$10,Paramètres!$A$1:$I$89,5,0)</f>
        <v>56.411333333333339</v>
      </c>
      <c r="AK18" s="14">
        <f t="shared" si="35"/>
        <v>16.257710461388346</v>
      </c>
      <c r="AL18" s="22">
        <f t="shared" si="4"/>
        <v>126.56525127580693</v>
      </c>
      <c r="AM18" s="62">
        <f t="shared" si="5"/>
        <v>331.062001208688</v>
      </c>
      <c r="AN18" s="62">
        <f ca="1">AVERAGE(OFFSET($AM$3,0,0,'Données projet'!$E$10+1,1))-AVERAGE(OFFSET($H$3,0,0,'Données projet'!$E$10+1,1))</f>
        <v>212.90262675152454</v>
      </c>
      <c r="AO18" s="62">
        <f t="shared" si="36"/>
        <v>366.51899340890498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5.0780618544062008</v>
      </c>
      <c r="AX18" s="23">
        <f t="shared" si="6"/>
        <v>5.0780618544062008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>
        <f>VLOOKUP(A18,'Données projet'!$A$87:$I$107,2,0)</f>
        <v>87</v>
      </c>
      <c r="BB18" s="13">
        <f>VLOOKUP(A18,'Données projet'!$A$87:$I$107,9,0)</f>
        <v>5.8</v>
      </c>
      <c r="BC18" s="13">
        <f t="array" ref="BC18">INDEX(BB:BB,MIN(IF(ISNUMBER(BB18:BB214),ROW(BB18:BB214),"")))</f>
        <v>5.8</v>
      </c>
      <c r="BD18" s="13">
        <f>IF('Données projet'!$A$88&gt;35,BD17+BC18-BL17,IF(A18&lt;'Données projet'!$A$88,$BA$205^A18,IF(A18='Données projet'!$A$88,'Données projet'!$B$88,BD17+BC18-BL17)))</f>
        <v>87</v>
      </c>
      <c r="BE18" s="14">
        <f>BD18*VLOOKUP('Données projet'!$B$11,Paramètres!$A$1:$I$89,3,0)*VLOOKUP('Données projet'!$B$11,Paramètres!$A$1:$I$89,5,0)</f>
        <v>76.003200000000007</v>
      </c>
      <c r="BF18" s="14">
        <f t="shared" si="37"/>
        <v>21.157049992000456</v>
      </c>
      <c r="BG18" s="22">
        <f t="shared" si="7"/>
        <v>169.22076873606747</v>
      </c>
      <c r="BH18" s="62">
        <f t="shared" si="8"/>
        <v>373.71751866894851</v>
      </c>
      <c r="BI18" s="62">
        <f ca="1">AVERAGE(OFFSET($BH$3,0,0,'Données projet'!$E$11+1,1))-AVERAGE(OFFSET($H$3,0,0,'Données projet'!$E$11+1,1))</f>
        <v>342.02279578180605</v>
      </c>
      <c r="BJ18" s="62">
        <f t="shared" si="38"/>
        <v>409.02379334777754</v>
      </c>
      <c r="BK18" s="16">
        <f>IF(ISNA(VLOOKUP(A18,'Données projet'!$A$87:$I$107,3,0)),0,VLOOKUP(A18,'Données projet'!$A$87:$I$107,3,0))</f>
        <v>1</v>
      </c>
      <c r="BL18" s="16">
        <f>IF(ISNA(VLOOKUP(A18,'Données projet'!$A$87:$I$107,4,0)),0,VLOOKUP(A18,'Données projet'!$A$87:$I$107,4,0))</f>
        <v>21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>
        <f>VLOOKUP(A18,'Données projet'!$A$113:$I$133,2,0)</f>
        <v>65</v>
      </c>
      <c r="BW18" s="13">
        <f>VLOOKUP(A18,'Données projet'!$A$113:$I$133,9,0)</f>
        <v>10.8</v>
      </c>
      <c r="BX18" s="13">
        <f t="array" ref="BX18">INDEX(BW:BW,MIN(IF(ISNUMBER(BW18:BW214),ROW(BW18:BW214),"")))</f>
        <v>10.8</v>
      </c>
      <c r="BY18" s="13">
        <f>IF('Données projet'!$A$114&gt;35,BY17+BX18-CG17,IF(A18&lt;'Données projet'!$A$114,$BV$205^A18,IF(A18='Données projet'!$A$114,'Données projet'!$B$114,BY17+BX18-CG17)))</f>
        <v>65</v>
      </c>
      <c r="BZ18" s="14">
        <f>BY18*VLOOKUP('Données projet'!$B$12,Paramètres!$A$1:$I$89,3,0)*VLOOKUP('Données projet'!$B$12,Paramètres!$A$1:$I$89,5,0)</f>
        <v>51.713999999999999</v>
      </c>
      <c r="CA18" s="14">
        <f t="shared" si="39"/>
        <v>15.055535578337075</v>
      </c>
      <c r="CB18" s="22">
        <f t="shared" si="10"/>
        <v>116.29027446560372</v>
      </c>
      <c r="CC18" s="62">
        <f t="shared" si="11"/>
        <v>320.78702439848473</v>
      </c>
      <c r="CD18" s="62">
        <f ca="1">AVERAGE(OFFSET($CC$3,0,0,'Données projet'!$E$12+1,1))-AVERAGE(OFFSET($H$3,0,0,'Données projet'!$E$12+1,1))</f>
        <v>376.47942810265266</v>
      </c>
      <c r="CE18" s="62">
        <f t="shared" si="40"/>
        <v>362.87951024071265</v>
      </c>
      <c r="CF18" s="16">
        <f>IF(ISNA(VLOOKUP(A18,'Données projet'!$A$113:$I$133,3,0)),0,VLOOKUP(A18,'Données projet'!$A$113:$I$133,3,0))</f>
        <v>2</v>
      </c>
      <c r="CG18" s="16">
        <f>IF(ISNA(VLOOKUP(A18,'Données projet'!$A$113:$I$133,4,0)),0,VLOOKUP(A18,'Données projet'!$A$113:$I$133,4,0))</f>
        <v>32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>
        <f>VLOOKUP(A18,'Données projet'!$A$139:$I$159,2,0)</f>
        <v>65</v>
      </c>
      <c r="CR18" s="13">
        <f>VLOOKUP(A18,'Données projet'!$A$139:$I$159,9,0)</f>
        <v>10.8</v>
      </c>
      <c r="CS18" s="13">
        <f t="array" ref="CS18">INDEX(CR:CR,MIN(IF(ISNUMBER(CR18:CR214),ROW(CR18:CR214),"")))</f>
        <v>10.8</v>
      </c>
      <c r="CT18" s="13">
        <f>IF('Données projet'!$A$140&gt;35,CT17+CS18-DB17,IF(A18&lt;'Données projet'!$A$140,$CQ$205^A18,IF(A18='Données projet'!$A$140,'Données projet'!$B$140,CT17+CS18-DB17)))</f>
        <v>65</v>
      </c>
      <c r="CU18" s="18">
        <f>CT18*VLOOKUP('Données projet'!$B$13,Paramètres!$A$1:$I$89,3,0)*VLOOKUP('Données projet'!$B$13,Paramètres!$A$1:$I$89,5,0)</f>
        <v>47.657999999999994</v>
      </c>
      <c r="CV18" s="14">
        <f t="shared" si="41"/>
        <v>14.007249652087213</v>
      </c>
      <c r="CW18" s="22">
        <f t="shared" si="13"/>
        <v>107.40030981071855</v>
      </c>
      <c r="CX18" s="62">
        <f t="shared" si="14"/>
        <v>311.89705974359958</v>
      </c>
      <c r="CY18" s="62">
        <f ca="1">AVERAGE(OFFSET($CX$3,0,0,'Données projet'!$E$13+1,1))-AVERAGE(OFFSET($H$3,0,0,'Données projet'!$E$13+1,1))</f>
        <v>351.7223836693733</v>
      </c>
      <c r="CZ18" s="62">
        <f t="shared" si="42"/>
        <v>339.34942976598518</v>
      </c>
      <c r="DA18" s="16">
        <f>IF(ISNA(VLOOKUP(A18,'Données projet'!$A$139:$I$159,3,0)),0,VLOOKUP(A18,'Données projet'!$A$139:$I$159,3,0))</f>
        <v>2</v>
      </c>
      <c r="DB18" s="16">
        <f>IF(ISNA(VLOOKUP(A18,'Données projet'!$A$139:$I$159,4,0)),0,VLOOKUP(A18,'Données projet'!$A$139:$I$159,4,0))</f>
        <v>32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183.33333333333334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8.1284210526315785</v>
      </c>
      <c r="N19" s="14">
        <f>IF('Données projet'!$A$36&gt;35,N18+M19-V18,IF(A19&lt;'Données projet'!$A$36,$K$205^A19,IF(A19='Données projet'!$A$36,'Données projet'!$B$36,N18+M19-V18)))</f>
        <v>69.689306290040648</v>
      </c>
      <c r="O19" s="14">
        <f>N19*VLOOKUP('Données projet'!$B$9,Paramètres!$A$1:$I$89,3,0)*VLOOKUP('Données projet'!$B$9,Paramètres!$A$1:$I$89,5,0)</f>
        <v>38.956322216132719</v>
      </c>
      <c r="P19" s="14">
        <f t="shared" si="33"/>
        <v>11.721595786972175</v>
      </c>
      <c r="Q19" s="22">
        <f t="shared" si="2"/>
        <v>88.264040522074353</v>
      </c>
      <c r="R19" s="62">
        <f t="shared" si="0"/>
        <v>295.20608644418843</v>
      </c>
      <c r="S19" s="62">
        <f ca="1">AVERAGE(OFFSET($R$3,0,0,'Données projet'!$E$9+1,1))-AVERAGE(OFFSET($H$3,0,0,'Données projet'!$E$9+1,1))</f>
        <v>409.45931633551902</v>
      </c>
      <c r="T19" s="62">
        <f t="shared" si="34"/>
        <v>375.18886653687389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17.166666666666668</v>
      </c>
      <c r="AI19" s="14">
        <f>IF('Données projet'!$A$62&gt;35,AI18+AH19-AQ18,IF(A19&lt;'Données projet'!$A$62,$AF$205^A19,IF(A19='Données projet'!$A$62,'Données projet'!$B$62,AI18+AH19-AQ18)))</f>
        <v>111.50000000000001</v>
      </c>
      <c r="AJ19" s="14">
        <f>AI19*VLOOKUP('Données projet'!$B$10,Paramètres!$A$1:$I$89,3,0)*VLOOKUP('Données projet'!$B$10,Paramètres!$A$1:$I$89,5,0)</f>
        <v>66.677000000000007</v>
      </c>
      <c r="AK19" s="14">
        <f t="shared" si="35"/>
        <v>18.845918291779732</v>
      </c>
      <c r="AL19" s="22">
        <f t="shared" si="4"/>
        <v>148.95241602484973</v>
      </c>
      <c r="AM19" s="62">
        <f t="shared" si="5"/>
        <v>355.89446194696382</v>
      </c>
      <c r="AN19" s="62">
        <f ca="1">AVERAGE(OFFSET($AM$3,0,0,'Données projet'!$E$10+1,1))-AVERAGE(OFFSET($H$3,0,0,'Données projet'!$E$10+1,1))</f>
        <v>212.90262675152454</v>
      </c>
      <c r="AO19" s="62">
        <f t="shared" si="36"/>
        <v>366.51899340890498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3.5907319725353593</v>
      </c>
      <c r="AX19" s="23">
        <f t="shared" si="6"/>
        <v>3.5907319725353593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14.2</v>
      </c>
      <c r="BD19" s="13">
        <f>IF('Données projet'!$A$88&gt;35,BD18+BC19-BL18,IF(A19&lt;'Données projet'!$A$88,$BA$205^A19,IF(A19='Données projet'!$A$88,'Données projet'!$B$88,BD18+BC19-BL18)))</f>
        <v>80.2</v>
      </c>
      <c r="BE19" s="14">
        <f>BD19*VLOOKUP('Données projet'!$B$11,Paramètres!$A$1:$I$89,3,0)*VLOOKUP('Données projet'!$B$11,Paramètres!$A$1:$I$89,5,0)</f>
        <v>70.062720000000013</v>
      </c>
      <c r="BF19" s="14">
        <f t="shared" si="37"/>
        <v>19.689032345957123</v>
      </c>
      <c r="BG19" s="22">
        <f t="shared" si="7"/>
        <v>156.31763533587534</v>
      </c>
      <c r="BH19" s="62">
        <f t="shared" si="8"/>
        <v>363.25968125798943</v>
      </c>
      <c r="BI19" s="62">
        <f ca="1">AVERAGE(OFFSET($BH$3,0,0,'Données projet'!$E$11+1,1))-AVERAGE(OFFSET($H$3,0,0,'Données projet'!$E$11+1,1))</f>
        <v>342.02279578180605</v>
      </c>
      <c r="BJ19" s="62">
        <f t="shared" si="38"/>
        <v>409.02379334777754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13.6</v>
      </c>
      <c r="BY19" s="13">
        <f>IF('Données projet'!$A$114&gt;35,BY18+BX19-CG18,IF(A19&lt;'Données projet'!$A$114,$BV$205^A19,IF(A19='Données projet'!$A$114,'Données projet'!$B$114,BY18+BX19-CG18)))</f>
        <v>46.599999999999994</v>
      </c>
      <c r="BZ19" s="14">
        <f>BY19*VLOOKUP('Données projet'!$B$12,Paramètres!$A$1:$I$89,3,0)*VLOOKUP('Données projet'!$B$12,Paramètres!$A$1:$I$89,5,0)</f>
        <v>37.074959999999997</v>
      </c>
      <c r="CA19" s="14">
        <f t="shared" si="39"/>
        <v>11.219971753147911</v>
      </c>
      <c r="CB19" s="22">
        <f t="shared" si="10"/>
        <v>84.113672803399268</v>
      </c>
      <c r="CC19" s="62">
        <f t="shared" si="11"/>
        <v>291.05571872551332</v>
      </c>
      <c r="CD19" s="62">
        <f ca="1">AVERAGE(OFFSET($CC$3,0,0,'Données projet'!$E$12+1,1))-AVERAGE(OFFSET($H$3,0,0,'Données projet'!$E$12+1,1))</f>
        <v>376.47942810265266</v>
      </c>
      <c r="CE19" s="62">
        <f t="shared" si="40"/>
        <v>362.87951024071265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13.6</v>
      </c>
      <c r="CT19" s="13">
        <f>IF('Données projet'!$A$140&gt;35,CT18+CS19-DB18,IF(A19&lt;'Données projet'!$A$140,$CQ$205^A19,IF(A19='Données projet'!$A$140,'Données projet'!$B$140,CT18+CS19-DB18)))</f>
        <v>46.599999999999994</v>
      </c>
      <c r="CU19" s="18">
        <f>CT19*VLOOKUP('Données projet'!$B$13,Paramètres!$A$1:$I$89,3,0)*VLOOKUP('Données projet'!$B$13,Paramètres!$A$1:$I$89,5,0)</f>
        <v>34.167119999999997</v>
      </c>
      <c r="CV19" s="14">
        <f t="shared" si="41"/>
        <v>10.438748234359947</v>
      </c>
      <c r="CW19" s="22">
        <f t="shared" si="13"/>
        <v>77.688553841510227</v>
      </c>
      <c r="CX19" s="62">
        <f t="shared" si="14"/>
        <v>284.63059976362428</v>
      </c>
      <c r="CY19" s="62">
        <f ca="1">AVERAGE(OFFSET($CX$3,0,0,'Données projet'!$E$13+1,1))-AVERAGE(OFFSET($H$3,0,0,'Données projet'!$E$13+1,1))</f>
        <v>351.7223836693733</v>
      </c>
      <c r="CZ19" s="62">
        <f t="shared" si="42"/>
        <v>339.34942976598518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183.33333333333334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8.1284210526315785</v>
      </c>
      <c r="N20" s="14">
        <f>IF('Données projet'!$A$36&gt;35,N19+M20-V19,IF(A20&lt;'Données projet'!$A$36,$K$205^A20,IF(A20='Données projet'!$A$36,'Données projet'!$B$36,N19+M20-V19)))</f>
        <v>90.858178358655039</v>
      </c>
      <c r="O20" s="14">
        <f>N20*VLOOKUP('Données projet'!$B$9,Paramètres!$A$1:$I$89,3,0)*VLOOKUP('Données projet'!$B$9,Paramètres!$A$1:$I$89,5,0)</f>
        <v>50.789721702488166</v>
      </c>
      <c r="P20" s="14">
        <f t="shared" si="33"/>
        <v>14.817522352379566</v>
      </c>
      <c r="Q20" s="22">
        <f t="shared" si="2"/>
        <v>114.26595006222796</v>
      </c>
      <c r="R20" s="62">
        <f t="shared" si="0"/>
        <v>323.6320743781007</v>
      </c>
      <c r="S20" s="62">
        <f ca="1">AVERAGE(OFFSET($R$3,0,0,'Données projet'!$E$9+1,1))-AVERAGE(OFFSET($H$3,0,0,'Données projet'!$E$9+1,1))</f>
        <v>409.45931633551902</v>
      </c>
      <c r="T20" s="62">
        <f t="shared" si="34"/>
        <v>375.18886653687389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17.166666666666668</v>
      </c>
      <c r="AI20" s="14">
        <f>IF('Données projet'!$A$62&gt;35,AI19+AH20-AQ19,IF(A20&lt;'Données projet'!$A$62,$AF$205^A20,IF(A20='Données projet'!$A$62,'Données projet'!$B$62,AI19+AH20-AQ19)))</f>
        <v>128.66666666666669</v>
      </c>
      <c r="AJ20" s="14">
        <f>AI20*VLOOKUP('Données projet'!$B$10,Paramètres!$A$1:$I$89,3,0)*VLOOKUP('Données projet'!$B$10,Paramètres!$A$1:$I$89,5,0)</f>
        <v>76.942666666666682</v>
      </c>
      <c r="AK20" s="14">
        <f t="shared" si="35"/>
        <v>21.387963426287346</v>
      </c>
      <c r="AL20" s="22">
        <f t="shared" si="4"/>
        <v>171.25918074522826</v>
      </c>
      <c r="AM20" s="62">
        <f t="shared" si="5"/>
        <v>380.62530506110102</v>
      </c>
      <c r="AN20" s="62">
        <f ca="1">AVERAGE(OFFSET($AM$3,0,0,'Données projet'!$E$10+1,1))-AVERAGE(OFFSET($H$3,0,0,'Données projet'!$E$10+1,1))</f>
        <v>212.90262675152454</v>
      </c>
      <c r="AO20" s="62">
        <f t="shared" si="36"/>
        <v>366.51899340890498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2.5390309272031004</v>
      </c>
      <c r="AX20" s="23">
        <f t="shared" si="6"/>
        <v>2.5390309272031004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14.2</v>
      </c>
      <c r="BD20" s="13">
        <f>IF('Données projet'!$A$88&gt;35,BD19+BC20-BL19,IF(A20&lt;'Données projet'!$A$88,$BA$205^A20,IF(A20='Données projet'!$A$88,'Données projet'!$B$88,BD19+BC20-BL19)))</f>
        <v>94.4</v>
      </c>
      <c r="BE20" s="14">
        <f>BD20*VLOOKUP('Données projet'!$B$11,Paramètres!$A$1:$I$89,3,0)*VLOOKUP('Données projet'!$B$11,Paramètres!$A$1:$I$89,5,0)</f>
        <v>82.467840000000024</v>
      </c>
      <c r="BF20" s="14">
        <f t="shared" si="37"/>
        <v>22.739512759227473</v>
      </c>
      <c r="BG20" s="22">
        <f t="shared" si="7"/>
        <v>183.23613938898788</v>
      </c>
      <c r="BH20" s="62">
        <f t="shared" si="8"/>
        <v>392.6022637048606</v>
      </c>
      <c r="BI20" s="62">
        <f ca="1">AVERAGE(OFFSET($BH$3,0,0,'Données projet'!$E$11+1,1))-AVERAGE(OFFSET($H$3,0,0,'Données projet'!$E$11+1,1))</f>
        <v>342.02279578180605</v>
      </c>
      <c r="BJ20" s="62">
        <f t="shared" si="38"/>
        <v>409.02379334777754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13.6</v>
      </c>
      <c r="BY20" s="13">
        <f>IF('Données projet'!$A$114&gt;35,BY19+BX20-CG19,IF(A20&lt;'Données projet'!$A$114,$BV$205^A20,IF(A20='Données projet'!$A$114,'Données projet'!$B$114,BY19+BX20-CG19)))</f>
        <v>60.199999999999996</v>
      </c>
      <c r="BZ20" s="14">
        <f>BY20*VLOOKUP('Données projet'!$B$12,Paramètres!$A$1:$I$89,3,0)*VLOOKUP('Données projet'!$B$12,Paramètres!$A$1:$I$89,5,0)</f>
        <v>47.895119999999999</v>
      </c>
      <c r="CA20" s="14">
        <f t="shared" si="39"/>
        <v>14.068812032564205</v>
      </c>
      <c r="CB20" s="22">
        <f t="shared" si="10"/>
        <v>107.92051495671598</v>
      </c>
      <c r="CC20" s="62">
        <f t="shared" si="11"/>
        <v>317.28663927258867</v>
      </c>
      <c r="CD20" s="62">
        <f ca="1">AVERAGE(OFFSET($CC$3,0,0,'Données projet'!$E$12+1,1))-AVERAGE(OFFSET($H$3,0,0,'Données projet'!$E$12+1,1))</f>
        <v>376.47942810265266</v>
      </c>
      <c r="CE20" s="62">
        <f t="shared" si="40"/>
        <v>362.87951024071265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13.6</v>
      </c>
      <c r="CT20" s="13">
        <f>IF('Données projet'!$A$140&gt;35,CT19+CS20-DB19,IF(A20&lt;'Données projet'!$A$140,$CQ$205^A20,IF(A20='Données projet'!$A$140,'Données projet'!$B$140,CT19+CS20-DB19)))</f>
        <v>60.199999999999996</v>
      </c>
      <c r="CU20" s="18">
        <f>CT20*VLOOKUP('Données projet'!$B$13,Paramètres!$A$1:$I$89,3,0)*VLOOKUP('Données projet'!$B$13,Paramètres!$A$1:$I$89,5,0)</f>
        <v>44.138639999999995</v>
      </c>
      <c r="CV20" s="14">
        <f t="shared" si="41"/>
        <v>13.089229634046784</v>
      </c>
      <c r="CW20" s="22">
        <f t="shared" si="13"/>
        <v>99.671872945964807</v>
      </c>
      <c r="CX20" s="62">
        <f t="shared" si="14"/>
        <v>309.03799726183752</v>
      </c>
      <c r="CY20" s="62">
        <f ca="1">AVERAGE(OFFSET($CX$3,0,0,'Données projet'!$E$13+1,1))-AVERAGE(OFFSET($H$3,0,0,'Données projet'!$E$13+1,1))</f>
        <v>351.7223836693733</v>
      </c>
      <c r="CZ20" s="62">
        <f t="shared" si="42"/>
        <v>339.34942976598518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183.33333333333334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8.1284210526315785</v>
      </c>
      <c r="N21" s="14">
        <f>IF('Données projet'!$A$36&gt;35,N20+M21-V20,IF(A21&lt;'Données projet'!$A$36,$K$205^A21,IF(A21='Données projet'!$A$36,'Données projet'!$B$36,N20+M21-V20)))</f>
        <v>118.45732170579704</v>
      </c>
      <c r="O21" s="14">
        <f>N21*VLOOKUP('Données projet'!$B$9,Paramètres!$A$1:$I$89,3,0)*VLOOKUP('Données projet'!$B$9,Paramètres!$A$1:$I$89,5,0)</f>
        <v>66.217642833540552</v>
      </c>
      <c r="P21" s="14">
        <f t="shared" si="33"/>
        <v>18.731149977658681</v>
      </c>
      <c r="Q21" s="22">
        <f t="shared" si="2"/>
        <v>147.95248081283867</v>
      </c>
      <c r="R21" s="62">
        <f t="shared" si="0"/>
        <v>359.72183400484175</v>
      </c>
      <c r="S21" s="62">
        <f ca="1">AVERAGE(OFFSET($R$3,0,0,'Données projet'!$E$9+1,1))-AVERAGE(OFFSET($H$3,0,0,'Données projet'!$E$9+1,1))</f>
        <v>409.45931633551902</v>
      </c>
      <c r="T21" s="62">
        <f t="shared" si="34"/>
        <v>375.18886653687389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17.166666666666668</v>
      </c>
      <c r="AI21" s="14">
        <f>IF('Données projet'!$A$62&gt;35,AI20+AH21-AQ20,IF(A21&lt;'Données projet'!$A$62,$AF$205^A21,IF(A21='Données projet'!$A$62,'Données projet'!$B$62,AI20+AH21-AQ20)))</f>
        <v>145.83333333333334</v>
      </c>
      <c r="AJ21" s="14">
        <f>AI21*VLOOKUP('Données projet'!$B$10,Paramètres!$A$1:$I$89,3,0)*VLOOKUP('Données projet'!$B$10,Paramètres!$A$1:$I$89,5,0)</f>
        <v>87.208333333333343</v>
      </c>
      <c r="AK21" s="14">
        <f t="shared" si="35"/>
        <v>23.890712489742075</v>
      </c>
      <c r="AL21" s="22">
        <f t="shared" si="4"/>
        <v>193.49750480852299</v>
      </c>
      <c r="AM21" s="62">
        <f t="shared" si="5"/>
        <v>405.2668580005261</v>
      </c>
      <c r="AN21" s="62">
        <f ca="1">AVERAGE(OFFSET($AM$3,0,0,'Données projet'!$E$10+1,1))-AVERAGE(OFFSET($H$3,0,0,'Données projet'!$E$10+1,1))</f>
        <v>212.90262675152454</v>
      </c>
      <c r="AO21" s="62">
        <f t="shared" si="36"/>
        <v>366.51899340890498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1.7953659862676796</v>
      </c>
      <c r="AX21" s="23">
        <f t="shared" si="6"/>
        <v>1.7953659862676796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14.2</v>
      </c>
      <c r="BD21" s="13">
        <f>IF('Données projet'!$A$88&gt;35,BD20+BC21-BL20,IF(A21&lt;'Données projet'!$A$88,$BA$205^A21,IF(A21='Données projet'!$A$88,'Données projet'!$B$88,BD20+BC21-BL20)))</f>
        <v>108.60000000000001</v>
      </c>
      <c r="BE21" s="14">
        <f>BD21*VLOOKUP('Données projet'!$B$11,Paramètres!$A$1:$I$89,3,0)*VLOOKUP('Données projet'!$B$11,Paramètres!$A$1:$I$89,5,0)</f>
        <v>94.87296000000002</v>
      </c>
      <c r="BF21" s="14">
        <f t="shared" si="37"/>
        <v>25.736834760472274</v>
      </c>
      <c r="BG21" s="22">
        <f t="shared" si="7"/>
        <v>210.06205920782259</v>
      </c>
      <c r="BH21" s="62">
        <f t="shared" si="8"/>
        <v>421.83141239982569</v>
      </c>
      <c r="BI21" s="62">
        <f ca="1">AVERAGE(OFFSET($BH$3,0,0,'Données projet'!$E$11+1,1))-AVERAGE(OFFSET($H$3,0,0,'Données projet'!$E$11+1,1))</f>
        <v>342.02279578180605</v>
      </c>
      <c r="BJ21" s="62">
        <f t="shared" si="38"/>
        <v>409.02379334777754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13.6</v>
      </c>
      <c r="BY21" s="13">
        <f>IF('Données projet'!$A$114&gt;35,BY20+BX21-CG20,IF(A21&lt;'Données projet'!$A$114,$BV$205^A21,IF(A21='Données projet'!$A$114,'Données projet'!$B$114,BY20+BX21-CG20)))</f>
        <v>73.8</v>
      </c>
      <c r="BZ21" s="14">
        <f>BY21*VLOOKUP('Données projet'!$B$12,Paramètres!$A$1:$I$89,3,0)*VLOOKUP('Données projet'!$B$12,Paramètres!$A$1:$I$89,5,0)</f>
        <v>58.71528</v>
      </c>
      <c r="CA21" s="14">
        <f t="shared" si="39"/>
        <v>16.843043445461888</v>
      </c>
      <c r="CB21" s="22">
        <f t="shared" si="10"/>
        <v>131.59741333417946</v>
      </c>
      <c r="CC21" s="62">
        <f t="shared" si="11"/>
        <v>343.36676652618257</v>
      </c>
      <c r="CD21" s="62">
        <f ca="1">AVERAGE(OFFSET($CC$3,0,0,'Données projet'!$E$12+1,1))-AVERAGE(OFFSET($H$3,0,0,'Données projet'!$E$12+1,1))</f>
        <v>376.47942810265266</v>
      </c>
      <c r="CE21" s="62">
        <f t="shared" si="40"/>
        <v>362.87951024071265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13.6</v>
      </c>
      <c r="CT21" s="13">
        <f>IF('Données projet'!$A$140&gt;35,CT20+CS21-DB20,IF(A21&lt;'Données projet'!$A$140,$CQ$205^A21,IF(A21='Données projet'!$A$140,'Données projet'!$B$140,CT20+CS21-DB20)))</f>
        <v>73.8</v>
      </c>
      <c r="CU21" s="18">
        <f>CT21*VLOOKUP('Données projet'!$B$13,Paramètres!$A$1:$I$89,3,0)*VLOOKUP('Données projet'!$B$13,Paramètres!$A$1:$I$89,5,0)</f>
        <v>54.11016</v>
      </c>
      <c r="CV21" s="14">
        <f t="shared" si="41"/>
        <v>15.670297028888184</v>
      </c>
      <c r="CW21" s="22">
        <f t="shared" si="13"/>
        <v>121.53429599198023</v>
      </c>
      <c r="CX21" s="62">
        <f t="shared" si="14"/>
        <v>333.30364918398334</v>
      </c>
      <c r="CY21" s="62">
        <f ca="1">AVERAGE(OFFSET($CX$3,0,0,'Données projet'!$E$13+1,1))-AVERAGE(OFFSET($H$3,0,0,'Données projet'!$E$13+1,1))</f>
        <v>351.7223836693733</v>
      </c>
      <c r="CZ21" s="62">
        <f t="shared" si="42"/>
        <v>339.34942976598518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183.33333333333334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>
        <f>VLOOKUP(A22,'Données projet'!$A$35:$I$55,2,0)</f>
        <v>154.44</v>
      </c>
      <c r="L22" s="13">
        <f>VLOOKUP(A22,'Données projet'!$A$35:$I$55,9,0)</f>
        <v>8.1284210526315785</v>
      </c>
      <c r="M22" s="13">
        <f t="array" ref="M22">INDEX(L:L,MIN(IF(ISNUMBER(L22:L218),ROW(L22:L218),"")))</f>
        <v>8.1284210526315785</v>
      </c>
      <c r="N22" s="14">
        <f>IF('Données projet'!$A$36&gt;35,N21+M22-V21,IF(A22&lt;'Données projet'!$A$36,$K$205^A22,IF(A22='Données projet'!$A$36,'Données projet'!$B$36,N21+M22-V21)))</f>
        <v>154.44</v>
      </c>
      <c r="O22" s="14">
        <f>N22*VLOOKUP('Données projet'!$B$9,Paramètres!$A$1:$I$89,3,0)*VLOOKUP('Données projet'!$B$9,Paramètres!$A$1:$I$89,5,0)</f>
        <v>86.331959999999995</v>
      </c>
      <c r="P22" s="14">
        <f t="shared" si="33"/>
        <v>23.67845117029286</v>
      </c>
      <c r="Q22" s="22">
        <f t="shared" si="2"/>
        <v>191.60146612159338</v>
      </c>
      <c r="R22" s="62">
        <f t="shared" si="0"/>
        <v>405.75356036461687</v>
      </c>
      <c r="S22" s="62">
        <f ca="1">AVERAGE(OFFSET($R$3,0,0,'Données projet'!$E$9+1,1))-AVERAGE(OFFSET($H$3,0,0,'Données projet'!$E$9+1,1))</f>
        <v>409.45931633551902</v>
      </c>
      <c r="T22" s="62">
        <f t="shared" si="34"/>
        <v>375.18886653687389</v>
      </c>
      <c r="U22" s="16">
        <f>IF(ISNA(VLOOKUP(A22,'Données projet'!$A$35:$I$55,3,0)),0,VLOOKUP(A22,'Données projet'!$A$35:$I$55,3,0))</f>
        <v>1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1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>
        <f>VLOOKUP(A22,'Données projet'!$A$61:$I$81,2,0)</f>
        <v>163</v>
      </c>
      <c r="AG22" s="13">
        <f>VLOOKUP(A22,'Données projet'!$A$61:$I$81,9,0)</f>
        <v>17.166666666666668</v>
      </c>
      <c r="AH22" s="13">
        <f t="array" ref="AH22">INDEX(AG:AG,MIN(IF(ISNUMBER(AG22:AG218),ROW(AG22:AG218),"")))</f>
        <v>17.166666666666668</v>
      </c>
      <c r="AI22" s="14">
        <f>IF('Données projet'!$A$62&gt;35,AI21+AH22-AQ21,IF(A22&lt;'Données projet'!$A$62,$AF$205^A22,IF(A22='Données projet'!$A$62,'Données projet'!$B$62,AI21+AH22-AQ21)))</f>
        <v>163</v>
      </c>
      <c r="AJ22" s="14">
        <f>AI22*VLOOKUP('Données projet'!$B$10,Paramètres!$A$1:$I$89,3,0)*VLOOKUP('Données projet'!$B$10,Paramètres!$A$1:$I$89,5,0)</f>
        <v>97.474000000000004</v>
      </c>
      <c r="AK22" s="14">
        <f t="shared" si="35"/>
        <v>26.359319748929014</v>
      </c>
      <c r="AL22" s="22">
        <f t="shared" si="4"/>
        <v>215.67636522938469</v>
      </c>
      <c r="AM22" s="62">
        <f t="shared" si="5"/>
        <v>429.82845947240821</v>
      </c>
      <c r="AN22" s="62">
        <f ca="1">AVERAGE(OFFSET($AM$3,0,0,'Données projet'!$E$10+1,1))-AVERAGE(OFFSET($H$3,0,0,'Données projet'!$E$10+1,1))</f>
        <v>212.90262675152454</v>
      </c>
      <c r="AO22" s="62">
        <f t="shared" si="36"/>
        <v>366.51899340890498</v>
      </c>
      <c r="AP22" s="16">
        <f>IF(ISNA(VLOOKUP(A22,'Données projet'!$A$61:$I$81,3,0)),0,VLOOKUP(A22,'Données projet'!$A$61:$I$81,3,0))</f>
        <v>2</v>
      </c>
      <c r="AQ22" s="16">
        <f>IF(ISNA(VLOOKUP(A22,'Données projet'!$A$61:$I$81,4,0)),0,VLOOKUP(A22,'Données projet'!$A$61:$I$81,4,0))</f>
        <v>40</v>
      </c>
      <c r="AR22" s="17">
        <f>IF(ISNA(VLOOKUP(A22,'Données projet'!$A$61:$I$81,5,0)),0%,VLOOKUP(A22,'Données projet'!$A$61:$I$81,5,0)*VLOOKUP('Données projet'!$B$10,Paramètres!$A$1:$I$89,7,0))</f>
        <v>0.13500000000000001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0.7</v>
      </c>
      <c r="AU22" s="23">
        <f>EXP(-LN(2)/35)*AU21+(1-EXP(-LN(2)/35))/(LN(2)/35)*AQ22*AR22*VLOOKUP('Données projet'!$B$10,Paramètres!$A$1:$I$89,3,0)*0.475*44/12</f>
        <v>4.2837419395053642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20.227613053384697</v>
      </c>
      <c r="AX22" s="23">
        <f t="shared" si="6"/>
        <v>24.511354992890062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14.2</v>
      </c>
      <c r="BD22" s="13">
        <f>IF('Données projet'!$A$88&gt;35,BD21+BC22-BL21,IF(A22&lt;'Données projet'!$A$88,$BA$205^A22,IF(A22='Données projet'!$A$88,'Données projet'!$B$88,BD21+BC22-BL21)))</f>
        <v>122.80000000000001</v>
      </c>
      <c r="BE22" s="14">
        <f>BD22*VLOOKUP('Données projet'!$B$11,Paramètres!$A$1:$I$89,3,0)*VLOOKUP('Données projet'!$B$11,Paramètres!$A$1:$I$89,5,0)</f>
        <v>107.27808000000003</v>
      </c>
      <c r="BF22" s="14">
        <f t="shared" si="37"/>
        <v>28.688746800886673</v>
      </c>
      <c r="BG22" s="22">
        <f t="shared" si="7"/>
        <v>236.80889001154432</v>
      </c>
      <c r="BH22" s="62">
        <f t="shared" si="8"/>
        <v>450.96098425456785</v>
      </c>
      <c r="BI22" s="62">
        <f ca="1">AVERAGE(OFFSET($BH$3,0,0,'Données projet'!$E$11+1,1))-AVERAGE(OFFSET($H$3,0,0,'Données projet'!$E$11+1,1))</f>
        <v>342.02279578180605</v>
      </c>
      <c r="BJ22" s="62">
        <f t="shared" si="38"/>
        <v>409.02379334777754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13.6</v>
      </c>
      <c r="BY22" s="13">
        <f>IF('Données projet'!$A$114&gt;35,BY21+BX22-CG21,IF(A22&lt;'Données projet'!$A$114,$BV$205^A22,IF(A22='Données projet'!$A$114,'Données projet'!$B$114,BY21+BX22-CG21)))</f>
        <v>87.399999999999991</v>
      </c>
      <c r="BZ22" s="14">
        <f>BY22*VLOOKUP('Données projet'!$B$12,Paramètres!$A$1:$I$89,3,0)*VLOOKUP('Données projet'!$B$12,Paramètres!$A$1:$I$89,5,0)</f>
        <v>69.535439999999994</v>
      </c>
      <c r="CA22" s="14">
        <f t="shared" si="39"/>
        <v>19.558046279609563</v>
      </c>
      <c r="CB22" s="22">
        <f t="shared" si="10"/>
        <v>155.17115527031999</v>
      </c>
      <c r="CC22" s="62">
        <f t="shared" si="11"/>
        <v>369.32324951334351</v>
      </c>
      <c r="CD22" s="62">
        <f ca="1">AVERAGE(OFFSET($CC$3,0,0,'Données projet'!$E$12+1,1))-AVERAGE(OFFSET($H$3,0,0,'Données projet'!$E$12+1,1))</f>
        <v>376.47942810265266</v>
      </c>
      <c r="CE22" s="62">
        <f t="shared" si="40"/>
        <v>362.87951024071265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13.6</v>
      </c>
      <c r="CT22" s="13">
        <f>IF('Données projet'!$A$140&gt;35,CT21+CS22-DB21,IF(A22&lt;'Données projet'!$A$140,$CQ$205^A22,IF(A22='Données projet'!$A$140,'Données projet'!$B$140,CT21+CS22-DB21)))</f>
        <v>87.399999999999991</v>
      </c>
      <c r="CU22" s="18">
        <f>CT22*VLOOKUP('Données projet'!$B$13,Paramètres!$A$1:$I$89,3,0)*VLOOKUP('Données projet'!$B$13,Paramètres!$A$1:$I$89,5,0)</f>
        <v>64.081679999999992</v>
      </c>
      <c r="CV22" s="14">
        <f t="shared" si="41"/>
        <v>18.196259808900503</v>
      </c>
      <c r="CW22" s="22">
        <f t="shared" si="13"/>
        <v>143.30074516716834</v>
      </c>
      <c r="CX22" s="62">
        <f t="shared" si="14"/>
        <v>357.45283941019187</v>
      </c>
      <c r="CY22" s="62">
        <f ca="1">AVERAGE(OFFSET($CX$3,0,0,'Données projet'!$E$13+1,1))-AVERAGE(OFFSET($H$3,0,0,'Données projet'!$E$13+1,1))</f>
        <v>351.7223836693733</v>
      </c>
      <c r="CZ22" s="62">
        <f t="shared" si="42"/>
        <v>339.34942976598518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183.33333333333334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20.355000000000004</v>
      </c>
      <c r="N23" s="14">
        <f>IF('Données projet'!$A$36&gt;35,N22+M23-V22,IF(A23&lt;'Données projet'!$A$36,$K$205^A23,IF(A23='Données projet'!$A$36,'Données projet'!$B$36,N22+M23-V22)))</f>
        <v>174.79500000000002</v>
      </c>
      <c r="O23" s="14">
        <f>N23*VLOOKUP('Données projet'!$B$9,Paramètres!$A$1:$I$89,3,0)*VLOOKUP('Données projet'!$B$9,Paramètres!$A$1:$I$89,5,0)</f>
        <v>97.710405000000009</v>
      </c>
      <c r="P23" s="14">
        <f t="shared" si="33"/>
        <v>26.41579998765167</v>
      </c>
      <c r="Q23" s="22">
        <f t="shared" si="2"/>
        <v>216.18647368682664</v>
      </c>
      <c r="R23" s="62">
        <f t="shared" si="0"/>
        <v>432.70117657372236</v>
      </c>
      <c r="S23" s="62">
        <f ca="1">AVERAGE(OFFSET($R$3,0,0,'Données projet'!$E$9+1,1))-AVERAGE(OFFSET($H$3,0,0,'Données projet'!$E$9+1,1))</f>
        <v>409.45931633551902</v>
      </c>
      <c r="T23" s="62">
        <f t="shared" si="34"/>
        <v>375.18886653687389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16.5</v>
      </c>
      <c r="AI23" s="14">
        <f>IF('Données projet'!$A$62&gt;35,AI22+AH23-AQ22,IF(A23&lt;'Données projet'!$A$62,$AF$205^A23,IF(A23='Données projet'!$A$62,'Données projet'!$B$62,AI22+AH23-AQ22)))</f>
        <v>139.5</v>
      </c>
      <c r="AJ23" s="14">
        <f>AI23*VLOOKUP('Données projet'!$B$10,Paramètres!$A$1:$I$89,3,0)*VLOOKUP('Données projet'!$B$10,Paramètres!$A$1:$I$89,5,0)</f>
        <v>83.421000000000006</v>
      </c>
      <c r="AK23" s="14">
        <f t="shared" si="35"/>
        <v>22.97158706718762</v>
      </c>
      <c r="AL23" s="22">
        <f t="shared" si="4"/>
        <v>185.30042247535178</v>
      </c>
      <c r="AM23" s="62">
        <f t="shared" si="5"/>
        <v>401.8151253622475</v>
      </c>
      <c r="AN23" s="62">
        <f ca="1">AVERAGE(OFFSET($AM$3,0,0,'Données projet'!$E$10+1,1))-AVERAGE(OFFSET($H$3,0,0,'Données projet'!$E$10+1,1))</f>
        <v>212.90262675152454</v>
      </c>
      <c r="AO23" s="62">
        <f t="shared" si="36"/>
        <v>366.51899340890498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4.1997403728962519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14.303082357265847</v>
      </c>
      <c r="AX23" s="23">
        <f t="shared" si="6"/>
        <v>18.502822730162098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137</v>
      </c>
      <c r="BB23" s="13">
        <f>VLOOKUP(A23,'Données projet'!$A$87:$I$107,9,0)</f>
        <v>14.2</v>
      </c>
      <c r="BC23" s="13">
        <f t="array" ref="BC23">INDEX(BB:BB,MIN(IF(ISNUMBER(BB23:BB219),ROW(BB23:BB219),"")))</f>
        <v>14.2</v>
      </c>
      <c r="BD23" s="13">
        <f>IF('Données projet'!$A$88&gt;35,BD22+BC23-BL22,IF(A23&lt;'Données projet'!$A$88,$BA$205^A23,IF(A23='Données projet'!$A$88,'Données projet'!$B$88,BD22+BC23-BL22)))</f>
        <v>137</v>
      </c>
      <c r="BE23" s="14">
        <f>BD23*VLOOKUP('Données projet'!$B$11,Paramètres!$A$1:$I$89,3,0)*VLOOKUP('Données projet'!$B$11,Paramètres!$A$1:$I$89,5,0)</f>
        <v>119.68320000000003</v>
      </c>
      <c r="BF23" s="14">
        <f t="shared" si="37"/>
        <v>31.601099532596194</v>
      </c>
      <c r="BG23" s="22">
        <f t="shared" si="7"/>
        <v>263.48682168593842</v>
      </c>
      <c r="BH23" s="62">
        <f t="shared" si="8"/>
        <v>480.00152457283411</v>
      </c>
      <c r="BI23" s="62">
        <f ca="1">AVERAGE(OFFSET($BH$3,0,0,'Données projet'!$E$11+1,1))-AVERAGE(OFFSET($H$3,0,0,'Données projet'!$E$11+1,1))</f>
        <v>342.02279578180605</v>
      </c>
      <c r="BJ23" s="62">
        <f t="shared" si="38"/>
        <v>409.02379334777754</v>
      </c>
      <c r="BK23" s="16">
        <f>IF(ISNA(VLOOKUP(A23,'Données projet'!$A$87:$I$107,3,0)),0,VLOOKUP(A23,'Données projet'!$A$87:$I$107,3,0))</f>
        <v>2</v>
      </c>
      <c r="BL23" s="16">
        <f>IF(ISNA(VLOOKUP(A23,'Données projet'!$A$87:$I$107,4,0)),0,VLOOKUP(A23,'Données projet'!$A$87:$I$107,4,0))</f>
        <v>43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101</v>
      </c>
      <c r="BW23" s="13">
        <f>VLOOKUP(A23,'Données projet'!$A$113:$I$133,9,0)</f>
        <v>13.6</v>
      </c>
      <c r="BX23" s="13">
        <f t="array" ref="BX23">INDEX(BW:BW,MIN(IF(ISNUMBER(BW23:BW219),ROW(BW23:BW219),"")))</f>
        <v>13.6</v>
      </c>
      <c r="BY23" s="13">
        <f>IF('Données projet'!$A$114&gt;35,BY22+BX23-CG22,IF(A23&lt;'Données projet'!$A$114,$BV$205^A23,IF(A23='Données projet'!$A$114,'Données projet'!$B$114,BY22+BX23-CG22)))</f>
        <v>100.99999999999999</v>
      </c>
      <c r="BZ23" s="14">
        <f>BY23*VLOOKUP('Données projet'!$B$12,Paramètres!$A$1:$I$89,3,0)*VLOOKUP('Données projet'!$B$12,Paramètres!$A$1:$I$89,5,0)</f>
        <v>80.355599999999995</v>
      </c>
      <c r="CA23" s="14">
        <f t="shared" si="39"/>
        <v>22.224107721582499</v>
      </c>
      <c r="CB23" s="22">
        <f t="shared" si="10"/>
        <v>178.65965761508951</v>
      </c>
      <c r="CC23" s="62">
        <f t="shared" si="11"/>
        <v>395.17436050198523</v>
      </c>
      <c r="CD23" s="62">
        <f ca="1">AVERAGE(OFFSET($CC$3,0,0,'Données projet'!$E$12+1,1))-AVERAGE(OFFSET($H$3,0,0,'Données projet'!$E$12+1,1))</f>
        <v>376.47942810265266</v>
      </c>
      <c r="CE23" s="62">
        <f t="shared" si="40"/>
        <v>362.87951024071265</v>
      </c>
      <c r="CF23" s="16">
        <f>IF(ISNA(VLOOKUP(A23,'Données projet'!$A$113:$I$133,3,0)),0,VLOOKUP(A23,'Données projet'!$A$113:$I$133,3,0))</f>
        <v>3</v>
      </c>
      <c r="CG23" s="16">
        <f>IF(ISNA(VLOOKUP(A23,'Données projet'!$A$113:$I$133,4,0)),0,VLOOKUP(A23,'Données projet'!$A$113:$I$133,4,0))</f>
        <v>35</v>
      </c>
      <c r="CH23" s="17">
        <f>IF(ISNA(VLOOKUP(A23,'Données projet'!$A$113:$I$133,5,0)),0%,VLOOKUP(A23,'Données projet'!$A$113:$I$133,5,0)*VLOOKUP('Données projet'!$B$12,Paramètres!$A$1:$I$89,7,0))</f>
        <v>0.10600000000000001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3.2629903879783009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3.2629903879783009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101</v>
      </c>
      <c r="CR23" s="13">
        <f>VLOOKUP(A23,'Données projet'!$A$139:$I$159,9,0)</f>
        <v>13.6</v>
      </c>
      <c r="CS23" s="13">
        <f t="array" ref="CS23">INDEX(CR:CR,MIN(IF(ISNUMBER(CR23:CR219),ROW(CR23:CR219),"")))</f>
        <v>13.6</v>
      </c>
      <c r="CT23" s="13">
        <f>IF('Données projet'!$A$140&gt;35,CT22+CS23-DB22,IF(A23&lt;'Données projet'!$A$140,$CQ$205^A23,IF(A23='Données projet'!$A$140,'Données projet'!$B$140,CT22+CS23-DB22)))</f>
        <v>100.99999999999999</v>
      </c>
      <c r="CU23" s="18">
        <f>CT23*VLOOKUP('Données projet'!$B$13,Paramètres!$A$1:$I$89,3,0)*VLOOKUP('Données projet'!$B$13,Paramètres!$A$1:$I$89,5,0)</f>
        <v>74.05319999999999</v>
      </c>
      <c r="CV23" s="14">
        <f t="shared" si="41"/>
        <v>20.676688885050559</v>
      </c>
      <c r="CW23" s="22">
        <f t="shared" si="13"/>
        <v>164.98788980812969</v>
      </c>
      <c r="CX23" s="62">
        <f t="shared" si="14"/>
        <v>381.50259269502544</v>
      </c>
      <c r="CY23" s="62">
        <f ca="1">AVERAGE(OFFSET($CX$3,0,0,'Données projet'!$E$13+1,1))-AVERAGE(OFFSET($H$3,0,0,'Données projet'!$E$13+1,1))</f>
        <v>351.7223836693733</v>
      </c>
      <c r="CZ23" s="62">
        <f t="shared" si="42"/>
        <v>339.34942976598518</v>
      </c>
      <c r="DA23" s="16">
        <f>IF(ISNA(VLOOKUP(A23,'Données projet'!$A$139:$I$159,3,0)),0,VLOOKUP(A23,'Données projet'!$A$139:$I$159,3,0))</f>
        <v>3</v>
      </c>
      <c r="DB23" s="16">
        <f>IF(ISNA(VLOOKUP(A23,'Données projet'!$A$139:$I$159,4,0)),0,VLOOKUP(A23,'Données projet'!$A$139:$I$159,4,0))</f>
        <v>35</v>
      </c>
      <c r="DC23" s="17">
        <f>IF(ISNA(VLOOKUP(A23,'Données projet'!$A$139:$I$159,5,0)),0%,VLOOKUP(A23,'Données projet'!$A$139:$I$159,5,0)*VLOOKUP('Données projet'!$B$13,Paramètres!$A$1:$I$89,7,0))</f>
        <v>8.6000000000000007E-2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2.4396979556434131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2.4396979556434131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183.33333333333334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>
        <f>VLOOKUP(A24,'Données projet'!$A$35:$I$55,2,0)</f>
        <v>195.15</v>
      </c>
      <c r="L24" s="13">
        <f>VLOOKUP(A24,'Données projet'!$A$35:$I$55,9,0)</f>
        <v>20.355000000000004</v>
      </c>
      <c r="M24" s="13">
        <f t="array" ref="M24">INDEX(L:L,MIN(IF(ISNUMBER(L24:L220),ROW(L24:L220),"")))</f>
        <v>20.355000000000004</v>
      </c>
      <c r="N24" s="14">
        <f>IF('Données projet'!$A$36&gt;35,N23+M24-V23,IF(A24&lt;'Données projet'!$A$36,$K$205^A24,IF(A24='Données projet'!$A$36,'Données projet'!$B$36,N23+M24-V23)))</f>
        <v>195.15000000000003</v>
      </c>
      <c r="O24" s="14">
        <f>N24*VLOOKUP('Données projet'!$B$9,Paramètres!$A$1:$I$89,3,0)*VLOOKUP('Données projet'!$B$9,Paramètres!$A$1:$I$89,5,0)</f>
        <v>109.08885000000002</v>
      </c>
      <c r="P24" s="14">
        <f t="shared" si="33"/>
        <v>29.116206715124498</v>
      </c>
      <c r="Q24" s="22">
        <f t="shared" si="2"/>
        <v>240.70714044550854</v>
      </c>
      <c r="R24" s="62">
        <f t="shared" si="0"/>
        <v>459.56466882138295</v>
      </c>
      <c r="S24" s="62">
        <f ca="1">AVERAGE(OFFSET($R$3,0,0,'Données projet'!$E$9+1,1))-AVERAGE(OFFSET($H$3,0,0,'Données projet'!$E$9+1,1))</f>
        <v>409.45931633551902</v>
      </c>
      <c r="T24" s="62">
        <f t="shared" si="34"/>
        <v>375.18886653687389</v>
      </c>
      <c r="U24" s="16">
        <f>IF(ISNA(VLOOKUP(A24,'Données projet'!$A$35:$I$55,3,0)),0,VLOOKUP(A24,'Données projet'!$A$35:$I$55,3,0))</f>
        <v>2</v>
      </c>
      <c r="V24" s="16">
        <f>IF(ISNA(VLOOKUP(A24,'Données projet'!$A$35:$I$55,4,0)),0,VLOOKUP(A24,'Données projet'!$A$35:$I$55,4,0))</f>
        <v>64.58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0.27500000000000002</v>
      </c>
      <c r="Y24" s="17">
        <f>IF(ISNA(VLOOKUP(A24,'Données projet'!$A$35:$I$55,7,0)),0%,VLOOKUP(A24,'Données projet'!$A$35:$I$55,7,0))</f>
        <v>0.5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13.117695356559935</v>
      </c>
      <c r="AB24" s="23">
        <f>EXP(-LN(2)/2)*AB23+(1-EXP(-LN(2)/2))/(LN(2)/2)*V24*Y24*VLOOKUP('Données projet'!$B$9,Paramètres!$A$1:$I$89,3,0)*0.475*44/12</f>
        <v>20.436917515905439</v>
      </c>
      <c r="AC24" s="24">
        <f t="shared" si="3"/>
        <v>33.55461287246537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16.5</v>
      </c>
      <c r="AI24" s="14">
        <f>IF('Données projet'!$A$62&gt;35,AI23+AH24-AQ23,IF(A24&lt;'Données projet'!$A$62,$AF$205^A24,IF(A24='Données projet'!$A$62,'Données projet'!$B$62,AI23+AH24-AQ23)))</f>
        <v>156</v>
      </c>
      <c r="AJ24" s="14">
        <f>AI24*VLOOKUP('Données projet'!$B$10,Paramètres!$A$1:$I$89,3,0)*VLOOKUP('Données projet'!$B$10,Paramètres!$A$1:$I$89,5,0)</f>
        <v>93.288000000000011</v>
      </c>
      <c r="AK24" s="14">
        <f t="shared" si="35"/>
        <v>25.356547829040977</v>
      </c>
      <c r="AL24" s="22">
        <f t="shared" si="4"/>
        <v>206.63925413557971</v>
      </c>
      <c r="AM24" s="62">
        <f t="shared" si="5"/>
        <v>425.49678251145406</v>
      </c>
      <c r="AN24" s="62">
        <f ca="1">AVERAGE(OFFSET($AM$3,0,0,'Données projet'!$E$10+1,1))-AVERAGE(OFFSET($H$3,0,0,'Données projet'!$E$10+1,1))</f>
        <v>212.90262675152454</v>
      </c>
      <c r="AO24" s="62">
        <f t="shared" si="36"/>
        <v>366.51899340890498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4.1173860257724479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10.11380652669235</v>
      </c>
      <c r="AX24" s="23">
        <f t="shared" si="6"/>
        <v>14.231192552464798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13.8</v>
      </c>
      <c r="BD24" s="13">
        <f>IF('Données projet'!$A$88&gt;35,BD23+BC24-BL23,IF(A24&lt;'Données projet'!$A$88,$BA$205^A24,IF(A24='Données projet'!$A$88,'Données projet'!$B$88,BD23+BC24-BL23)))</f>
        <v>107.80000000000001</v>
      </c>
      <c r="BE24" s="14">
        <f>BD24*VLOOKUP('Données projet'!$B$11,Paramètres!$A$1:$I$89,3,0)*VLOOKUP('Données projet'!$B$11,Paramètres!$A$1:$I$89,5,0)</f>
        <v>94.174080000000018</v>
      </c>
      <c r="BF24" s="14">
        <f t="shared" si="37"/>
        <v>25.569241067746205</v>
      </c>
      <c r="BG24" s="22">
        <f t="shared" si="7"/>
        <v>208.55295085965801</v>
      </c>
      <c r="BH24" s="62">
        <f t="shared" si="8"/>
        <v>427.41047923553242</v>
      </c>
      <c r="BI24" s="62">
        <f ca="1">AVERAGE(OFFSET($BH$3,0,0,'Données projet'!$E$11+1,1))-AVERAGE(OFFSET($H$3,0,0,'Données projet'!$E$11+1,1))</f>
        <v>342.02279578180605</v>
      </c>
      <c r="BJ24" s="62">
        <f t="shared" si="38"/>
        <v>409.02379334777754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14.8</v>
      </c>
      <c r="BY24" s="13">
        <f>IF('Données projet'!$A$114&gt;35,BY23+BX24-CG23,IF(A24&lt;'Données projet'!$A$114,$BV$205^A24,IF(A24='Données projet'!$A$114,'Données projet'!$B$114,BY23+BX24-CG23)))</f>
        <v>80.799999999999983</v>
      </c>
      <c r="BZ24" s="14">
        <f>BY24*VLOOKUP('Données projet'!$B$12,Paramètres!$A$1:$I$89,3,0)*VLOOKUP('Données projet'!$B$12,Paramètres!$A$1:$I$89,5,0)</f>
        <v>64.284479999999988</v>
      </c>
      <c r="CA24" s="14">
        <f t="shared" si="39"/>
        <v>18.247133352994688</v>
      </c>
      <c r="CB24" s="22">
        <f t="shared" si="10"/>
        <v>143.74255992313238</v>
      </c>
      <c r="CC24" s="62">
        <f t="shared" si="11"/>
        <v>362.60008829900676</v>
      </c>
      <c r="CD24" s="62">
        <f ca="1">AVERAGE(OFFSET($CC$3,0,0,'Données projet'!$E$12+1,1))-AVERAGE(OFFSET($H$3,0,0,'Données projet'!$E$12+1,1))</f>
        <v>376.47942810265266</v>
      </c>
      <c r="CE24" s="62">
        <f t="shared" si="40"/>
        <v>362.87951024071265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3.1990051366976644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3.1990051366976644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14.8</v>
      </c>
      <c r="CT24" s="13">
        <f>IF('Données projet'!$A$140&gt;35,CT23+CS24-DB23,IF(A24&lt;'Données projet'!$A$140,$CQ$205^A24,IF(A24='Données projet'!$A$140,'Données projet'!$B$140,CT23+CS24-DB23)))</f>
        <v>80.799999999999983</v>
      </c>
      <c r="CU24" s="18">
        <f>CT24*VLOOKUP('Données projet'!$B$13,Paramètres!$A$1:$I$89,3,0)*VLOOKUP('Données projet'!$B$13,Paramètres!$A$1:$I$89,5,0)</f>
        <v>59.24255999999999</v>
      </c>
      <c r="CV24" s="14">
        <f t="shared" si="41"/>
        <v>16.976623048740109</v>
      </c>
      <c r="CW24" s="22">
        <f t="shared" si="13"/>
        <v>132.74841047655565</v>
      </c>
      <c r="CX24" s="62">
        <f t="shared" si="14"/>
        <v>351.60593885243003</v>
      </c>
      <c r="CY24" s="62">
        <f ca="1">AVERAGE(OFFSET($CX$3,0,0,'Données projet'!$E$13+1,1))-AVERAGE(OFFSET($H$3,0,0,'Données projet'!$E$13+1,1))</f>
        <v>351.7223836693733</v>
      </c>
      <c r="CZ24" s="62">
        <f t="shared" si="42"/>
        <v>339.34942976598518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2.3918569668020639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2.3918569668020639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183.33333333333334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21.612857142857145</v>
      </c>
      <c r="N25" s="14">
        <f>IF('Données projet'!$A$36&gt;35,N24+M25-V24,IF(A25&lt;'Données projet'!$A$36,$K$205^A25,IF(A25='Données projet'!$A$36,'Données projet'!$B$36,N24+M25-V24)))</f>
        <v>152.18285714285719</v>
      </c>
      <c r="O25" s="14">
        <f>N25*VLOOKUP('Données projet'!$B$9,Paramètres!$A$1:$I$89,3,0)*VLOOKUP('Données projet'!$B$9,Paramètres!$A$1:$I$89,5,0)</f>
        <v>85.070217142857175</v>
      </c>
      <c r="P25" s="14">
        <f t="shared" si="33"/>
        <v>23.372410230575955</v>
      </c>
      <c r="Q25" s="22">
        <f t="shared" si="2"/>
        <v>188.87090934206267</v>
      </c>
      <c r="R25" s="62">
        <f t="shared" si="0"/>
        <v>410.05182324553107</v>
      </c>
      <c r="S25" s="62">
        <f ca="1">AVERAGE(OFFSET($R$3,0,0,'Données projet'!$E$9+1,1))-AVERAGE(OFFSET($H$3,0,0,'Données projet'!$E$9+1,1))</f>
        <v>409.45931633551902</v>
      </c>
      <c r="T25" s="62">
        <f t="shared" si="34"/>
        <v>375.18886653687389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12.758991287205186</v>
      </c>
      <c r="AB25" s="23">
        <f>EXP(-LN(2)/2)*AB24+(1-EXP(-LN(2)/2))/(LN(2)/2)*V25*Y25*VLOOKUP('Données projet'!$B$9,Paramètres!$A$1:$I$89,3,0)*0.475*44/12</f>
        <v>14.451082962046868</v>
      </c>
      <c r="AC25" s="24">
        <f t="shared" si="3"/>
        <v>27.210074249252052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16.5</v>
      </c>
      <c r="AI25" s="14">
        <f>IF('Données projet'!$A$62&gt;35,AI24+AH25-AQ24,IF(A25&lt;'Données projet'!$A$62,$AF$205^A25,IF(A25='Données projet'!$A$62,'Données projet'!$B$62,AI24+AH25-AQ24)))</f>
        <v>172.5</v>
      </c>
      <c r="AJ25" s="14">
        <f>AI25*VLOOKUP('Données projet'!$B$10,Paramètres!$A$1:$I$89,3,0)*VLOOKUP('Données projet'!$B$10,Paramètres!$A$1:$I$89,5,0)</f>
        <v>103.15500000000002</v>
      </c>
      <c r="AK25" s="14">
        <f t="shared" si="35"/>
        <v>27.71226857071613</v>
      </c>
      <c r="AL25" s="22">
        <f t="shared" si="4"/>
        <v>227.92715942733059</v>
      </c>
      <c r="AM25" s="62">
        <f t="shared" si="5"/>
        <v>449.10807333079902</v>
      </c>
      <c r="AN25" s="62">
        <f ca="1">AVERAGE(OFFSET($AM$3,0,0,'Données projet'!$E$10+1,1))-AVERAGE(OFFSET($H$3,0,0,'Données projet'!$E$10+1,1))</f>
        <v>212.90262675152454</v>
      </c>
      <c r="AO25" s="62">
        <f t="shared" si="36"/>
        <v>366.51899340890498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4.03664659716455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7.1515411786329244</v>
      </c>
      <c r="AX25" s="23">
        <f t="shared" si="6"/>
        <v>11.188187775797473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13.8</v>
      </c>
      <c r="BD25" s="13">
        <f>IF('Données projet'!$A$88&gt;35,BD24+BC25-BL24,IF(A25&lt;'Données projet'!$A$88,$BA$205^A25,IF(A25='Données projet'!$A$88,'Données projet'!$B$88,BD24+BC25-BL24)))</f>
        <v>121.60000000000001</v>
      </c>
      <c r="BE25" s="14">
        <f>BD25*VLOOKUP('Données projet'!$B$11,Paramètres!$A$1:$I$89,3,0)*VLOOKUP('Données projet'!$B$11,Paramètres!$A$1:$I$89,5,0)</f>
        <v>106.22976000000003</v>
      </c>
      <c r="BF25" s="14">
        <f t="shared" si="37"/>
        <v>28.440891625171492</v>
      </c>
      <c r="BG25" s="22">
        <f t="shared" si="7"/>
        <v>234.55138491384039</v>
      </c>
      <c r="BH25" s="62">
        <f t="shared" si="8"/>
        <v>455.73229881730879</v>
      </c>
      <c r="BI25" s="62">
        <f ca="1">AVERAGE(OFFSET($BH$3,0,0,'Données projet'!$E$11+1,1))-AVERAGE(OFFSET($H$3,0,0,'Données projet'!$E$11+1,1))</f>
        <v>342.02279578180605</v>
      </c>
      <c r="BJ25" s="62">
        <f t="shared" si="38"/>
        <v>409.02379334777754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14.8</v>
      </c>
      <c r="BY25" s="13">
        <f>IF('Données projet'!$A$114&gt;35,BY24+BX25-CG24,IF(A25&lt;'Données projet'!$A$114,$BV$205^A25,IF(A25='Données projet'!$A$114,'Données projet'!$B$114,BY24+BX25-CG24)))</f>
        <v>95.59999999999998</v>
      </c>
      <c r="BZ25" s="14">
        <f>BY25*VLOOKUP('Données projet'!$B$12,Paramètres!$A$1:$I$89,3,0)*VLOOKUP('Données projet'!$B$12,Paramètres!$A$1:$I$89,5,0)</f>
        <v>76.059359999999998</v>
      </c>
      <c r="CA25" s="14">
        <f t="shared" si="39"/>
        <v>21.170862971540299</v>
      </c>
      <c r="CB25" s="22">
        <f t="shared" si="10"/>
        <v>169.34263834209935</v>
      </c>
      <c r="CC25" s="62">
        <f t="shared" si="11"/>
        <v>390.52355224556777</v>
      </c>
      <c r="CD25" s="62">
        <f ca="1">AVERAGE(OFFSET($CC$3,0,0,'Données projet'!$E$12+1,1))-AVERAGE(OFFSET($H$3,0,0,'Données projet'!$E$12+1,1))</f>
        <v>376.47942810265266</v>
      </c>
      <c r="CE25" s="62">
        <f t="shared" si="40"/>
        <v>362.87951024071265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3.1362745971674917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3.1362745971674917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14.8</v>
      </c>
      <c r="CT25" s="13">
        <f>IF('Données projet'!$A$140&gt;35,CT24+CS25-DB24,IF(A25&lt;'Données projet'!$A$140,$CQ$205^A25,IF(A25='Données projet'!$A$140,'Données projet'!$B$140,CT24+CS25-DB24)))</f>
        <v>95.59999999999998</v>
      </c>
      <c r="CU25" s="18">
        <f>CT25*VLOOKUP('Données projet'!$B$13,Paramètres!$A$1:$I$89,3,0)*VLOOKUP('Données projet'!$B$13,Paramètres!$A$1:$I$89,5,0)</f>
        <v>70.093919999999983</v>
      </c>
      <c r="CV25" s="14">
        <f t="shared" si="41"/>
        <v>19.696779397153016</v>
      </c>
      <c r="CW25" s="22">
        <f t="shared" si="13"/>
        <v>156.3854681167081</v>
      </c>
      <c r="CX25" s="62">
        <f t="shared" si="14"/>
        <v>377.56638202017649</v>
      </c>
      <c r="CY25" s="62">
        <f ca="1">AVERAGE(OFFSET($CX$3,0,0,'Données projet'!$E$13+1,1))-AVERAGE(OFFSET($H$3,0,0,'Données projet'!$E$13+1,1))</f>
        <v>351.7223836693733</v>
      </c>
      <c r="CZ25" s="62">
        <f t="shared" si="42"/>
        <v>339.34942976598518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2.3449541105717717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2.3449541105717717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183.33333333333334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21.612857142857145</v>
      </c>
      <c r="N26" s="14">
        <f>IF('Données projet'!$A$36&gt;35,N25+M26-V25,IF(A26&lt;'Données projet'!$A$36,$K$205^A26,IF(A26='Données projet'!$A$36,'Données projet'!$B$36,N25+M26-V25)))</f>
        <v>173.79571428571433</v>
      </c>
      <c r="O26" s="14">
        <f>N26*VLOOKUP('Données projet'!$B$9,Paramètres!$A$1:$I$89,3,0)*VLOOKUP('Données projet'!$B$9,Paramètres!$A$1:$I$89,5,0)</f>
        <v>97.15180428571432</v>
      </c>
      <c r="P26" s="14">
        <f t="shared" si="33"/>
        <v>26.282317303127122</v>
      </c>
      <c r="Q26" s="22">
        <f t="shared" si="2"/>
        <v>214.98109510056551</v>
      </c>
      <c r="R26" s="62">
        <f t="shared" si="0"/>
        <v>438.46629181011201</v>
      </c>
      <c r="S26" s="62">
        <f ca="1">AVERAGE(OFFSET($R$3,0,0,'Données projet'!$E$9+1,1))-AVERAGE(OFFSET($H$3,0,0,'Données projet'!$E$9+1,1))</f>
        <v>409.45931633551902</v>
      </c>
      <c r="T26" s="62">
        <f t="shared" si="34"/>
        <v>375.18886653687389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12.41009599949037</v>
      </c>
      <c r="AB26" s="23">
        <f>EXP(-LN(2)/2)*AB25+(1-EXP(-LN(2)/2))/(LN(2)/2)*V26*Y26*VLOOKUP('Données projet'!$B$9,Paramètres!$A$1:$I$89,3,0)*0.475*44/12</f>
        <v>10.218458757952721</v>
      </c>
      <c r="AC26" s="24">
        <f t="shared" si="3"/>
        <v>22.628554757443091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16.5</v>
      </c>
      <c r="AI26" s="14">
        <f>IF('Données projet'!$A$62&gt;35,AI25+AH26-AQ25,IF(A26&lt;'Données projet'!$A$62,$AF$205^A26,IF(A26='Données projet'!$A$62,'Données projet'!$B$62,AI25+AH26-AQ25)))</f>
        <v>189</v>
      </c>
      <c r="AJ26" s="14">
        <f>AI26*VLOOKUP('Données projet'!$B$10,Paramètres!$A$1:$I$89,3,0)*VLOOKUP('Données projet'!$B$10,Paramètres!$A$1:$I$89,5,0)</f>
        <v>113.02200000000001</v>
      </c>
      <c r="AK26" s="14">
        <f t="shared" si="35"/>
        <v>30.041864379091852</v>
      </c>
      <c r="AL26" s="22">
        <f t="shared" si="4"/>
        <v>249.16956379358496</v>
      </c>
      <c r="AM26" s="62">
        <f t="shared" si="5"/>
        <v>472.65476050313146</v>
      </c>
      <c r="AN26" s="62">
        <f ca="1">AVERAGE(OFFSET($AM$3,0,0,'Données projet'!$E$10+1,1))-AVERAGE(OFFSET($H$3,0,0,'Données projet'!$E$10+1,1))</f>
        <v>212.90262675152454</v>
      </c>
      <c r="AO26" s="62">
        <f t="shared" si="36"/>
        <v>366.51899340890498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3.9574904195054641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5.0569032633461761</v>
      </c>
      <c r="AX26" s="23">
        <f t="shared" si="6"/>
        <v>9.0143936828516402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13.8</v>
      </c>
      <c r="BD26" s="13">
        <f>IF('Données projet'!$A$88&gt;35,BD25+BC26-BL25,IF(A26&lt;'Données projet'!$A$88,$BA$205^A26,IF(A26='Données projet'!$A$88,'Données projet'!$B$88,BD25+BC26-BL25)))</f>
        <v>135.4</v>
      </c>
      <c r="BE26" s="14">
        <f>BD26*VLOOKUP('Données projet'!$B$11,Paramètres!$A$1:$I$89,3,0)*VLOOKUP('Données projet'!$B$11,Paramètres!$A$1:$I$89,5,0)</f>
        <v>118.28544000000002</v>
      </c>
      <c r="BF26" s="14">
        <f t="shared" si="37"/>
        <v>31.274772013169596</v>
      </c>
      <c r="BG26" s="22">
        <f t="shared" si="7"/>
        <v>260.48403592293715</v>
      </c>
      <c r="BH26" s="62">
        <f t="shared" si="8"/>
        <v>483.96923263248368</v>
      </c>
      <c r="BI26" s="62">
        <f ca="1">AVERAGE(OFFSET($BH$3,0,0,'Données projet'!$E$11+1,1))-AVERAGE(OFFSET($H$3,0,0,'Données projet'!$E$11+1,1))</f>
        <v>342.02279578180605</v>
      </c>
      <c r="BJ26" s="62">
        <f t="shared" si="38"/>
        <v>409.02379334777754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14.8</v>
      </c>
      <c r="BY26" s="13">
        <f>IF('Données projet'!$A$114&gt;35,BY25+BX26-CG25,IF(A26&lt;'Données projet'!$A$114,$BV$205^A26,IF(A26='Données projet'!$A$114,'Données projet'!$B$114,BY25+BX26-CG25)))</f>
        <v>110.39999999999998</v>
      </c>
      <c r="BZ26" s="14">
        <f>BY26*VLOOKUP('Données projet'!$B$12,Paramètres!$A$1:$I$89,3,0)*VLOOKUP('Données projet'!$B$12,Paramètres!$A$1:$I$89,5,0)</f>
        <v>87.83423999999998</v>
      </c>
      <c r="CA26" s="14">
        <f t="shared" si="39"/>
        <v>24.042157662768496</v>
      </c>
      <c r="CB26" s="22">
        <f t="shared" si="10"/>
        <v>194.85139259598841</v>
      </c>
      <c r="CC26" s="62">
        <f t="shared" si="11"/>
        <v>418.33658930553491</v>
      </c>
      <c r="CD26" s="62">
        <f ca="1">AVERAGE(OFFSET($CC$3,0,0,'Données projet'!$E$12+1,1))-AVERAGE(OFFSET($H$3,0,0,'Données projet'!$E$12+1,1))</f>
        <v>376.47942810265266</v>
      </c>
      <c r="CE26" s="62">
        <f t="shared" si="40"/>
        <v>362.87951024071265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3.0747741652556546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3.0747741652556546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14.8</v>
      </c>
      <c r="CT26" s="13">
        <f>IF('Données projet'!$A$140&gt;35,CT25+CS26-DB25,IF(A26&lt;'Données projet'!$A$140,$CQ$205^A26,IF(A26='Données projet'!$A$140,'Données projet'!$B$140,CT25+CS26-DB25)))</f>
        <v>110.39999999999998</v>
      </c>
      <c r="CU26" s="18">
        <f>CT26*VLOOKUP('Données projet'!$B$13,Paramètres!$A$1:$I$89,3,0)*VLOOKUP('Données projet'!$B$13,Paramètres!$A$1:$I$89,5,0)</f>
        <v>80.945279999999983</v>
      </c>
      <c r="CV26" s="14">
        <f t="shared" si="41"/>
        <v>22.368151754215862</v>
      </c>
      <c r="CW26" s="22">
        <f t="shared" si="13"/>
        <v>179.93756030525927</v>
      </c>
      <c r="CX26" s="62">
        <f t="shared" si="14"/>
        <v>403.42275701480577</v>
      </c>
      <c r="CY26" s="62">
        <f ca="1">AVERAGE(OFFSET($CX$3,0,0,'Données projet'!$E$13+1,1))-AVERAGE(OFFSET($H$3,0,0,'Données projet'!$E$13+1,1))</f>
        <v>351.7223836693733</v>
      </c>
      <c r="CZ26" s="62">
        <f t="shared" si="42"/>
        <v>339.34942976598518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2.2989709907442384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2.2989709907442384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183.33333333333334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21.612857142857145</v>
      </c>
      <c r="N27" s="14">
        <f>IF('Données projet'!$A$36&gt;35,N26+M27-V26,IF(A27&lt;'Données projet'!$A$36,$K$205^A27,IF(A27='Données projet'!$A$36,'Données projet'!$B$36,N26+M27-V26)))</f>
        <v>195.40857142857146</v>
      </c>
      <c r="O27" s="14">
        <f>N27*VLOOKUP('Données projet'!$B$9,Paramètres!$A$1:$I$89,3,0)*VLOOKUP('Données projet'!$B$9,Paramètres!$A$1:$I$89,5,0)</f>
        <v>109.23339142857145</v>
      </c>
      <c r="P27" s="14">
        <f t="shared" si="33"/>
        <v>29.150292163037918</v>
      </c>
      <c r="Q27" s="22">
        <f t="shared" si="2"/>
        <v>241.018248922053</v>
      </c>
      <c r="R27" s="62">
        <f t="shared" si="0"/>
        <v>466.78895710567281</v>
      </c>
      <c r="S27" s="62">
        <f ca="1">AVERAGE(OFFSET($R$3,0,0,'Données projet'!$E$9+1,1))-AVERAGE(OFFSET($H$3,0,0,'Données projet'!$E$9+1,1))</f>
        <v>409.45931633551902</v>
      </c>
      <c r="T27" s="62">
        <f t="shared" si="34"/>
        <v>375.18886653687389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12.070741271765721</v>
      </c>
      <c r="AB27" s="23">
        <f>EXP(-LN(2)/2)*AB26+(1-EXP(-LN(2)/2))/(LN(2)/2)*V27*Y27*VLOOKUP('Données projet'!$B$9,Paramètres!$A$1:$I$89,3,0)*0.475*44/12</f>
        <v>7.2255414810234351</v>
      </c>
      <c r="AC27" s="24">
        <f t="shared" si="3"/>
        <v>19.296282752789157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16.5</v>
      </c>
      <c r="AI27" s="14">
        <f>IF('Données projet'!$A$62&gt;35,AI26+AH27-AQ26,IF(A27&lt;'Données projet'!$A$62,$AF$205^A27,IF(A27='Données projet'!$A$62,'Données projet'!$B$62,AI26+AH27-AQ26)))</f>
        <v>205.5</v>
      </c>
      <c r="AJ27" s="14">
        <f>AI27*VLOOKUP('Données projet'!$B$10,Paramètres!$A$1:$I$89,3,0)*VLOOKUP('Données projet'!$B$10,Paramètres!$A$1:$I$89,5,0)</f>
        <v>122.88900000000001</v>
      </c>
      <c r="AK27" s="14">
        <f t="shared" si="35"/>
        <v>32.347875332170432</v>
      </c>
      <c r="AL27" s="22">
        <f t="shared" si="4"/>
        <v>270.37089120353011</v>
      </c>
      <c r="AM27" s="62">
        <f t="shared" si="5"/>
        <v>496.14159938714988</v>
      </c>
      <c r="AN27" s="62">
        <f ca="1">AVERAGE(OFFSET($AM$3,0,0,'Données projet'!$E$10+1,1))-AVERAGE(OFFSET($H$3,0,0,'Données projet'!$E$10+1,1))</f>
        <v>212.90262675152454</v>
      </c>
      <c r="AO27" s="62">
        <f t="shared" si="36"/>
        <v>366.51899340890498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3.8798864462097717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3.5757705893164631</v>
      </c>
      <c r="AX27" s="23">
        <f t="shared" si="6"/>
        <v>7.4556570355262348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13.8</v>
      </c>
      <c r="BD27" s="13">
        <f>IF('Données projet'!$A$88&gt;35,BD26+BC27-BL26,IF(A27&lt;'Données projet'!$A$88,$BA$205^A27,IF(A27='Données projet'!$A$88,'Données projet'!$B$88,BD26+BC27-BL26)))</f>
        <v>149.20000000000002</v>
      </c>
      <c r="BE27" s="14">
        <f>BD27*VLOOKUP('Données projet'!$B$11,Paramètres!$A$1:$I$89,3,0)*VLOOKUP('Données projet'!$B$11,Paramètres!$A$1:$I$89,5,0)</f>
        <v>130.34112000000005</v>
      </c>
      <c r="BF27" s="14">
        <f t="shared" si="37"/>
        <v>34.075170122989917</v>
      </c>
      <c r="BG27" s="22">
        <f t="shared" si="7"/>
        <v>286.35837196420749</v>
      </c>
      <c r="BH27" s="62">
        <f t="shared" si="8"/>
        <v>512.12908014782727</v>
      </c>
      <c r="BI27" s="62">
        <f ca="1">AVERAGE(OFFSET($BH$3,0,0,'Données projet'!$E$11+1,1))-AVERAGE(OFFSET($H$3,0,0,'Données projet'!$E$11+1,1))</f>
        <v>342.02279578180605</v>
      </c>
      <c r="BJ27" s="62">
        <f t="shared" si="38"/>
        <v>409.02379334777754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14.8</v>
      </c>
      <c r="BY27" s="13">
        <f>IF('Données projet'!$A$114&gt;35,BY26+BX27-CG26,IF(A27&lt;'Données projet'!$A$114,$BV$205^A27,IF(A27='Données projet'!$A$114,'Données projet'!$B$114,BY26+BX27-CG26)))</f>
        <v>125.19999999999997</v>
      </c>
      <c r="BZ27" s="14">
        <f>BY27*VLOOKUP('Données projet'!$B$12,Paramètres!$A$1:$I$89,3,0)*VLOOKUP('Données projet'!$B$12,Paramètres!$A$1:$I$89,5,0)</f>
        <v>99.60911999999999</v>
      </c>
      <c r="CA27" s="14">
        <f t="shared" si="39"/>
        <v>26.868854563103099</v>
      </c>
      <c r="CB27" s="22">
        <f t="shared" si="10"/>
        <v>220.2824723640712</v>
      </c>
      <c r="CC27" s="62">
        <f t="shared" si="11"/>
        <v>446.053180547691</v>
      </c>
      <c r="CD27" s="62">
        <f ca="1">AVERAGE(OFFSET($CC$3,0,0,'Données projet'!$E$12+1,1))-AVERAGE(OFFSET($H$3,0,0,'Données projet'!$E$12+1,1))</f>
        <v>376.47942810265266</v>
      </c>
      <c r="CE27" s="62">
        <f t="shared" si="40"/>
        <v>362.87951024071265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3.0144797193020492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3.0144797193020492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14.8</v>
      </c>
      <c r="CT27" s="13">
        <f>IF('Données projet'!$A$140&gt;35,CT26+CS27-DB26,IF(A27&lt;'Données projet'!$A$140,$CQ$205^A27,IF(A27='Données projet'!$A$140,'Données projet'!$B$140,CT26+CS27-DB26)))</f>
        <v>125.19999999999997</v>
      </c>
      <c r="CU27" s="18">
        <f>CT27*VLOOKUP('Données projet'!$B$13,Paramètres!$A$1:$I$89,3,0)*VLOOKUP('Données projet'!$B$13,Paramètres!$A$1:$I$89,5,0)</f>
        <v>91.796639999999982</v>
      </c>
      <c r="CV27" s="14">
        <f t="shared" si="41"/>
        <v>24.99803157268865</v>
      </c>
      <c r="CW27" s="22">
        <f t="shared" si="13"/>
        <v>203.41738632243269</v>
      </c>
      <c r="CX27" s="62">
        <f t="shared" si="14"/>
        <v>429.18809450605249</v>
      </c>
      <c r="CY27" s="62">
        <f ca="1">AVERAGE(OFFSET($CX$3,0,0,'Données projet'!$E$13+1,1))-AVERAGE(OFFSET($H$3,0,0,'Données projet'!$E$13+1,1))</f>
        <v>351.7223836693733</v>
      </c>
      <c r="CZ27" s="62">
        <f t="shared" si="42"/>
        <v>339.34942976598518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2.253889571849589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2.253889571849589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183.33333333333334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21.612857142857145</v>
      </c>
      <c r="N28" s="14">
        <f>IF('Données projet'!$A$36&gt;35,N27+M28-V27,IF(A28&lt;'Données projet'!$A$36,$K$205^A28,IF(A28='Données projet'!$A$36,'Données projet'!$B$36,N27+M28-V27)))</f>
        <v>217.0214285714286</v>
      </c>
      <c r="O28" s="14">
        <f>N28*VLOOKUP('Données projet'!$B$9,Paramètres!$A$1:$I$89,3,0)*VLOOKUP('Données projet'!$B$9,Paramètres!$A$1:$I$89,5,0)</f>
        <v>121.31497857142858</v>
      </c>
      <c r="P28" s="14">
        <f t="shared" si="33"/>
        <v>31.981501643962339</v>
      </c>
      <c r="Q28" s="22">
        <f t="shared" si="2"/>
        <v>266.99136970847246</v>
      </c>
      <c r="R28" s="62">
        <f t="shared" si="0"/>
        <v>495.02914367480457</v>
      </c>
      <c r="S28" s="62">
        <f ca="1">AVERAGE(OFFSET($R$3,0,0,'Données projet'!$E$9+1,1))-AVERAGE(OFFSET($H$3,0,0,'Données projet'!$E$9+1,1))</f>
        <v>409.45931633551902</v>
      </c>
      <c r="T28" s="62">
        <f t="shared" si="34"/>
        <v>375.18886653687389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11.740666216916592</v>
      </c>
      <c r="AB28" s="23">
        <f>EXP(-LN(2)/2)*AB27+(1-EXP(-LN(2)/2))/(LN(2)/2)*V28*Y28*VLOOKUP('Données projet'!$B$9,Paramètres!$A$1:$I$89,3,0)*0.475*44/12</f>
        <v>5.1092293789763614</v>
      </c>
      <c r="AC28" s="24">
        <f t="shared" si="3"/>
        <v>16.849895595892953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222</v>
      </c>
      <c r="AG28" s="13">
        <f>VLOOKUP(A28,'Données projet'!$A$61:$I$81,9,0)</f>
        <v>16.5</v>
      </c>
      <c r="AH28" s="13">
        <f t="array" ref="AH28">INDEX(AG:AG,MIN(IF(ISNUMBER(AG28:AG224),ROW(AG28:AG224),"")))</f>
        <v>16.5</v>
      </c>
      <c r="AI28" s="14">
        <f>IF('Données projet'!$A$62&gt;35,AI27+AH28-AQ27,IF(A28&lt;'Données projet'!$A$62,$AF$205^A28,IF(A28='Données projet'!$A$62,'Données projet'!$B$62,AI27+AH28-AQ27)))</f>
        <v>222</v>
      </c>
      <c r="AJ28" s="14">
        <f>AI28*VLOOKUP('Données projet'!$B$10,Paramètres!$A$1:$I$89,3,0)*VLOOKUP('Données projet'!$B$10,Paramètres!$A$1:$I$89,5,0)</f>
        <v>132.756</v>
      </c>
      <c r="AK28" s="14">
        <f t="shared" si="35"/>
        <v>34.632410397339967</v>
      </c>
      <c r="AL28" s="22">
        <f t="shared" si="4"/>
        <v>291.53481477536712</v>
      </c>
      <c r="AM28" s="62">
        <f t="shared" si="5"/>
        <v>519.57258874169929</v>
      </c>
      <c r="AN28" s="62">
        <f ca="1">AVERAGE(OFFSET($AM$3,0,0,'Données projet'!$E$10+1,1))-AVERAGE(OFFSET($H$3,0,0,'Données projet'!$E$10+1,1))</f>
        <v>212.90262675152454</v>
      </c>
      <c r="AO28" s="62">
        <f t="shared" si="36"/>
        <v>366.51899340890498</v>
      </c>
      <c r="AP28" s="16">
        <f>IF(ISNA(VLOOKUP(A28,'Données projet'!$A$61:$I$81,3,0)),0,VLOOKUP(A28,'Données projet'!$A$61:$I$81,3,0))</f>
        <v>3</v>
      </c>
      <c r="AQ28" s="16">
        <f>IF(ISNA(VLOOKUP(A28,'Données projet'!$A$61:$I$81,4,0)),0,VLOOKUP(A28,'Données projet'!$A$61:$I$81,4,0))</f>
        <v>54</v>
      </c>
      <c r="AR28" s="17">
        <f>IF(ISNA(VLOOKUP(A28,'Données projet'!$A$61:$I$81,5,0)),0%,VLOOKUP(A28,'Données projet'!$A$61:$I$81,5,0)*VLOOKUP('Données projet'!$B$10,Paramètres!$A$1:$I$89,7,0))</f>
        <v>0.18000000000000002</v>
      </c>
      <c r="AS28" s="17">
        <f>IF(ISNA(VLOOKUP(A28,'Données projet'!$A$61:$I$81,6,0)),0%,VLOOKUP(A28,'Données projet'!$A$61:$I$81,6,0)*VLOOKUP('Données projet'!$B$10,Paramètres!$A$1:$I$89,7,0))</f>
        <v>9.0000000000000011E-2</v>
      </c>
      <c r="AT28" s="17">
        <f>IF(ISNA(VLOOKUP(A28,'Données projet'!$A$61:$I$81,7,0)),0%,VLOOKUP(A28,'Données projet'!$A$61:$I$81,7,0))</f>
        <v>0.4</v>
      </c>
      <c r="AU28" s="23">
        <f>EXP(-LN(2)/35)*AU27+(1-EXP(-LN(2)/35))/(LN(2)/35)*AQ28*AR28*VLOOKUP('Données projet'!$B$10,Paramètres!$A$1:$I$89,3,0)*0.475*44/12</f>
        <v>11.514539730606312</v>
      </c>
      <c r="AV28" s="23">
        <f>EXP(-LN(2)/25)*AV27+(1-EXP(-LN(2)/25))/(LN(2)/25)*Calculateur!AQ28*Calculateur!AS28*VLOOKUP('Données projet'!$B$10,Paramètres!$A$1:$I$89,3,0)*0.475*44/12</f>
        <v>3.8401876937302988</v>
      </c>
      <c r="AW28" s="23">
        <f>EXP(-LN(2)/2)*AW27+(1-EXP(-LN(2)/2))/(LN(2)/2)*AQ28*AT28*VLOOKUP('Données projet'!$B$10,Paramètres!$A$1:$I$89,3,0)*0.475*44/12</f>
        <v>17.153269772362943</v>
      </c>
      <c r="AX28" s="23">
        <f t="shared" si="6"/>
        <v>32.507997196699556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163</v>
      </c>
      <c r="BB28" s="13">
        <f>VLOOKUP(A28,'Données projet'!$A$87:$I$107,9,0)</f>
        <v>13.8</v>
      </c>
      <c r="BC28" s="13">
        <f t="array" ref="BC28">INDEX(BB:BB,MIN(IF(ISNUMBER(BB28:BB224),ROW(BB28:BB224),"")))</f>
        <v>13.8</v>
      </c>
      <c r="BD28" s="13">
        <f>IF('Données projet'!$A$88&gt;35,BD27+BC28-BL27,IF(A28&lt;'Données projet'!$A$88,$BA$205^A28,IF(A28='Données projet'!$A$88,'Données projet'!$B$88,BD27+BC28-BL27)))</f>
        <v>163.00000000000003</v>
      </c>
      <c r="BE28" s="14">
        <f>BD28*VLOOKUP('Données projet'!$B$11,Paramètres!$A$1:$I$89,3,0)*VLOOKUP('Données projet'!$B$11,Paramètres!$A$1:$I$89,5,0)</f>
        <v>142.39680000000004</v>
      </c>
      <c r="BF28" s="14">
        <f t="shared" si="37"/>
        <v>36.845535084476985</v>
      </c>
      <c r="BG28" s="22">
        <f t="shared" si="7"/>
        <v>312.18040027213078</v>
      </c>
      <c r="BH28" s="62">
        <f t="shared" si="8"/>
        <v>540.21817423846289</v>
      </c>
      <c r="BI28" s="62">
        <f ca="1">AVERAGE(OFFSET($BH$3,0,0,'Données projet'!$E$11+1,1))-AVERAGE(OFFSET($H$3,0,0,'Données projet'!$E$11+1,1))</f>
        <v>342.02279578180605</v>
      </c>
      <c r="BJ28" s="62">
        <f t="shared" si="38"/>
        <v>409.02379334777754</v>
      </c>
      <c r="BK28" s="16">
        <f>IF(ISNA(VLOOKUP(A28,'Données projet'!$A$87:$I$107,3,0)),0,VLOOKUP(A28,'Données projet'!$A$87:$I$107,3,0))</f>
        <v>3</v>
      </c>
      <c r="BL28" s="16">
        <f>IF(ISNA(VLOOKUP(A28,'Données projet'!$A$87:$I$107,4,0)),0,VLOOKUP(A28,'Données projet'!$A$87:$I$107,4,0))</f>
        <v>44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140</v>
      </c>
      <c r="BW28" s="13">
        <f>VLOOKUP(A28,'Données projet'!$A$113:$I$133,9,0)</f>
        <v>14.8</v>
      </c>
      <c r="BX28" s="13">
        <f t="array" ref="BX28">INDEX(BW:BW,MIN(IF(ISNUMBER(BW28:BW224),ROW(BW28:BW224),"")))</f>
        <v>14.8</v>
      </c>
      <c r="BY28" s="13">
        <f>IF('Données projet'!$A$114&gt;35,BY27+BX28-CG27,IF(A28&lt;'Données projet'!$A$114,$BV$205^A28,IF(A28='Données projet'!$A$114,'Données projet'!$B$114,BY27+BX28-CG27)))</f>
        <v>139.99999999999997</v>
      </c>
      <c r="BZ28" s="14">
        <f>BY28*VLOOKUP('Données projet'!$B$12,Paramètres!$A$1:$I$89,3,0)*VLOOKUP('Données projet'!$B$12,Paramètres!$A$1:$I$89,5,0)</f>
        <v>111.38399999999999</v>
      </c>
      <c r="CA28" s="14">
        <f t="shared" si="39"/>
        <v>29.656828101147433</v>
      </c>
      <c r="CB28" s="22">
        <f t="shared" si="10"/>
        <v>245.64610894283177</v>
      </c>
      <c r="CC28" s="62">
        <f t="shared" si="11"/>
        <v>473.68388290916391</v>
      </c>
      <c r="CD28" s="62">
        <f ca="1">AVERAGE(OFFSET($CC$3,0,0,'Données projet'!$E$12+1,1))-AVERAGE(OFFSET($H$3,0,0,'Données projet'!$E$12+1,1))</f>
        <v>376.47942810265266</v>
      </c>
      <c r="CE28" s="62">
        <f t="shared" si="40"/>
        <v>362.87951024071265</v>
      </c>
      <c r="CF28" s="16">
        <f>IF(ISNA(VLOOKUP(A28,'Données projet'!$A$113:$I$133,3,0)),0,VLOOKUP(A28,'Données projet'!$A$113:$I$133,3,0))</f>
        <v>4</v>
      </c>
      <c r="CG28" s="16">
        <f>IF(ISNA(VLOOKUP(A28,'Données projet'!$A$113:$I$133,4,0)),0,VLOOKUP(A28,'Données projet'!$A$113:$I$133,4,0))</f>
        <v>35</v>
      </c>
      <c r="CH28" s="17">
        <f>IF(ISNA(VLOOKUP(A28,'Données projet'!$A$113:$I$133,5,0)),0%,VLOOKUP(A28,'Données projet'!$A$113:$I$133,5,0)*VLOOKUP('Données projet'!$B$12,Paramètres!$A$1:$I$89,7,0))</f>
        <v>0.21200000000000002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9.481348386614215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9.481348386614215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140</v>
      </c>
      <c r="CR28" s="13">
        <f>VLOOKUP(A28,'Données projet'!$A$139:$I$159,9,0)</f>
        <v>14.8</v>
      </c>
      <c r="CS28" s="13">
        <f t="array" ref="CS28">INDEX(CR:CR,MIN(IF(ISNUMBER(CR28:CR224),ROW(CR28:CR224),"")))</f>
        <v>14.8</v>
      </c>
      <c r="CT28" s="13">
        <f>IF('Données projet'!$A$140&gt;35,CT27+CS28-DB27,IF(A28&lt;'Données projet'!$A$140,$CQ$205^A28,IF(A28='Données projet'!$A$140,'Données projet'!$B$140,CT27+CS28-DB27)))</f>
        <v>139.99999999999997</v>
      </c>
      <c r="CU28" s="18">
        <f>CT28*VLOOKUP('Données projet'!$B$13,Paramètres!$A$1:$I$89,3,0)*VLOOKUP('Données projet'!$B$13,Paramètres!$A$1:$I$89,5,0)</f>
        <v>102.64799999999998</v>
      </c>
      <c r="CV28" s="14">
        <f t="shared" si="41"/>
        <v>27.591884256813046</v>
      </c>
      <c r="CW28" s="22">
        <f t="shared" si="13"/>
        <v>226.83446508061596</v>
      </c>
      <c r="CX28" s="62">
        <f t="shared" si="14"/>
        <v>454.87223904694804</v>
      </c>
      <c r="CY28" s="62">
        <f ca="1">AVERAGE(OFFSET($CX$3,0,0,'Données projet'!$E$13+1,1))-AVERAGE(OFFSET($H$3,0,0,'Données projet'!$E$13+1,1))</f>
        <v>351.7223836693733</v>
      </c>
      <c r="CZ28" s="62">
        <f t="shared" si="42"/>
        <v>339.34942976598518</v>
      </c>
      <c r="DA28" s="16">
        <f>IF(ISNA(VLOOKUP(A28,'Données projet'!$A$139:$I$159,3,0)),0,VLOOKUP(A28,'Données projet'!$A$139:$I$159,3,0))</f>
        <v>4</v>
      </c>
      <c r="DB28" s="16">
        <f>IF(ISNA(VLOOKUP(A28,'Données projet'!$A$139:$I$159,4,0)),0,VLOOKUP(A28,'Données projet'!$A$139:$I$159,4,0))</f>
        <v>35</v>
      </c>
      <c r="DC28" s="17">
        <f>IF(ISNA(VLOOKUP(A28,'Données projet'!$A$139:$I$159,5,0)),0%,VLOOKUP(A28,'Données projet'!$A$139:$I$159,5,0)*VLOOKUP('Données projet'!$B$13,Paramètres!$A$1:$I$89,7,0))</f>
        <v>0.17200000000000001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7.0890880833693402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7.0890880833693402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183.33333333333334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21.612857142857145</v>
      </c>
      <c r="N29" s="14">
        <f>IF('Données projet'!$A$36&gt;35,N28+M29-V28,IF(A29&lt;'Données projet'!$A$36,$K$205^A29,IF(A29='Données projet'!$A$36,'Données projet'!$B$36,N28+M29-V28)))</f>
        <v>238.63428571428574</v>
      </c>
      <c r="O29" s="14">
        <f>N29*VLOOKUP('Données projet'!$B$9,Paramètres!$A$1:$I$89,3,0)*VLOOKUP('Données projet'!$B$9,Paramètres!$A$1:$I$89,5,0)</f>
        <v>133.39656571428571</v>
      </c>
      <c r="P29" s="14">
        <f t="shared" si="33"/>
        <v>34.780023938654864</v>
      </c>
      <c r="Q29" s="22">
        <f t="shared" si="2"/>
        <v>292.90756031220479</v>
      </c>
      <c r="R29" s="62">
        <f t="shared" si="0"/>
        <v>523.19427436139495</v>
      </c>
      <c r="S29" s="62">
        <f ca="1">AVERAGE(OFFSET($R$3,0,0,'Données projet'!$E$9+1,1))-AVERAGE(OFFSET($H$3,0,0,'Données projet'!$E$9+1,1))</f>
        <v>409.45931633551902</v>
      </c>
      <c r="T29" s="62">
        <f t="shared" si="34"/>
        <v>375.18886653687389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11.419617081800205</v>
      </c>
      <c r="AB29" s="23">
        <f>EXP(-LN(2)/2)*AB28+(1-EXP(-LN(2)/2))/(LN(2)/2)*V29*Y29*VLOOKUP('Données projet'!$B$9,Paramètres!$A$1:$I$89,3,0)*0.475*44/12</f>
        <v>3.6127707405117184</v>
      </c>
      <c r="AC29" s="24">
        <f t="shared" si="3"/>
        <v>15.032387822311923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13.8</v>
      </c>
      <c r="AI29" s="14">
        <f>IF('Données projet'!$A$62&gt;35,AI28+AH29-AQ28,IF(A29&lt;'Données projet'!$A$62,$AF$205^A29,IF(A29='Données projet'!$A$62,'Données projet'!$B$62,AI28+AH29-AQ28)))</f>
        <v>181.8</v>
      </c>
      <c r="AJ29" s="14">
        <f>AI29*VLOOKUP('Données projet'!$B$10,Paramètres!$A$1:$I$89,3,0)*VLOOKUP('Données projet'!$B$10,Paramètres!$A$1:$I$89,5,0)</f>
        <v>108.71640000000002</v>
      </c>
      <c r="AK29" s="14">
        <f t="shared" si="35"/>
        <v>29.028352113364011</v>
      </c>
      <c r="AL29" s="22">
        <f t="shared" si="4"/>
        <v>239.90544326410898</v>
      </c>
      <c r="AM29" s="62">
        <f t="shared" si="5"/>
        <v>470.19215731329916</v>
      </c>
      <c r="AN29" s="62">
        <f ca="1">AVERAGE(OFFSET($AM$3,0,0,'Données projet'!$E$10+1,1))-AVERAGE(OFFSET($H$3,0,0,'Données projet'!$E$10+1,1))</f>
        <v>212.90262675152454</v>
      </c>
      <c r="AO29" s="62">
        <f t="shared" si="36"/>
        <v>366.51899340890498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11.288746629664876</v>
      </c>
      <c r="AV29" s="23">
        <f>EXP(-LN(2)/25)*AV28+(1-EXP(-LN(2)/25))/(LN(2)/25)*Calculateur!AQ29*Calculateur!AS29*VLOOKUP('Données projet'!$B$10,Paramètres!$A$1:$I$89,3,0)*0.475*44/12</f>
        <v>3.7351775592985499</v>
      </c>
      <c r="AW29" s="23">
        <f>EXP(-LN(2)/2)*AW28+(1-EXP(-LN(2)/2))/(LN(2)/2)*AQ29*AT29*VLOOKUP('Données projet'!$B$10,Paramètres!$A$1:$I$89,3,0)*0.475*44/12</f>
        <v>12.129193375560064</v>
      </c>
      <c r="AX29" s="23">
        <f t="shared" si="6"/>
        <v>27.153117564523491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13.2</v>
      </c>
      <c r="BD29" s="13">
        <f>IF('Données projet'!$A$88&gt;35,BD28+BC29-BL28,IF(A29&lt;'Données projet'!$A$88,$BA$205^A29,IF(A29='Données projet'!$A$88,'Données projet'!$B$88,BD28+BC29-BL28)))</f>
        <v>132.20000000000002</v>
      </c>
      <c r="BE29" s="14">
        <f>BD29*VLOOKUP('Données projet'!$B$11,Paramètres!$A$1:$I$89,3,0)*VLOOKUP('Données projet'!$B$11,Paramètres!$A$1:$I$89,5,0)</f>
        <v>115.48992000000003</v>
      </c>
      <c r="BF29" s="14">
        <f t="shared" si="37"/>
        <v>30.620763442598491</v>
      </c>
      <c r="BG29" s="22">
        <f t="shared" si="7"/>
        <v>254.47610699585906</v>
      </c>
      <c r="BH29" s="62">
        <f t="shared" si="8"/>
        <v>484.76282104504924</v>
      </c>
      <c r="BI29" s="62">
        <f ca="1">AVERAGE(OFFSET($BH$3,0,0,'Données projet'!$E$11+1,1))-AVERAGE(OFFSET($H$3,0,0,'Données projet'!$E$11+1,1))</f>
        <v>342.02279578180605</v>
      </c>
      <c r="BJ29" s="62">
        <f t="shared" si="38"/>
        <v>409.02379334777754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14.2</v>
      </c>
      <c r="BY29" s="13">
        <f>IF('Données projet'!$A$114&gt;35,BY28+BX29-CG28,IF(A29&lt;'Données projet'!$A$114,$BV$205^A29,IF(A29='Données projet'!$A$114,'Données projet'!$B$114,BY28+BX29-CG28)))</f>
        <v>119.19999999999996</v>
      </c>
      <c r="BZ29" s="14">
        <f>BY29*VLOOKUP('Données projet'!$B$12,Paramètres!$A$1:$I$89,3,0)*VLOOKUP('Données projet'!$B$12,Paramètres!$A$1:$I$89,5,0)</f>
        <v>94.835519999999974</v>
      </c>
      <c r="CA29" s="14">
        <f t="shared" si="39"/>
        <v>25.727860178949104</v>
      </c>
      <c r="CB29" s="22">
        <f t="shared" si="10"/>
        <v>209.98122047833627</v>
      </c>
      <c r="CC29" s="62">
        <f t="shared" si="11"/>
        <v>440.26793452752645</v>
      </c>
      <c r="CD29" s="62">
        <f ca="1">AVERAGE(OFFSET($CC$3,0,0,'Données projet'!$E$12+1,1))-AVERAGE(OFFSET($H$3,0,0,'Données projet'!$E$12+1,1))</f>
        <v>376.47942810265266</v>
      </c>
      <c r="CE29" s="62">
        <f t="shared" si="40"/>
        <v>362.87951024071265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9.2954249278041967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9.2954249278041967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14.2</v>
      </c>
      <c r="CT29" s="13">
        <f>IF('Données projet'!$A$140&gt;35,CT28+CS29-DB28,IF(A29&lt;'Données projet'!$A$140,$CQ$205^A29,IF(A29='Données projet'!$A$140,'Données projet'!$B$140,CT28+CS29-DB28)))</f>
        <v>119.19999999999996</v>
      </c>
      <c r="CU29" s="18">
        <f>CT29*VLOOKUP('Données projet'!$B$13,Paramètres!$A$1:$I$89,3,0)*VLOOKUP('Données projet'!$B$13,Paramètres!$A$1:$I$89,5,0)</f>
        <v>87.397439999999975</v>
      </c>
      <c r="CV29" s="14">
        <f t="shared" si="41"/>
        <v>23.936482276928594</v>
      </c>
      <c r="CW29" s="22">
        <f t="shared" si="13"/>
        <v>193.90658129898392</v>
      </c>
      <c r="CX29" s="62">
        <f t="shared" si="14"/>
        <v>424.1932953481741</v>
      </c>
      <c r="CY29" s="62">
        <f ca="1">AVERAGE(OFFSET($CX$3,0,0,'Données projet'!$E$13+1,1))-AVERAGE(OFFSET($H$3,0,0,'Données projet'!$E$13+1,1))</f>
        <v>351.7223836693733</v>
      </c>
      <c r="CZ29" s="62">
        <f t="shared" si="42"/>
        <v>339.34942976598518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6.9500753899712473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6.9500753899712473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183.33333333333334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21.612857142857145</v>
      </c>
      <c r="N30" s="14">
        <f>IF('Données projet'!$A$36&gt;35,N29+M30-V29,IF(A30&lt;'Données projet'!$A$36,$K$205^A30,IF(A30='Données projet'!$A$36,'Données projet'!$B$36,N29+M30-V29)))</f>
        <v>260.24714285714288</v>
      </c>
      <c r="O30" s="14">
        <f>N30*VLOOKUP('Données projet'!$B$9,Paramètres!$A$1:$I$89,3,0)*VLOOKUP('Données projet'!$B$9,Paramètres!$A$1:$I$89,5,0)</f>
        <v>145.47815285714287</v>
      </c>
      <c r="P30" s="14">
        <f t="shared" si="33"/>
        <v>37.54915616665005</v>
      </c>
      <c r="Q30" s="22">
        <f t="shared" si="2"/>
        <v>318.77256321643932</v>
      </c>
      <c r="R30" s="62">
        <f t="shared" si="0"/>
        <v>551.29040608900277</v>
      </c>
      <c r="S30" s="62">
        <f ca="1">AVERAGE(OFFSET($R$3,0,0,'Données projet'!$E$9+1,1))-AVERAGE(OFFSET($H$3,0,0,'Données projet'!$E$9+1,1))</f>
        <v>409.45931633551902</v>
      </c>
      <c r="T30" s="62">
        <f t="shared" si="34"/>
        <v>375.18886653687389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11.107347052166816</v>
      </c>
      <c r="AB30" s="23">
        <f>EXP(-LN(2)/2)*AB29+(1-EXP(-LN(2)/2))/(LN(2)/2)*V30*Y30*VLOOKUP('Données projet'!$B$9,Paramètres!$A$1:$I$89,3,0)*0.475*44/12</f>
        <v>2.5546146894881812</v>
      </c>
      <c r="AC30" s="24">
        <f t="shared" si="3"/>
        <v>13.661961741654997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13.8</v>
      </c>
      <c r="AI30" s="14">
        <f>IF('Données projet'!$A$62&gt;35,AI29+AH30-AQ29,IF(A30&lt;'Données projet'!$A$62,$AF$205^A30,IF(A30='Données projet'!$A$62,'Données projet'!$B$62,AI29+AH30-AQ29)))</f>
        <v>195.60000000000002</v>
      </c>
      <c r="AJ30" s="14">
        <f>AI30*VLOOKUP('Données projet'!$B$10,Paramètres!$A$1:$I$89,3,0)*VLOOKUP('Données projet'!$B$10,Paramètres!$A$1:$I$89,5,0)</f>
        <v>116.96880000000002</v>
      </c>
      <c r="AK30" s="14">
        <f t="shared" si="35"/>
        <v>30.966972418998537</v>
      </c>
      <c r="AL30" s="22">
        <f t="shared" si="4"/>
        <v>257.6548036297558</v>
      </c>
      <c r="AM30" s="62">
        <f t="shared" si="5"/>
        <v>490.17264650231931</v>
      </c>
      <c r="AN30" s="62">
        <f ca="1">AVERAGE(OFFSET($AM$3,0,0,'Données projet'!$E$10+1,1))-AVERAGE(OFFSET($H$3,0,0,'Données projet'!$E$10+1,1))</f>
        <v>212.90262675152454</v>
      </c>
      <c r="AO30" s="62">
        <f t="shared" si="36"/>
        <v>366.51899340890498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11.067381193712711</v>
      </c>
      <c r="AV30" s="23">
        <f>EXP(-LN(2)/25)*AV29+(1-EXP(-LN(2)/25))/(LN(2)/25)*Calculateur!AQ30*Calculateur!AS30*VLOOKUP('Données projet'!$B$10,Paramètres!$A$1:$I$89,3,0)*0.475*44/12</f>
        <v>3.6330389325150803</v>
      </c>
      <c r="AW30" s="23">
        <f>EXP(-LN(2)/2)*AW29+(1-EXP(-LN(2)/2))/(LN(2)/2)*AQ30*AT30*VLOOKUP('Données projet'!$B$10,Paramètres!$A$1:$I$89,3,0)*0.475*44/12</f>
        <v>8.5766348861814716</v>
      </c>
      <c r="AX30" s="23">
        <f t="shared" si="6"/>
        <v>23.277055012409264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13.2</v>
      </c>
      <c r="BD30" s="13">
        <f>IF('Données projet'!$A$88&gt;35,BD29+BC30-BL29,IF(A30&lt;'Données projet'!$A$88,$BA$205^A30,IF(A30='Données projet'!$A$88,'Données projet'!$B$88,BD29+BC30-BL29)))</f>
        <v>145.4</v>
      </c>
      <c r="BE30" s="14">
        <f>BD30*VLOOKUP('Données projet'!$B$11,Paramètres!$A$1:$I$89,3,0)*VLOOKUP('Données projet'!$B$11,Paramètres!$A$1:$I$89,5,0)</f>
        <v>127.02144000000001</v>
      </c>
      <c r="BF30" s="14">
        <f t="shared" si="37"/>
        <v>33.30717587066443</v>
      </c>
      <c r="BG30" s="22">
        <f t="shared" si="7"/>
        <v>279.23900597474056</v>
      </c>
      <c r="BH30" s="62">
        <f t="shared" si="8"/>
        <v>511.75684884730407</v>
      </c>
      <c r="BI30" s="62">
        <f ca="1">AVERAGE(OFFSET($BH$3,0,0,'Données projet'!$E$11+1,1))-AVERAGE(OFFSET($H$3,0,0,'Données projet'!$E$11+1,1))</f>
        <v>342.02279578180605</v>
      </c>
      <c r="BJ30" s="62">
        <f t="shared" si="38"/>
        <v>409.02379334777754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14.2</v>
      </c>
      <c r="BY30" s="13">
        <f>IF('Données projet'!$A$114&gt;35,BY29+BX30-CG29,IF(A30&lt;'Données projet'!$A$114,$BV$205^A30,IF(A30='Données projet'!$A$114,'Données projet'!$B$114,BY29+BX30-CG29)))</f>
        <v>133.39999999999995</v>
      </c>
      <c r="BZ30" s="14">
        <f>BY30*VLOOKUP('Données projet'!$B$12,Paramètres!$A$1:$I$89,3,0)*VLOOKUP('Données projet'!$B$12,Paramètres!$A$1:$I$89,5,0)</f>
        <v>106.13303999999997</v>
      </c>
      <c r="CA30" s="14">
        <f t="shared" si="39"/>
        <v>28.418009728368016</v>
      </c>
      <c r="CB30" s="22">
        <f t="shared" si="10"/>
        <v>234.34307827690756</v>
      </c>
      <c r="CC30" s="62">
        <f t="shared" si="11"/>
        <v>466.8609211494711</v>
      </c>
      <c r="CD30" s="62">
        <f ca="1">AVERAGE(OFFSET($CC$3,0,0,'Données projet'!$E$12+1,1))-AVERAGE(OFFSET($H$3,0,0,'Données projet'!$E$12+1,1))</f>
        <v>376.47942810265266</v>
      </c>
      <c r="CE30" s="62">
        <f t="shared" si="40"/>
        <v>362.87951024071265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9.1131473146193311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9.1131473146193311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14.2</v>
      </c>
      <c r="CT30" s="13">
        <f>IF('Données projet'!$A$140&gt;35,CT29+CS30-DB29,IF(A30&lt;'Données projet'!$A$140,$CQ$205^A30,IF(A30='Données projet'!$A$140,'Données projet'!$B$140,CT29+CS30-DB29)))</f>
        <v>133.39999999999995</v>
      </c>
      <c r="CU30" s="18">
        <f>CT30*VLOOKUP('Données projet'!$B$13,Paramètres!$A$1:$I$89,3,0)*VLOOKUP('Données projet'!$B$13,Paramètres!$A$1:$I$89,5,0)</f>
        <v>97.808879999999959</v>
      </c>
      <c r="CV30" s="14">
        <f t="shared" si="41"/>
        <v>26.439322255227292</v>
      </c>
      <c r="CW30" s="22">
        <f t="shared" si="13"/>
        <v>216.39895226118747</v>
      </c>
      <c r="CX30" s="62">
        <f t="shared" si="14"/>
        <v>448.91679513375095</v>
      </c>
      <c r="CY30" s="62">
        <f ca="1">AVERAGE(OFFSET($CX$3,0,0,'Données projet'!$E$13+1,1))-AVERAGE(OFFSET($H$3,0,0,'Données projet'!$E$13+1,1))</f>
        <v>351.7223836693733</v>
      </c>
      <c r="CZ30" s="62">
        <f t="shared" si="42"/>
        <v>339.34942976598518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6.8137886507013201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6.8137886507013201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183.33333333333334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>
        <f>VLOOKUP(A31,'Données projet'!$A$35:$I$55,2,0)</f>
        <v>281.86</v>
      </c>
      <c r="L31" s="13">
        <f>VLOOKUP(A31,'Données projet'!$A$35:$I$55,9,0)</f>
        <v>21.612857142857145</v>
      </c>
      <c r="M31" s="13">
        <f t="array" ref="M31">INDEX(L:L,MIN(IF(ISNUMBER(L31:L227),ROW(L31:L227),"")))</f>
        <v>21.612857142857145</v>
      </c>
      <c r="N31" s="14">
        <f>IF('Données projet'!$A$36&gt;35,N30+M31-V30,IF(A31&lt;'Données projet'!$A$36,$K$205^A31,IF(A31='Données projet'!$A$36,'Données projet'!$B$36,N30+M31-V30)))</f>
        <v>281.86</v>
      </c>
      <c r="O31" s="14">
        <f>N31*VLOOKUP('Données projet'!$B$9,Paramètres!$A$1:$I$89,3,0)*VLOOKUP('Données projet'!$B$9,Paramètres!$A$1:$I$89,5,0)</f>
        <v>157.55974000000001</v>
      </c>
      <c r="P31" s="14">
        <f t="shared" si="33"/>
        <v>40.291616590408985</v>
      </c>
      <c r="Q31" s="22">
        <f t="shared" si="2"/>
        <v>344.59111272829563</v>
      </c>
      <c r="R31" s="62">
        <f t="shared" si="0"/>
        <v>579.32258215027969</v>
      </c>
      <c r="S31" s="62">
        <f ca="1">AVERAGE(OFFSET($R$3,0,0,'Données projet'!$E$9+1,1))-AVERAGE(OFFSET($H$3,0,0,'Données projet'!$E$9+1,1))</f>
        <v>409.45931633551902</v>
      </c>
      <c r="T31" s="62">
        <f t="shared" si="34"/>
        <v>375.18886653687389</v>
      </c>
      <c r="U31" s="16">
        <f>IF(ISNA(VLOOKUP(A31,'Données projet'!$A$35:$I$55,3,0)),0,VLOOKUP(A31,'Données projet'!$A$35:$I$55,3,0))</f>
        <v>3</v>
      </c>
      <c r="V31" s="16">
        <f>IF(ISNA(VLOOKUP(A31,'Données projet'!$A$35:$I$55,4,0)),0,VLOOKUP(A31,'Données projet'!$A$35:$I$55,4,0))</f>
        <v>67.61</v>
      </c>
      <c r="W31" s="17">
        <f>IF(ISNA(VLOOKUP(A31,'Données projet'!$A$35:$I$55,5,0)),0%,VLOOKUP(A31,'Données projet'!$A$35:$I$55,5,0)*VLOOKUP('Données projet'!$B$9,Paramètres!$A$1:$I$89,7,0))</f>
        <v>0.11000000000000001</v>
      </c>
      <c r="X31" s="17">
        <f>IF(ISNA(VLOOKUP(A31,'Données projet'!$A$35:$I$55,6,0)),0%,VLOOKUP(A31,'Données projet'!$A$35:$I$55,6,0)*VLOOKUP('Données projet'!$B$9,Paramètres!$A$1:$I$89,7,0))</f>
        <v>0.1925</v>
      </c>
      <c r="Y31" s="17">
        <f>IF(ISNA(VLOOKUP(A31,'Données projet'!$A$35:$I$55,7,0)),0%,VLOOKUP(A31,'Données projet'!$A$35:$I$55,7,0))</f>
        <v>0.5</v>
      </c>
      <c r="Z31" s="23">
        <f>EXP(-LN(2)/35)*Z30+(1-EXP(-LN(2)/35))/(LN(2)/35)*V31*W31*VLOOKUP('Données projet'!$B$9,Paramètres!$A$1:$I$89,3,0)*0.475*44/12</f>
        <v>5.5149780139561173</v>
      </c>
      <c r="AA31" s="23">
        <f>EXP(-LN(2)/25)*AA30+(1-EXP(-LN(2)/25))/(LN(2)/25)*Calculateur!V31*Calculateur!X31*VLOOKUP('Données projet'!$B$9,Paramètres!$A$1:$I$89,3,0)*0.475*44/12</f>
        <v>20.416827090166976</v>
      </c>
      <c r="AB31" s="23">
        <f>EXP(-LN(2)/2)*AB30+(1-EXP(-LN(2)/2))/(LN(2)/2)*V31*Y31*VLOOKUP('Données projet'!$B$9,Paramètres!$A$1:$I$89,3,0)*0.475*44/12</f>
        <v>23.202173435451993</v>
      </c>
      <c r="AC31" s="24">
        <f t="shared" si="3"/>
        <v>49.133978539575082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13.8</v>
      </c>
      <c r="AI31" s="14">
        <f>IF('Données projet'!$A$62&gt;35,AI30+AH31-AQ30,IF(A31&lt;'Données projet'!$A$62,$AF$205^A31,IF(A31='Données projet'!$A$62,'Données projet'!$B$62,AI30+AH31-AQ30)))</f>
        <v>209.40000000000003</v>
      </c>
      <c r="AJ31" s="14">
        <f>AI31*VLOOKUP('Données projet'!$B$10,Paramètres!$A$1:$I$89,3,0)*VLOOKUP('Données projet'!$B$10,Paramètres!$A$1:$I$89,5,0)</f>
        <v>125.22120000000004</v>
      </c>
      <c r="AK31" s="14">
        <f t="shared" si="35"/>
        <v>32.889723553463881</v>
      </c>
      <c r="AL31" s="22">
        <f t="shared" si="4"/>
        <v>275.37652518894964</v>
      </c>
      <c r="AM31" s="62">
        <f t="shared" si="5"/>
        <v>510.1079946109337</v>
      </c>
      <c r="AN31" s="62">
        <f ca="1">AVERAGE(OFFSET($AM$3,0,0,'Données projet'!$E$10+1,1))-AVERAGE(OFFSET($H$3,0,0,'Données projet'!$E$10+1,1))</f>
        <v>212.90262675152454</v>
      </c>
      <c r="AO31" s="62">
        <f t="shared" si="36"/>
        <v>366.51899340890498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10.850356598939982</v>
      </c>
      <c r="AV31" s="23">
        <f>EXP(-LN(2)/25)*AV30+(1-EXP(-LN(2)/25))/(LN(2)/25)*Calculateur!AQ31*Calculateur!AS31*VLOOKUP('Données projet'!$B$10,Paramètres!$A$1:$I$89,3,0)*0.475*44/12</f>
        <v>3.5336932918522415</v>
      </c>
      <c r="AW31" s="23">
        <f>EXP(-LN(2)/2)*AW30+(1-EXP(-LN(2)/2))/(LN(2)/2)*AQ31*AT31*VLOOKUP('Données projet'!$B$10,Paramètres!$A$1:$I$89,3,0)*0.475*44/12</f>
        <v>6.0645966877800319</v>
      </c>
      <c r="AX31" s="23">
        <f t="shared" si="6"/>
        <v>20.448646578572255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13.2</v>
      </c>
      <c r="BD31" s="13">
        <f>IF('Données projet'!$A$88&gt;35,BD30+BC31-BL30,IF(A31&lt;'Données projet'!$A$88,$BA$205^A31,IF(A31='Données projet'!$A$88,'Données projet'!$B$88,BD30+BC31-BL30)))</f>
        <v>158.6</v>
      </c>
      <c r="BE31" s="14">
        <f>BD31*VLOOKUP('Données projet'!$B$11,Paramètres!$A$1:$I$89,3,0)*VLOOKUP('Données projet'!$B$11,Paramètres!$A$1:$I$89,5,0)</f>
        <v>138.55296000000001</v>
      </c>
      <c r="BF31" s="14">
        <f t="shared" si="37"/>
        <v>35.965308766301796</v>
      </c>
      <c r="BG31" s="22">
        <f t="shared" si="7"/>
        <v>303.95265143464229</v>
      </c>
      <c r="BH31" s="62">
        <f t="shared" si="8"/>
        <v>538.68412085662635</v>
      </c>
      <c r="BI31" s="62">
        <f ca="1">AVERAGE(OFFSET($BH$3,0,0,'Données projet'!$E$11+1,1))-AVERAGE(OFFSET($H$3,0,0,'Données projet'!$E$11+1,1))</f>
        <v>342.02279578180605</v>
      </c>
      <c r="BJ31" s="62">
        <f t="shared" si="38"/>
        <v>409.02379334777754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14.2</v>
      </c>
      <c r="BY31" s="13">
        <f>IF('Données projet'!$A$114&gt;35,BY30+BX31-CG30,IF(A31&lt;'Données projet'!$A$114,$BV$205^A31,IF(A31='Données projet'!$A$114,'Données projet'!$B$114,BY30+BX31-CG30)))</f>
        <v>147.59999999999994</v>
      </c>
      <c r="BZ31" s="14">
        <f>BY31*VLOOKUP('Données projet'!$B$12,Paramètres!$A$1:$I$89,3,0)*VLOOKUP('Données projet'!$B$12,Paramètres!$A$1:$I$89,5,0)</f>
        <v>117.43055999999996</v>
      </c>
      <c r="CA31" s="14">
        <f t="shared" si="39"/>
        <v>31.074966780724086</v>
      </c>
      <c r="CB31" s="22">
        <f t="shared" si="10"/>
        <v>258.64712580976101</v>
      </c>
      <c r="CC31" s="62">
        <f t="shared" si="11"/>
        <v>493.37859523174507</v>
      </c>
      <c r="CD31" s="62">
        <f ca="1">AVERAGE(OFFSET($CC$3,0,0,'Données projet'!$E$12+1,1))-AVERAGE(OFFSET($H$3,0,0,'Données projet'!$E$12+1,1))</f>
        <v>376.47942810265266</v>
      </c>
      <c r="CE31" s="62">
        <f t="shared" si="40"/>
        <v>362.87951024071265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8.9344440542506547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8.9344440542506547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14.2</v>
      </c>
      <c r="CT31" s="13">
        <f>IF('Données projet'!$A$140&gt;35,CT30+CS31-DB30,IF(A31&lt;'Données projet'!$A$140,$CQ$205^A31,IF(A31='Données projet'!$A$140,'Données projet'!$B$140,CT30+CS31-DB30)))</f>
        <v>147.59999999999994</v>
      </c>
      <c r="CU31" s="18">
        <f>CT31*VLOOKUP('Données projet'!$B$13,Paramètres!$A$1:$I$89,3,0)*VLOOKUP('Données projet'!$B$13,Paramètres!$A$1:$I$89,5,0)</f>
        <v>108.22031999999996</v>
      </c>
      <c r="CV31" s="14">
        <f t="shared" si="41"/>
        <v>28.911280861653452</v>
      </c>
      <c r="CW31" s="22">
        <f t="shared" si="13"/>
        <v>238.83753816737965</v>
      </c>
      <c r="CX31" s="62">
        <f t="shared" si="14"/>
        <v>473.56900758936376</v>
      </c>
      <c r="CY31" s="62">
        <f ca="1">AVERAGE(OFFSET($CX$3,0,0,'Données projet'!$E$13+1,1))-AVERAGE(OFFSET($H$3,0,0,'Données projet'!$E$13+1,1))</f>
        <v>351.7223836693733</v>
      </c>
      <c r="CZ31" s="62">
        <f t="shared" si="42"/>
        <v>339.34942976598518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6.6801744112617731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6.6801744112617731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183.33333333333334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23.267142857142858</v>
      </c>
      <c r="N32" s="14">
        <f>IF('Données projet'!$A$36&gt;35,N31+M32-V31,IF(A32&lt;'Données projet'!$A$36,$K$205^A32,IF(A32='Données projet'!$A$36,'Données projet'!$B$36,N31+M32-V31)))</f>
        <v>237.51714285714286</v>
      </c>
      <c r="O32" s="14">
        <f>N32*VLOOKUP('Données projet'!$B$9,Paramètres!$A$1:$I$89,3,0)*VLOOKUP('Données projet'!$B$9,Paramètres!$A$1:$I$89,5,0)</f>
        <v>132.77208285714286</v>
      </c>
      <c r="P32" s="14">
        <f t="shared" si="33"/>
        <v>34.636117583630444</v>
      </c>
      <c r="Q32" s="22">
        <f t="shared" si="2"/>
        <v>291.5692824343468</v>
      </c>
      <c r="R32" s="62">
        <f t="shared" si="0"/>
        <v>528.49717975712269</v>
      </c>
      <c r="S32" s="62">
        <f ca="1">AVERAGE(OFFSET($R$3,0,0,'Données projet'!$E$9+1,1))-AVERAGE(OFFSET($H$3,0,0,'Données projet'!$E$9+1,1))</f>
        <v>409.45931633551902</v>
      </c>
      <c r="T32" s="62">
        <f t="shared" si="34"/>
        <v>375.18886653687389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5.406832658906878</v>
      </c>
      <c r="AA32" s="23">
        <f>EXP(-LN(2)/25)*AA31+(1-EXP(-LN(2)/25))/(LN(2)/25)*Calculateur!V32*Calculateur!X32*VLOOKUP('Données projet'!$B$9,Paramètres!$A$1:$I$89,3,0)*0.475*44/12</f>
        <v>19.858527879712085</v>
      </c>
      <c r="AB32" s="23">
        <f>EXP(-LN(2)/2)*AB31+(1-EXP(-LN(2)/2))/(LN(2)/2)*V32*Y32*VLOOKUP('Données projet'!$B$9,Paramètres!$A$1:$I$89,3,0)*0.475*44/12</f>
        <v>16.406414174474477</v>
      </c>
      <c r="AC32" s="24">
        <f t="shared" si="3"/>
        <v>41.671774713093441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13.8</v>
      </c>
      <c r="AI32" s="14">
        <f>IF('Données projet'!$A$62&gt;35,AI31+AH32-AQ31,IF(A32&lt;'Données projet'!$A$62,$AF$205^A32,IF(A32='Données projet'!$A$62,'Données projet'!$B$62,AI31+AH32-AQ31)))</f>
        <v>223.20000000000005</v>
      </c>
      <c r="AJ32" s="14">
        <f>AI32*VLOOKUP('Données projet'!$B$10,Paramètres!$A$1:$I$89,3,0)*VLOOKUP('Données projet'!$B$10,Paramètres!$A$1:$I$89,5,0)</f>
        <v>133.47360000000003</v>
      </c>
      <c r="AK32" s="14">
        <f t="shared" si="35"/>
        <v>34.79777034418013</v>
      </c>
      <c r="AL32" s="22">
        <f t="shared" si="4"/>
        <v>293.0726366827804</v>
      </c>
      <c r="AM32" s="62">
        <f t="shared" si="5"/>
        <v>530.00053400555623</v>
      </c>
      <c r="AN32" s="62">
        <f ca="1">AVERAGE(OFFSET($AM$3,0,0,'Données projet'!$E$10+1,1))-AVERAGE(OFFSET($H$3,0,0,'Données projet'!$E$10+1,1))</f>
        <v>212.90262675152454</v>
      </c>
      <c r="AO32" s="62">
        <f t="shared" si="36"/>
        <v>366.51899340890498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10.637587724098815</v>
      </c>
      <c r="AV32" s="23">
        <f>EXP(-LN(2)/25)*AV31+(1-EXP(-LN(2)/25))/(LN(2)/25)*Calculateur!AQ32*Calculateur!AS32*VLOOKUP('Données projet'!$B$10,Paramètres!$A$1:$I$89,3,0)*0.475*44/12</f>
        <v>3.437064262957688</v>
      </c>
      <c r="AW32" s="23">
        <f>EXP(-LN(2)/2)*AW31+(1-EXP(-LN(2)/2))/(LN(2)/2)*AQ32*AT32*VLOOKUP('Données projet'!$B$10,Paramètres!$A$1:$I$89,3,0)*0.475*44/12</f>
        <v>4.2883174430907358</v>
      </c>
      <c r="AX32" s="23">
        <f t="shared" si="6"/>
        <v>18.362969430147238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13.2</v>
      </c>
      <c r="BD32" s="13">
        <f>IF('Données projet'!$A$88&gt;35,BD31+BC32-BL31,IF(A32&lt;'Données projet'!$A$88,$BA$205^A32,IF(A32='Données projet'!$A$88,'Données projet'!$B$88,BD31+BC32-BL31)))</f>
        <v>171.79999999999998</v>
      </c>
      <c r="BE32" s="14">
        <f>BD32*VLOOKUP('Données projet'!$B$11,Paramètres!$A$1:$I$89,3,0)*VLOOKUP('Données projet'!$B$11,Paramètres!$A$1:$I$89,5,0)</f>
        <v>150.08448000000001</v>
      </c>
      <c r="BF32" s="14">
        <f t="shared" si="37"/>
        <v>38.597783374841299</v>
      </c>
      <c r="BG32" s="22">
        <f t="shared" si="7"/>
        <v>328.62160871118198</v>
      </c>
      <c r="BH32" s="62">
        <f t="shared" si="8"/>
        <v>565.54950603395787</v>
      </c>
      <c r="BI32" s="62">
        <f ca="1">AVERAGE(OFFSET($BH$3,0,0,'Données projet'!$E$11+1,1))-AVERAGE(OFFSET($H$3,0,0,'Données projet'!$E$11+1,1))</f>
        <v>342.02279578180605</v>
      </c>
      <c r="BJ32" s="62">
        <f t="shared" si="38"/>
        <v>409.02379334777754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14.2</v>
      </c>
      <c r="BY32" s="13">
        <f>IF('Données projet'!$A$114&gt;35,BY31+BX32-CG31,IF(A32&lt;'Données projet'!$A$114,$BV$205^A32,IF(A32='Données projet'!$A$114,'Données projet'!$B$114,BY31+BX32-CG31)))</f>
        <v>161.79999999999993</v>
      </c>
      <c r="BZ32" s="14">
        <f>BY32*VLOOKUP('Données projet'!$B$12,Paramètres!$A$1:$I$89,3,0)*VLOOKUP('Données projet'!$B$12,Paramètres!$A$1:$I$89,5,0)</f>
        <v>128.72807999999995</v>
      </c>
      <c r="CA32" s="14">
        <f t="shared" si="39"/>
        <v>33.702287995285367</v>
      </c>
      <c r="CB32" s="22">
        <f t="shared" si="10"/>
        <v>282.89955759178855</v>
      </c>
      <c r="CC32" s="62">
        <f t="shared" si="11"/>
        <v>519.82745491456444</v>
      </c>
      <c r="CD32" s="62">
        <f ca="1">AVERAGE(OFFSET($CC$3,0,0,'Données projet'!$E$12+1,1))-AVERAGE(OFFSET($H$3,0,0,'Données projet'!$E$12+1,1))</f>
        <v>376.47942810265266</v>
      </c>
      <c r="CE32" s="62">
        <f t="shared" si="40"/>
        <v>362.87951024071265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8.7592450558195818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8.7592450558195818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14.2</v>
      </c>
      <c r="CT32" s="13">
        <f>IF('Données projet'!$A$140&gt;35,CT31+CS32-DB31,IF(A32&lt;'Données projet'!$A$140,$CQ$205^A32,IF(A32='Données projet'!$A$140,'Données projet'!$B$140,CT31+CS32-DB31)))</f>
        <v>161.79999999999993</v>
      </c>
      <c r="CU32" s="18">
        <f>CT32*VLOOKUP('Données projet'!$B$13,Paramètres!$A$1:$I$89,3,0)*VLOOKUP('Données projet'!$B$13,Paramètres!$A$1:$I$89,5,0)</f>
        <v>118.63175999999994</v>
      </c>
      <c r="CV32" s="14">
        <f t="shared" si="41"/>
        <v>31.355667112617319</v>
      </c>
      <c r="CW32" s="22">
        <f t="shared" si="13"/>
        <v>261.22810222114174</v>
      </c>
      <c r="CX32" s="62">
        <f t="shared" si="14"/>
        <v>498.15599954391757</v>
      </c>
      <c r="CY32" s="62">
        <f ca="1">AVERAGE(OFFSET($CX$3,0,0,'Données projet'!$E$13+1,1))-AVERAGE(OFFSET($H$3,0,0,'Données projet'!$E$13+1,1))</f>
        <v>351.7223836693733</v>
      </c>
      <c r="CZ32" s="62">
        <f t="shared" si="42"/>
        <v>339.34942976598518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6.549180265560997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6.549180265560997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183.33333333333334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23.267142857142858</v>
      </c>
      <c r="N33" s="14">
        <f>IF('Données projet'!$A$36&gt;35,N32+M33-V32,IF(A33&lt;'Données projet'!$A$36,$K$205^A33,IF(A33='Données projet'!$A$36,'Données projet'!$B$36,N32+M33-V32)))</f>
        <v>260.78428571428572</v>
      </c>
      <c r="O33" s="14">
        <f>N33*VLOOKUP('Données projet'!$B$9,Paramètres!$A$1:$I$89,3,0)*VLOOKUP('Données projet'!$B$9,Paramètres!$A$1:$I$89,5,0)</f>
        <v>145.7784157142857</v>
      </c>
      <c r="P33" s="14">
        <f t="shared" si="33"/>
        <v>37.617627311837914</v>
      </c>
      <c r="Q33" s="22">
        <f t="shared" si="2"/>
        <v>319.4147749371653</v>
      </c>
      <c r="R33" s="62">
        <f t="shared" si="0"/>
        <v>558.52219987020726</v>
      </c>
      <c r="S33" s="62">
        <f ca="1">AVERAGE(OFFSET($R$3,0,0,'Données projet'!$E$9+1,1))-AVERAGE(OFFSET($H$3,0,0,'Données projet'!$E$9+1,1))</f>
        <v>409.45931633551902</v>
      </c>
      <c r="T33" s="62">
        <f t="shared" si="34"/>
        <v>375.18886653687389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5.3008079683080016</v>
      </c>
      <c r="AA33" s="23">
        <f>EXP(-LN(2)/25)*AA32+(1-EXP(-LN(2)/25))/(LN(2)/25)*Calculateur!V33*Calculateur!X33*VLOOKUP('Données projet'!$B$9,Paramètres!$A$1:$I$89,3,0)*0.475*44/12</f>
        <v>19.315495390526763</v>
      </c>
      <c r="AB33" s="23">
        <f>EXP(-LN(2)/2)*AB32+(1-EXP(-LN(2)/2))/(LN(2)/2)*V33*Y33*VLOOKUP('Données projet'!$B$9,Paramètres!$A$1:$I$89,3,0)*0.475*44/12</f>
        <v>11.601086717725996</v>
      </c>
      <c r="AC33" s="24">
        <f t="shared" si="3"/>
        <v>36.217390076560761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237</v>
      </c>
      <c r="AG33" s="13">
        <f>VLOOKUP(A33,'Données projet'!$A$61:$I$81,9,0)</f>
        <v>13.8</v>
      </c>
      <c r="AH33" s="13">
        <f t="array" ref="AH33">INDEX(AG:AG,MIN(IF(ISNUMBER(AG33:AG229),ROW(AG33:AG229),"")))</f>
        <v>13.8</v>
      </c>
      <c r="AI33" s="14">
        <f>IF('Données projet'!$A$62&gt;35,AI32+AH33-AQ32,IF(A33&lt;'Données projet'!$A$62,$AF$205^A33,IF(A33='Données projet'!$A$62,'Données projet'!$B$62,AI32+AH33-AQ32)))</f>
        <v>237.00000000000006</v>
      </c>
      <c r="AJ33" s="14">
        <f>AI33*VLOOKUP('Données projet'!$B$10,Paramètres!$A$1:$I$89,3,0)*VLOOKUP('Données projet'!$B$10,Paramètres!$A$1:$I$89,5,0)</f>
        <v>141.72600000000003</v>
      </c>
      <c r="AK33" s="14">
        <f t="shared" si="35"/>
        <v>36.692125440686915</v>
      </c>
      <c r="AL33" s="22">
        <f t="shared" si="4"/>
        <v>310.74490180919639</v>
      </c>
      <c r="AM33" s="62">
        <f t="shared" si="5"/>
        <v>549.85232674223835</v>
      </c>
      <c r="AN33" s="62">
        <f ca="1">AVERAGE(OFFSET($AM$3,0,0,'Données projet'!$E$10+1,1))-AVERAGE(OFFSET($H$3,0,0,'Données projet'!$E$10+1,1))</f>
        <v>212.90262675152454</v>
      </c>
      <c r="AO33" s="62">
        <f t="shared" si="36"/>
        <v>366.51899340890498</v>
      </c>
      <c r="AP33" s="16">
        <f>IF(ISNA(VLOOKUP(A33,'Données projet'!$A$61:$I$81,3,0)),0,VLOOKUP(A33,'Données projet'!$A$61:$I$81,3,0))</f>
        <v>4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0.27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0.4</v>
      </c>
      <c r="AU33" s="23">
        <f>EXP(-LN(2)/35)*AU32+(1-EXP(-LN(2)/35))/(LN(2)/35)*AQ33*AR33*VLOOKUP('Données projet'!$B$10,Paramètres!$A$1:$I$89,3,0)*0.475*44/12</f>
        <v>10.428991117117084</v>
      </c>
      <c r="AV33" s="23">
        <f>EXP(-LN(2)/25)*AV32+(1-EXP(-LN(2)/25))/(LN(2)/25)*Calculateur!AQ33*Calculateur!AS33*VLOOKUP('Données projet'!$B$10,Paramètres!$A$1:$I$89,3,0)*0.475*44/12</f>
        <v>3.343077559939756</v>
      </c>
      <c r="AW33" s="23">
        <f>EXP(-LN(2)/2)*AW32+(1-EXP(-LN(2)/2))/(LN(2)/2)*AQ33*AT33*VLOOKUP('Données projet'!$B$10,Paramètres!$A$1:$I$89,3,0)*0.475*44/12</f>
        <v>3.032298343890016</v>
      </c>
      <c r="AX33" s="23">
        <f t="shared" si="6"/>
        <v>16.804367020946856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185</v>
      </c>
      <c r="BB33" s="13">
        <f>VLOOKUP(A33,'Données projet'!$A$87:$I$107,9,0)</f>
        <v>13.2</v>
      </c>
      <c r="BC33" s="13">
        <f t="array" ref="BC33">INDEX(BB:BB,MIN(IF(ISNUMBER(BB33:BB229),ROW(BB33:BB229),"")))</f>
        <v>13.2</v>
      </c>
      <c r="BD33" s="13">
        <f>IF('Données projet'!$A$88&gt;35,BD32+BC33-BL32,IF(A33&lt;'Données projet'!$A$88,$BA$205^A33,IF(A33='Données projet'!$A$88,'Données projet'!$B$88,BD32+BC33-BL32)))</f>
        <v>184.99999999999997</v>
      </c>
      <c r="BE33" s="14">
        <f>BD33*VLOOKUP('Données projet'!$B$11,Paramètres!$A$1:$I$89,3,0)*VLOOKUP('Données projet'!$B$11,Paramètres!$A$1:$I$89,5,0)</f>
        <v>161.61599999999999</v>
      </c>
      <c r="BF33" s="14">
        <f t="shared" si="37"/>
        <v>41.20679526204917</v>
      </c>
      <c r="BG33" s="22">
        <f t="shared" si="7"/>
        <v>353.24970174806896</v>
      </c>
      <c r="BH33" s="62">
        <f t="shared" si="8"/>
        <v>592.35712668111091</v>
      </c>
      <c r="BI33" s="62">
        <f ca="1">AVERAGE(OFFSET($BH$3,0,0,'Données projet'!$E$11+1,1))-AVERAGE(OFFSET($H$3,0,0,'Données projet'!$E$11+1,1))</f>
        <v>342.02279578180605</v>
      </c>
      <c r="BJ33" s="62">
        <f t="shared" si="38"/>
        <v>409.02379334777754</v>
      </c>
      <c r="BK33" s="16">
        <f>IF(ISNA(VLOOKUP(A33,'Données projet'!$A$87:$I$107,3,0)),0,VLOOKUP(A33,'Données projet'!$A$87:$I$107,3,0))</f>
        <v>4</v>
      </c>
      <c r="BL33" s="16">
        <f>IF(ISNA(VLOOKUP(A33,'Données projet'!$A$87:$I$107,4,0)),0,VLOOKUP(A33,'Données projet'!$A$87:$I$107,4,0))</f>
        <v>44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176</v>
      </c>
      <c r="BW33" s="13">
        <f>VLOOKUP(A33,'Données projet'!$A$113:$I$133,9,0)</f>
        <v>14.2</v>
      </c>
      <c r="BX33" s="13">
        <f t="array" ref="BX33">INDEX(BW:BW,MIN(IF(ISNUMBER(BW33:BW229),ROW(BW33:BW229),"")))</f>
        <v>14.2</v>
      </c>
      <c r="BY33" s="13">
        <f>IF('Données projet'!$A$114&gt;35,BY32+BX33-CG32,IF(A33&lt;'Données projet'!$A$114,$BV$205^A33,IF(A33='Données projet'!$A$114,'Données projet'!$B$114,BY32+BX33-CG32)))</f>
        <v>175.99999999999991</v>
      </c>
      <c r="BZ33" s="14">
        <f>BY33*VLOOKUP('Données projet'!$B$12,Paramètres!$A$1:$I$89,3,0)*VLOOKUP('Données projet'!$B$12,Paramètres!$A$1:$I$89,5,0)</f>
        <v>140.02559999999994</v>
      </c>
      <c r="CA33" s="14">
        <f t="shared" si="39"/>
        <v>36.302870033112463</v>
      </c>
      <c r="CB33" s="22">
        <f t="shared" si="10"/>
        <v>307.10541864100406</v>
      </c>
      <c r="CC33" s="62">
        <f t="shared" si="11"/>
        <v>546.21284357404602</v>
      </c>
      <c r="CD33" s="62">
        <f ca="1">AVERAGE(OFFSET($CC$3,0,0,'Données projet'!$E$12+1,1))-AVERAGE(OFFSET($H$3,0,0,'Données projet'!$E$12+1,1))</f>
        <v>376.47942810265266</v>
      </c>
      <c r="CE33" s="62">
        <f t="shared" si="40"/>
        <v>362.87951024071265</v>
      </c>
      <c r="CF33" s="16">
        <f>IF(ISNA(VLOOKUP(A33,'Données projet'!$A$113:$I$133,3,0)),0,VLOOKUP(A33,'Données projet'!$A$113:$I$133,3,0))</f>
        <v>5</v>
      </c>
      <c r="CG33" s="16">
        <f>IF(ISNA(VLOOKUP(A33,'Données projet'!$A$113:$I$133,4,0)),0,VLOOKUP(A33,'Données projet'!$A$113:$I$133,4,0))</f>
        <v>35</v>
      </c>
      <c r="CH33" s="17">
        <f>IF(ISNA(VLOOKUP(A33,'Données projet'!$A$113:$I$133,5,0)),0%,VLOOKUP(A33,'Données projet'!$A$113:$I$133,5,0)*VLOOKUP('Données projet'!$B$12,Paramètres!$A$1:$I$89,7,0))</f>
        <v>0.26500000000000001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16.744957572832657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16.744957572832657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176</v>
      </c>
      <c r="CR33" s="13">
        <f>VLOOKUP(A33,'Données projet'!$A$139:$I$159,9,0)</f>
        <v>14.2</v>
      </c>
      <c r="CS33" s="13">
        <f t="array" ref="CS33">INDEX(CR:CR,MIN(IF(ISNUMBER(CR33:CR229),ROW(CR33:CR229),"")))</f>
        <v>14.2</v>
      </c>
      <c r="CT33" s="13">
        <f>IF('Données projet'!$A$140&gt;35,CT32+CS33-DB32,IF(A33&lt;'Données projet'!$A$140,$CQ$205^A33,IF(A33='Données projet'!$A$140,'Données projet'!$B$140,CT32+CS33-DB32)))</f>
        <v>175.99999999999991</v>
      </c>
      <c r="CU33" s="18">
        <f>CT33*VLOOKUP('Données projet'!$B$13,Paramètres!$A$1:$I$89,3,0)*VLOOKUP('Données projet'!$B$13,Paramètres!$A$1:$I$89,5,0)</f>
        <v>129.04319999999993</v>
      </c>
      <c r="CV33" s="14">
        <f t="shared" si="41"/>
        <v>33.775175980637393</v>
      </c>
      <c r="CW33" s="22">
        <f t="shared" si="13"/>
        <v>283.57533816627659</v>
      </c>
      <c r="CX33" s="62">
        <f t="shared" si="14"/>
        <v>522.68276309931855</v>
      </c>
      <c r="CY33" s="62">
        <f ca="1">AVERAGE(OFFSET($CX$3,0,0,'Données projet'!$E$13+1,1))-AVERAGE(OFFSET($H$3,0,0,'Données projet'!$E$13+1,1))</f>
        <v>351.7223836693733</v>
      </c>
      <c r="CZ33" s="62">
        <f t="shared" si="42"/>
        <v>339.34942976598518</v>
      </c>
      <c r="DA33" s="16">
        <f>IF(ISNA(VLOOKUP(A33,'Données projet'!$A$139:$I$159,3,0)),0,VLOOKUP(A33,'Données projet'!$A$139:$I$159,3,0))</f>
        <v>5</v>
      </c>
      <c r="DB33" s="16">
        <f>IF(ISNA(VLOOKUP(A33,'Données projet'!$A$139:$I$159,4,0)),0,VLOOKUP(A33,'Données projet'!$A$139:$I$159,4,0))</f>
        <v>35</v>
      </c>
      <c r="DC33" s="17">
        <f>IF(ISNA(VLOOKUP(A33,'Données projet'!$A$139:$I$159,5,0)),0%,VLOOKUP(A33,'Données projet'!$A$139:$I$159,5,0)*VLOOKUP('Données projet'!$B$13,Paramètres!$A$1:$I$89,7,0))</f>
        <v>0.215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12.519999724267404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12.519999724267404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183.33333333333334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23.267142857142858</v>
      </c>
      <c r="N34" s="14">
        <f>IF('Données projet'!$A$36&gt;35,N33+M34-V33,IF(A34&lt;'Données projet'!$A$36,$K$205^A34,IF(A34='Données projet'!$A$36,'Données projet'!$B$36,N33+M34-V33)))</f>
        <v>284.05142857142857</v>
      </c>
      <c r="O34" s="14">
        <f>N34*VLOOKUP('Données projet'!$B$9,Paramètres!$A$1:$I$89,3,0)*VLOOKUP('Données projet'!$B$9,Paramètres!$A$1:$I$89,5,0)</f>
        <v>158.78474857142857</v>
      </c>
      <c r="P34" s="14">
        <f t="shared" si="33"/>
        <v>40.568290544193985</v>
      </c>
      <c r="Q34" s="22">
        <f t="shared" si="2"/>
        <v>347.20654312637589</v>
      </c>
      <c r="R34" s="62">
        <f t="shared" si="0"/>
        <v>587.25466633919348</v>
      </c>
      <c r="S34" s="62">
        <f ca="1">AVERAGE(OFFSET($R$3,0,0,'Données projet'!$E$9+1,1))-AVERAGE(OFFSET($H$3,0,0,'Données projet'!$E$9+1,1))</f>
        <v>409.45931633551902</v>
      </c>
      <c r="T34" s="62">
        <f t="shared" si="34"/>
        <v>375.18886653687389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5.1968623572230932</v>
      </c>
      <c r="AA34" s="23">
        <f>EXP(-LN(2)/25)*AA33+(1-EXP(-LN(2)/25))/(LN(2)/25)*Calculateur!V34*Calculateur!X34*VLOOKUP('Données projet'!$B$9,Paramètres!$A$1:$I$89,3,0)*0.475*44/12</f>
        <v>18.787312153315053</v>
      </c>
      <c r="AB34" s="23">
        <f>EXP(-LN(2)/2)*AB33+(1-EXP(-LN(2)/2))/(LN(2)/2)*V34*Y34*VLOOKUP('Données projet'!$B$9,Paramètres!$A$1:$I$89,3,0)*0.475*44/12</f>
        <v>8.2032070872372387</v>
      </c>
      <c r="AC34" s="24">
        <f t="shared" si="3"/>
        <v>32.187381597775385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12.625</v>
      </c>
      <c r="AI34" s="14">
        <f>IF('Données projet'!$A$62&gt;35,AI33+AH34-AQ33,IF(A34&lt;'Données projet'!$A$62,$AF$205^A34,IF(A34='Données projet'!$A$62,'Données projet'!$B$62,AI33+AH34-AQ33)))</f>
        <v>249.62500000000006</v>
      </c>
      <c r="AJ34" s="14">
        <f>AI34*VLOOKUP('Données projet'!$B$10,Paramètres!$A$1:$I$89,3,0)*VLOOKUP('Données projet'!$B$10,Paramètres!$A$1:$I$89,5,0)</f>
        <v>149.27575000000004</v>
      </c>
      <c r="AK34" s="14">
        <f t="shared" si="35"/>
        <v>38.413950875340568</v>
      </c>
      <c r="AL34" s="22">
        <f t="shared" si="4"/>
        <v>326.89289569121826</v>
      </c>
      <c r="AM34" s="62">
        <f t="shared" si="5"/>
        <v>566.94101890403579</v>
      </c>
      <c r="AN34" s="62">
        <f ca="1">AVERAGE(OFFSET($AM$3,0,0,'Données projet'!$E$10+1,1))-AVERAGE(OFFSET($H$3,0,0,'Données projet'!$E$10+1,1))</f>
        <v>212.90262675152454</v>
      </c>
      <c r="AO34" s="62">
        <f t="shared" si="36"/>
        <v>366.51899340890498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10.224484962366898</v>
      </c>
      <c r="AV34" s="23">
        <f>EXP(-LN(2)/25)*AV33+(1-EXP(-LN(2)/25))/(LN(2)/25)*Calculateur!AQ34*Calculateur!AS34*VLOOKUP('Données projet'!$B$10,Paramètres!$A$1:$I$89,3,0)*0.475*44/12</f>
        <v>3.2516609282583953</v>
      </c>
      <c r="AW34" s="23">
        <f>EXP(-LN(2)/2)*AW33+(1-EXP(-LN(2)/2))/(LN(2)/2)*AQ34*AT34*VLOOKUP('Données projet'!$B$10,Paramètres!$A$1:$I$89,3,0)*0.475*44/12</f>
        <v>2.1441587215453679</v>
      </c>
      <c r="AX34" s="23">
        <f t="shared" si="6"/>
        <v>15.620304612170662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12</v>
      </c>
      <c r="BD34" s="13">
        <f>IF('Données projet'!$A$88&gt;35,BD33+BC34-BL33,IF(A34&lt;'Données projet'!$A$88,$BA$205^A34,IF(A34='Données projet'!$A$88,'Données projet'!$B$88,BD33+BC34-BL33)))</f>
        <v>152.99999999999997</v>
      </c>
      <c r="BE34" s="14">
        <f>BD34*VLOOKUP('Données projet'!$B$11,Paramètres!$A$1:$I$89,3,0)*VLOOKUP('Données projet'!$B$11,Paramètres!$A$1:$I$89,5,0)</f>
        <v>133.66079999999999</v>
      </c>
      <c r="BF34" s="14">
        <f t="shared" si="37"/>
        <v>34.840890682716747</v>
      </c>
      <c r="BG34" s="22">
        <f t="shared" si="7"/>
        <v>293.47377793906497</v>
      </c>
      <c r="BH34" s="62">
        <f t="shared" si="8"/>
        <v>533.5219011518825</v>
      </c>
      <c r="BI34" s="62">
        <f ca="1">AVERAGE(OFFSET($BH$3,0,0,'Données projet'!$E$11+1,1))-AVERAGE(OFFSET($H$3,0,0,'Données projet'!$E$11+1,1))</f>
        <v>342.02279578180605</v>
      </c>
      <c r="BJ34" s="62">
        <f t="shared" si="38"/>
        <v>409.02379334777754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13</v>
      </c>
      <c r="BY34" s="13">
        <f>IF('Données projet'!$A$114&gt;35,BY33+BX34-CG33,IF(A34&lt;'Données projet'!$A$114,$BV$205^A34,IF(A34='Données projet'!$A$114,'Données projet'!$B$114,BY33+BX34-CG33)))</f>
        <v>153.99999999999991</v>
      </c>
      <c r="BZ34" s="14">
        <f>BY34*VLOOKUP('Données projet'!$B$12,Paramètres!$A$1:$I$89,3,0)*VLOOKUP('Données projet'!$B$12,Paramètres!$A$1:$I$89,5,0)</f>
        <v>122.52239999999995</v>
      </c>
      <c r="CA34" s="14">
        <f t="shared" si="39"/>
        <v>32.26259352430629</v>
      </c>
      <c r="CB34" s="22">
        <f t="shared" si="10"/>
        <v>269.58386372149999</v>
      </c>
      <c r="CC34" s="62">
        <f t="shared" si="11"/>
        <v>509.63198693431752</v>
      </c>
      <c r="CD34" s="62">
        <f ca="1">AVERAGE(OFFSET($CC$3,0,0,'Données projet'!$E$12+1,1))-AVERAGE(OFFSET($H$3,0,0,'Données projet'!$E$12+1,1))</f>
        <v>376.47942810265266</v>
      </c>
      <c r="CE34" s="62">
        <f t="shared" si="40"/>
        <v>362.87951024071265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16.416599168245035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16.416599168245035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13</v>
      </c>
      <c r="CT34" s="13">
        <f>IF('Données projet'!$A$140&gt;35,CT33+CS34-DB33,IF(A34&lt;'Données projet'!$A$140,$CQ$205^A34,IF(A34='Données projet'!$A$140,'Données projet'!$B$140,CT33+CS34-DB33)))</f>
        <v>153.99999999999991</v>
      </c>
      <c r="CU34" s="18">
        <f>CT34*VLOOKUP('Données projet'!$B$13,Paramètres!$A$1:$I$89,3,0)*VLOOKUP('Données projet'!$B$13,Paramètres!$A$1:$I$89,5,0)</f>
        <v>112.91279999999993</v>
      </c>
      <c r="CV34" s="14">
        <f t="shared" si="41"/>
        <v>30.016215601722546</v>
      </c>
      <c r="CW34" s="22">
        <f t="shared" si="13"/>
        <v>248.93470217300001</v>
      </c>
      <c r="CX34" s="62">
        <f t="shared" si="14"/>
        <v>488.98282538581759</v>
      </c>
      <c r="CY34" s="62">
        <f ca="1">AVERAGE(OFFSET($CX$3,0,0,'Données projet'!$E$13+1,1))-AVERAGE(OFFSET($H$3,0,0,'Données projet'!$E$13+1,1))</f>
        <v>351.7223836693733</v>
      </c>
      <c r="CZ34" s="62">
        <f t="shared" si="42"/>
        <v>339.34942976598518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12.274490166120316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12.274490166120316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183.33333333333334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23.267142857142858</v>
      </c>
      <c r="N35" s="14">
        <f>IF('Données projet'!$A$36&gt;35,N34+M35-V34,IF(A35&lt;'Données projet'!$A$36,$K$205^A35,IF(A35='Données projet'!$A$36,'Données projet'!$B$36,N34+M35-V34)))</f>
        <v>307.31857142857143</v>
      </c>
      <c r="O35" s="14">
        <f>N35*VLOOKUP('Données projet'!$B$9,Paramètres!$A$1:$I$89,3,0)*VLOOKUP('Données projet'!$B$9,Paramètres!$A$1:$I$89,5,0)</f>
        <v>171.79108142857143</v>
      </c>
      <c r="P35" s="14">
        <f t="shared" si="33"/>
        <v>43.490921229423932</v>
      </c>
      <c r="Q35" s="22">
        <f t="shared" ref="Q35:Q66" si="53">(O35+P35)*0.475*44/12</f>
        <v>374.94948796267522</v>
      </c>
      <c r="R35" s="62">
        <f t="shared" si="0"/>
        <v>615.92199044320057</v>
      </c>
      <c r="S35" s="62">
        <f ca="1">AVERAGE(OFFSET($R$3,0,0,'Données projet'!$E$9+1,1))-AVERAGE(OFFSET($H$3,0,0,'Données projet'!$E$9+1,1))</f>
        <v>409.45931633551902</v>
      </c>
      <c r="T35" s="62">
        <f t="shared" si="34"/>
        <v>375.18886653687389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5.0949550561709973</v>
      </c>
      <c r="AA35" s="23">
        <f>EXP(-LN(2)/25)*AA34+(1-EXP(-LN(2)/25))/(LN(2)/25)*Calculateur!V35*Calculateur!X35*VLOOKUP('Données projet'!$B$9,Paramètres!$A$1:$I$89,3,0)*0.475*44/12</f>
        <v>18.273572114500844</v>
      </c>
      <c r="AB35" s="23">
        <f>EXP(-LN(2)/2)*AB34+(1-EXP(-LN(2)/2))/(LN(2)/2)*V35*Y35*VLOOKUP('Données projet'!$B$9,Paramètres!$A$1:$I$89,3,0)*0.475*44/12</f>
        <v>5.8005433588629982</v>
      </c>
      <c r="AC35" s="24">
        <f t="shared" si="3"/>
        <v>29.169070529534839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12.625</v>
      </c>
      <c r="AI35" s="14">
        <f>IF('Données projet'!$A$62&gt;35,AI34+AH35-AQ34,IF(A35&lt;'Données projet'!$A$62,$AF$205^A35,IF(A35='Données projet'!$A$62,'Données projet'!$B$62,AI34+AH35-AQ34)))</f>
        <v>262.25000000000006</v>
      </c>
      <c r="AJ35" s="14">
        <f>AI35*VLOOKUP('Données projet'!$B$10,Paramètres!$A$1:$I$89,3,0)*VLOOKUP('Données projet'!$B$10,Paramètres!$A$1:$I$89,5,0)</f>
        <v>156.82550000000006</v>
      </c>
      <c r="AK35" s="14">
        <f t="shared" si="35"/>
        <v>40.12566509846944</v>
      </c>
      <c r="AL35" s="22">
        <f t="shared" si="4"/>
        <v>343.02327921316777</v>
      </c>
      <c r="AM35" s="62">
        <f t="shared" si="5"/>
        <v>583.99578169369306</v>
      </c>
      <c r="AN35" s="62">
        <f ca="1">AVERAGE(OFFSET($AM$3,0,0,'Données projet'!$E$10+1,1))-AVERAGE(OFFSET($H$3,0,0,'Données projet'!$E$10+1,1))</f>
        <v>212.90262675152454</v>
      </c>
      <c r="AO35" s="62">
        <f t="shared" si="36"/>
        <v>366.51899340890498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10.023989048574924</v>
      </c>
      <c r="AV35" s="23">
        <f>EXP(-LN(2)/25)*AV34+(1-EXP(-LN(2)/25))/(LN(2)/25)*Calculateur!AQ35*Calculateur!AS35*VLOOKUP('Données projet'!$B$10,Paramètres!$A$1:$I$89,3,0)*0.475*44/12</f>
        <v>3.1627440891777532</v>
      </c>
      <c r="AW35" s="23">
        <f>EXP(-LN(2)/2)*AW34+(1-EXP(-LN(2)/2))/(LN(2)/2)*AQ35*AT35*VLOOKUP('Données projet'!$B$10,Paramètres!$A$1:$I$89,3,0)*0.475*44/12</f>
        <v>1.516149171945008</v>
      </c>
      <c r="AX35" s="23">
        <f t="shared" si="6"/>
        <v>14.702882309697685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12</v>
      </c>
      <c r="BD35" s="13">
        <f>IF('Données projet'!$A$88&gt;35,BD34+BC35-BL34,IF(A35&lt;'Données projet'!$A$88,$BA$205^A35,IF(A35='Données projet'!$A$88,'Données projet'!$B$88,BD34+BC35-BL34)))</f>
        <v>164.99999999999997</v>
      </c>
      <c r="BE35" s="14">
        <f>BD35*VLOOKUP('Données projet'!$B$11,Paramètres!$A$1:$I$89,3,0)*VLOOKUP('Données projet'!$B$11,Paramètres!$A$1:$I$89,5,0)</f>
        <v>144.14400000000001</v>
      </c>
      <c r="BF35" s="14">
        <f t="shared" si="37"/>
        <v>37.244720006976252</v>
      </c>
      <c r="BG35" s="22">
        <f t="shared" si="7"/>
        <v>315.91868734548365</v>
      </c>
      <c r="BH35" s="62">
        <f t="shared" si="8"/>
        <v>556.89118982600894</v>
      </c>
      <c r="BI35" s="62">
        <f ca="1">AVERAGE(OFFSET($BH$3,0,0,'Données projet'!$E$11+1,1))-AVERAGE(OFFSET($H$3,0,0,'Données projet'!$E$11+1,1))</f>
        <v>342.02279578180605</v>
      </c>
      <c r="BJ35" s="62">
        <f t="shared" si="38"/>
        <v>409.02379334777754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13</v>
      </c>
      <c r="BY35" s="13">
        <f>IF('Données projet'!$A$114&gt;35,BY34+BX35-CG34,IF(A35&lt;'Données projet'!$A$114,$BV$205^A35,IF(A35='Données projet'!$A$114,'Données projet'!$B$114,BY34+BX35-CG34)))</f>
        <v>166.99999999999991</v>
      </c>
      <c r="BZ35" s="14">
        <f>BY35*VLOOKUP('Données projet'!$B$12,Paramètres!$A$1:$I$89,3,0)*VLOOKUP('Données projet'!$B$12,Paramètres!$A$1:$I$89,5,0)</f>
        <v>132.86519999999993</v>
      </c>
      <c r="CA35" s="14">
        <f t="shared" si="39"/>
        <v>34.657580565743032</v>
      </c>
      <c r="CB35" s="22">
        <f t="shared" si="10"/>
        <v>291.76884281866893</v>
      </c>
      <c r="CC35" s="62">
        <f t="shared" si="11"/>
        <v>532.74134529919422</v>
      </c>
      <c r="CD35" s="62">
        <f ca="1">AVERAGE(OFFSET($CC$3,0,0,'Données projet'!$E$12+1,1))-AVERAGE(OFFSET($H$3,0,0,'Données projet'!$E$12+1,1))</f>
        <v>376.47942810265266</v>
      </c>
      <c r="CE35" s="62">
        <f t="shared" si="40"/>
        <v>362.87951024071265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16.094679671692528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16.094679671692528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13</v>
      </c>
      <c r="CT35" s="13">
        <f>IF('Données projet'!$A$140&gt;35,CT34+CS35-DB34,IF(A35&lt;'Données projet'!$A$140,$CQ$205^A35,IF(A35='Données projet'!$A$140,'Données projet'!$B$140,CT34+CS35-DB34)))</f>
        <v>166.99999999999991</v>
      </c>
      <c r="CU35" s="18">
        <f>CT35*VLOOKUP('Données projet'!$B$13,Paramètres!$A$1:$I$89,3,0)*VLOOKUP('Données projet'!$B$13,Paramètres!$A$1:$I$89,5,0)</f>
        <v>122.44439999999993</v>
      </c>
      <c r="CV35" s="14">
        <f t="shared" si="41"/>
        <v>32.244444629402452</v>
      </c>
      <c r="CW35" s="22">
        <f t="shared" si="13"/>
        <v>269.41640439620915</v>
      </c>
      <c r="CX35" s="62">
        <f t="shared" si="14"/>
        <v>510.3889068767345</v>
      </c>
      <c r="CY35" s="62">
        <f ca="1">AVERAGE(OFFSET($CX$3,0,0,'Données projet'!$E$13+1,1))-AVERAGE(OFFSET($H$3,0,0,'Données projet'!$E$13+1,1))</f>
        <v>351.7223836693733</v>
      </c>
      <c r="CZ35" s="62">
        <f t="shared" si="42"/>
        <v>339.34942976598518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12.033794900662448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12.033794900662448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183.33333333333334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23.267142857142858</v>
      </c>
      <c r="N36" s="14">
        <f>IF('Données projet'!$A$36&gt;35,N35+M36-V35,IF(A36&lt;'Données projet'!$A$36,$K$205^A36,IF(A36='Données projet'!$A$36,'Données projet'!$B$36,N35+M36-V35)))</f>
        <v>330.58571428571429</v>
      </c>
      <c r="O36" s="14">
        <f>N36*VLOOKUP('Données projet'!$B$9,Paramètres!$A$1:$I$89,3,0)*VLOOKUP('Données projet'!$B$9,Paramètres!$A$1:$I$89,5,0)</f>
        <v>184.7974142857143</v>
      </c>
      <c r="P36" s="14">
        <f t="shared" si="33"/>
        <v>46.387883037381307</v>
      </c>
      <c r="Q36" s="22">
        <f t="shared" si="53"/>
        <v>402.64772617105814</v>
      </c>
      <c r="R36" s="62">
        <f t="shared" si="0"/>
        <v>644.5285720055989</v>
      </c>
      <c r="S36" s="62">
        <f ca="1">AVERAGE(OFFSET($R$3,0,0,'Données projet'!$E$9+1,1))-AVERAGE(OFFSET($H$3,0,0,'Données projet'!$E$9+1,1))</f>
        <v>409.45931633551902</v>
      </c>
      <c r="T36" s="62">
        <f t="shared" si="34"/>
        <v>375.18886653687389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4.9950460951352165</v>
      </c>
      <c r="AA36" s="23">
        <f>EXP(-LN(2)/25)*AA35+(1-EXP(-LN(2)/25))/(LN(2)/25)*Calculateur!V36*Calculateur!X36*VLOOKUP('Données projet'!$B$9,Paramètres!$A$1:$I$89,3,0)*0.475*44/12</f>
        <v>17.773880324064425</v>
      </c>
      <c r="AB36" s="23">
        <f>EXP(-LN(2)/2)*AB35+(1-EXP(-LN(2)/2))/(LN(2)/2)*V36*Y36*VLOOKUP('Données projet'!$B$9,Paramètres!$A$1:$I$89,3,0)*0.475*44/12</f>
        <v>4.1016035436186193</v>
      </c>
      <c r="AC36" s="24">
        <f t="shared" si="3"/>
        <v>26.87052996281826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12.625</v>
      </c>
      <c r="AI36" s="14">
        <f>IF('Données projet'!$A$62&gt;35,AI35+AH36-AQ35,IF(A36&lt;'Données projet'!$A$62,$AF$205^A36,IF(A36='Données projet'!$A$62,'Données projet'!$B$62,AI35+AH36-AQ35)))</f>
        <v>274.87500000000006</v>
      </c>
      <c r="AJ36" s="14">
        <f>AI36*VLOOKUP('Données projet'!$B$10,Paramètres!$A$1:$I$89,3,0)*VLOOKUP('Données projet'!$B$10,Paramètres!$A$1:$I$89,5,0)</f>
        <v>164.37525000000005</v>
      </c>
      <c r="AK36" s="14">
        <f t="shared" si="35"/>
        <v>41.827810443115574</v>
      </c>
      <c r="AL36" s="22">
        <f t="shared" si="4"/>
        <v>359.13699693842636</v>
      </c>
      <c r="AM36" s="62">
        <f t="shared" si="5"/>
        <v>601.01784277296713</v>
      </c>
      <c r="AN36" s="62">
        <f ca="1">AVERAGE(OFFSET($AM$3,0,0,'Données projet'!$E$10+1,1))-AVERAGE(OFFSET($H$3,0,0,'Données projet'!$E$10+1,1))</f>
        <v>212.90262675152454</v>
      </c>
      <c r="AO36" s="62">
        <f t="shared" si="36"/>
        <v>366.51899340890498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9.8274247373619783</v>
      </c>
      <c r="AV36" s="23">
        <f>EXP(-LN(2)/25)*AV35+(1-EXP(-LN(2)/25))/(LN(2)/25)*Calculateur!AQ36*Calculateur!AS36*VLOOKUP('Données projet'!$B$10,Paramètres!$A$1:$I$89,3,0)*0.475*44/12</f>
        <v>3.0762586857377046</v>
      </c>
      <c r="AW36" s="23">
        <f>EXP(-LN(2)/2)*AW35+(1-EXP(-LN(2)/2))/(LN(2)/2)*AQ36*AT36*VLOOKUP('Données projet'!$B$10,Paramètres!$A$1:$I$89,3,0)*0.475*44/12</f>
        <v>1.072079360772684</v>
      </c>
      <c r="AX36" s="23">
        <f t="shared" si="6"/>
        <v>13.975762783872366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12</v>
      </c>
      <c r="BD36" s="13">
        <f>IF('Données projet'!$A$88&gt;35,BD35+BC36-BL35,IF(A36&lt;'Données projet'!$A$88,$BA$205^A36,IF(A36='Données projet'!$A$88,'Données projet'!$B$88,BD35+BC36-BL35)))</f>
        <v>176.99999999999997</v>
      </c>
      <c r="BE36" s="14">
        <f>BD36*VLOOKUP('Données projet'!$B$11,Paramètres!$A$1:$I$89,3,0)*VLOOKUP('Données projet'!$B$11,Paramètres!$A$1:$I$89,5,0)</f>
        <v>154.62719999999999</v>
      </c>
      <c r="BF36" s="14">
        <f t="shared" si="37"/>
        <v>39.62826685000794</v>
      </c>
      <c r="BG36" s="22">
        <f t="shared" si="7"/>
        <v>338.32827143043045</v>
      </c>
      <c r="BH36" s="62">
        <f t="shared" si="8"/>
        <v>580.20911726497116</v>
      </c>
      <c r="BI36" s="62">
        <f ca="1">AVERAGE(OFFSET($BH$3,0,0,'Données projet'!$E$11+1,1))-AVERAGE(OFFSET($H$3,0,0,'Données projet'!$E$11+1,1))</f>
        <v>342.02279578180605</v>
      </c>
      <c r="BJ36" s="62">
        <f t="shared" si="38"/>
        <v>409.02379334777754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13</v>
      </c>
      <c r="BY36" s="13">
        <f>IF('Données projet'!$A$114&gt;35,BY35+BX36-CG35,IF(A36&lt;'Données projet'!$A$114,$BV$205^A36,IF(A36='Données projet'!$A$114,'Données projet'!$B$114,BY35+BX36-CG35)))</f>
        <v>179.99999999999991</v>
      </c>
      <c r="BZ36" s="14">
        <f>BY36*VLOOKUP('Données projet'!$B$12,Paramètres!$A$1:$I$89,3,0)*VLOOKUP('Données projet'!$B$12,Paramètres!$A$1:$I$89,5,0)</f>
        <v>143.20799999999994</v>
      </c>
      <c r="CA36" s="14">
        <f t="shared" si="39"/>
        <v>37.030941422835802</v>
      </c>
      <c r="CB36" s="22">
        <f t="shared" si="10"/>
        <v>313.9161563114389</v>
      </c>
      <c r="CC36" s="62">
        <f t="shared" si="11"/>
        <v>555.7970021459796</v>
      </c>
      <c r="CD36" s="62">
        <f ca="1">AVERAGE(OFFSET($CC$3,0,0,'Données projet'!$E$12+1,1))-AVERAGE(OFFSET($H$3,0,0,'Données projet'!$E$12+1,1))</f>
        <v>376.47942810265266</v>
      </c>
      <c r="CE36" s="62">
        <f t="shared" si="40"/>
        <v>362.87951024071265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15.779072820115911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15.779072820115911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13</v>
      </c>
      <c r="CT36" s="13">
        <f>IF('Données projet'!$A$140&gt;35,CT35+CS36-DB35,IF(A36&lt;'Données projet'!$A$140,$CQ$205^A36,IF(A36='Données projet'!$A$140,'Données projet'!$B$140,CT35+CS36-DB35)))</f>
        <v>179.99999999999991</v>
      </c>
      <c r="CU36" s="18">
        <f>CT36*VLOOKUP('Données projet'!$B$13,Paramètres!$A$1:$I$89,3,0)*VLOOKUP('Données projet'!$B$13,Paramètres!$A$1:$I$89,5,0)</f>
        <v>131.97599999999994</v>
      </c>
      <c r="CV36" s="14">
        <f t="shared" si="41"/>
        <v>34.452553259401945</v>
      </c>
      <c r="CW36" s="22">
        <f t="shared" si="13"/>
        <v>289.86306359345826</v>
      </c>
      <c r="CX36" s="62">
        <f t="shared" si="14"/>
        <v>531.74390942799903</v>
      </c>
      <c r="CY36" s="62">
        <f ca="1">AVERAGE(OFFSET($CX$3,0,0,'Données projet'!$E$13+1,1))-AVERAGE(OFFSET($H$3,0,0,'Données projet'!$E$13+1,1))</f>
        <v>351.7223836693733</v>
      </c>
      <c r="CZ36" s="62">
        <f t="shared" si="42"/>
        <v>339.34942976598518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11.797819522550594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11.797819522550594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183.33333333333334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23.267142857142858</v>
      </c>
      <c r="N37" s="14">
        <f>IF('Données projet'!$A$36&gt;35,N36+M37-V36,IF(A37&lt;'Données projet'!$A$36,$K$205^A37,IF(A37='Données projet'!$A$36,'Données projet'!$B$36,N36+M37-V36)))</f>
        <v>353.85285714285715</v>
      </c>
      <c r="O37" s="14">
        <f>N37*VLOOKUP('Données projet'!$B$9,Paramètres!$A$1:$I$89,3,0)*VLOOKUP('Données projet'!$B$9,Paramètres!$A$1:$I$89,5,0)</f>
        <v>197.80374714285716</v>
      </c>
      <c r="P37" s="14">
        <f t="shared" si="33"/>
        <v>49.26118807441209</v>
      </c>
      <c r="Q37" s="22">
        <f t="shared" si="53"/>
        <v>430.30476217007725</v>
      </c>
      <c r="R37" s="62">
        <f t="shared" si="0"/>
        <v>673.07819363219278</v>
      </c>
      <c r="S37" s="62">
        <f ca="1">AVERAGE(OFFSET($R$3,0,0,'Données projet'!$E$9+1,1))-AVERAGE(OFFSET($H$3,0,0,'Données projet'!$E$9+1,1))</f>
        <v>409.45931633551902</v>
      </c>
      <c r="T37" s="62">
        <f t="shared" si="34"/>
        <v>375.18886653687389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4.8970962878868987</v>
      </c>
      <c r="AA37" s="23">
        <f>EXP(-LN(2)/25)*AA36+(1-EXP(-LN(2)/25))/(LN(2)/25)*Calculateur!V37*Calculateur!X37*VLOOKUP('Données projet'!$B$9,Paramètres!$A$1:$I$89,3,0)*0.475*44/12</f>
        <v>17.28785263191514</v>
      </c>
      <c r="AB37" s="23">
        <f>EXP(-LN(2)/2)*AB36+(1-EXP(-LN(2)/2))/(LN(2)/2)*V37*Y37*VLOOKUP('Données projet'!$B$9,Paramètres!$A$1:$I$89,3,0)*0.475*44/12</f>
        <v>2.9002716794314991</v>
      </c>
      <c r="AC37" s="24">
        <f t="shared" si="3"/>
        <v>25.085220599233537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12.625</v>
      </c>
      <c r="AI37" s="14">
        <f>IF('Données projet'!$A$62&gt;35,AI36+AH37-AQ36,IF(A37&lt;'Données projet'!$A$62,$AF$205^A37,IF(A37='Données projet'!$A$62,'Données projet'!$B$62,AI36+AH37-AQ36)))</f>
        <v>287.50000000000006</v>
      </c>
      <c r="AJ37" s="14">
        <f>AI37*VLOOKUP('Données projet'!$B$10,Paramètres!$A$1:$I$89,3,0)*VLOOKUP('Données projet'!$B$10,Paramètres!$A$1:$I$89,5,0)</f>
        <v>171.92500000000004</v>
      </c>
      <c r="AK37" s="14">
        <f t="shared" si="35"/>
        <v>43.520876607827979</v>
      </c>
      <c r="AL37" s="22">
        <f t="shared" si="4"/>
        <v>375.23490175863373</v>
      </c>
      <c r="AM37" s="62">
        <f t="shared" si="5"/>
        <v>618.00833322074936</v>
      </c>
      <c r="AN37" s="62">
        <f ca="1">AVERAGE(OFFSET($AM$3,0,0,'Données projet'!$E$10+1,1))-AVERAGE(OFFSET($H$3,0,0,'Données projet'!$E$10+1,1))</f>
        <v>212.90262675152454</v>
      </c>
      <c r="AO37" s="62">
        <f t="shared" si="36"/>
        <v>366.51899340890498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9.6347149323995271</v>
      </c>
      <c r="AV37" s="23">
        <f>EXP(-LN(2)/25)*AV36+(1-EXP(-LN(2)/25))/(LN(2)/25)*Calculateur!AQ37*Calculateur!AS37*VLOOKUP('Données projet'!$B$10,Paramètres!$A$1:$I$89,3,0)*0.475*44/12</f>
        <v>2.9921382302027935</v>
      </c>
      <c r="AW37" s="23">
        <f>EXP(-LN(2)/2)*AW36+(1-EXP(-LN(2)/2))/(LN(2)/2)*AQ37*AT37*VLOOKUP('Données projet'!$B$10,Paramètres!$A$1:$I$89,3,0)*0.475*44/12</f>
        <v>0.75807458597250399</v>
      </c>
      <c r="AX37" s="23">
        <f t="shared" si="6"/>
        <v>13.384927748574825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12</v>
      </c>
      <c r="BD37" s="13">
        <f>IF('Données projet'!$A$88&gt;35,BD36+BC37-BL36,IF(A37&lt;'Données projet'!$A$88,$BA$205^A37,IF(A37='Données projet'!$A$88,'Données projet'!$B$88,BD36+BC37-BL36)))</f>
        <v>188.99999999999997</v>
      </c>
      <c r="BE37" s="14">
        <f>BD37*VLOOKUP('Données projet'!$B$11,Paramètres!$A$1:$I$89,3,0)*VLOOKUP('Données projet'!$B$11,Paramètres!$A$1:$I$89,5,0)</f>
        <v>165.1104</v>
      </c>
      <c r="BF37" s="14">
        <f t="shared" si="37"/>
        <v>41.993062739333446</v>
      </c>
      <c r="BG37" s="22">
        <f t="shared" si="7"/>
        <v>360.70519760433905</v>
      </c>
      <c r="BH37" s="62">
        <f t="shared" si="8"/>
        <v>603.47862906645469</v>
      </c>
      <c r="BI37" s="62">
        <f ca="1">AVERAGE(OFFSET($BH$3,0,0,'Données projet'!$E$11+1,1))-AVERAGE(OFFSET($H$3,0,0,'Données projet'!$E$11+1,1))</f>
        <v>342.02279578180605</v>
      </c>
      <c r="BJ37" s="62">
        <f t="shared" si="38"/>
        <v>409.02379334777754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13</v>
      </c>
      <c r="BY37" s="13">
        <f>IF('Données projet'!$A$114&gt;35,BY36+BX37-CG36,IF(A37&lt;'Données projet'!$A$114,$BV$205^A37,IF(A37='Données projet'!$A$114,'Données projet'!$B$114,BY36+BX37-CG36)))</f>
        <v>192.99999999999991</v>
      </c>
      <c r="BZ37" s="14">
        <f>BY37*VLOOKUP('Données projet'!$B$12,Paramètres!$A$1:$I$89,3,0)*VLOOKUP('Données projet'!$B$12,Paramètres!$A$1:$I$89,5,0)</f>
        <v>153.55079999999995</v>
      </c>
      <c r="CA37" s="14">
        <f t="shared" si="39"/>
        <v>39.384415616157526</v>
      </c>
      <c r="CB37" s="22">
        <f t="shared" si="10"/>
        <v>336.02883386480761</v>
      </c>
      <c r="CC37" s="62">
        <f t="shared" si="11"/>
        <v>578.80226532692313</v>
      </c>
      <c r="CD37" s="62">
        <f ca="1">AVERAGE(OFFSET($CC$3,0,0,'Données projet'!$E$12+1,1))-AVERAGE(OFFSET($H$3,0,0,'Données projet'!$E$12+1,1))</f>
        <v>376.47942810265266</v>
      </c>
      <c r="CE37" s="62">
        <f t="shared" si="40"/>
        <v>362.87951024071265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15.469654826397539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15.469654826397539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13</v>
      </c>
      <c r="CT37" s="13">
        <f>IF('Données projet'!$A$140&gt;35,CT36+CS37-DB36,IF(A37&lt;'Données projet'!$A$140,$CQ$205^A37,IF(A37='Données projet'!$A$140,'Données projet'!$B$140,CT36+CS37-DB36)))</f>
        <v>192.99999999999991</v>
      </c>
      <c r="CU37" s="18">
        <f>CT37*VLOOKUP('Données projet'!$B$13,Paramètres!$A$1:$I$89,3,0)*VLOOKUP('Données projet'!$B$13,Paramètres!$A$1:$I$89,5,0)</f>
        <v>141.50759999999994</v>
      </c>
      <c r="CV37" s="14">
        <f t="shared" si="41"/>
        <v>36.642159893060018</v>
      </c>
      <c r="CW37" s="22">
        <f t="shared" si="13"/>
        <v>310.27749848041276</v>
      </c>
      <c r="CX37" s="62">
        <f t="shared" si="14"/>
        <v>553.05092994252834</v>
      </c>
      <c r="CY37" s="62">
        <f ca="1">AVERAGE(OFFSET($CX$3,0,0,'Données projet'!$E$13+1,1))-AVERAGE(OFFSET($H$3,0,0,'Données projet'!$E$13+1,1))</f>
        <v>351.7223836693733</v>
      </c>
      <c r="CZ37" s="62">
        <f t="shared" si="42"/>
        <v>339.34942976598518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11.566471477672744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11.566471477672744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183.33333333333334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377.12</v>
      </c>
      <c r="L38" s="13">
        <f>VLOOKUP(A38,'Données projet'!$A$35:$I$55,9,0)</f>
        <v>23.267142857142858</v>
      </c>
      <c r="M38" s="13">
        <f t="array" ref="M38">INDEX(L:L,MIN(IF(ISNUMBER(L38:L234),ROW(L38:L234),"")))</f>
        <v>23.267142857142858</v>
      </c>
      <c r="N38" s="14">
        <f>IF('Données projet'!$A$36&gt;35,N37+M38-V37,IF(A38&lt;'Données projet'!$A$36,$K$205^A38,IF(A38='Données projet'!$A$36,'Données projet'!$B$36,N37+M38-V37)))</f>
        <v>377.12</v>
      </c>
      <c r="O38" s="14">
        <f>N38*VLOOKUP('Données projet'!$B$9,Paramètres!$A$1:$I$89,3,0)*VLOOKUP('Données projet'!$B$9,Paramètres!$A$1:$I$89,5,0)</f>
        <v>210.81008</v>
      </c>
      <c r="P38" s="14">
        <f t="shared" si="33"/>
        <v>52.112568873523912</v>
      </c>
      <c r="Q38" s="22">
        <f t="shared" si="53"/>
        <v>457.92361345472085</v>
      </c>
      <c r="R38" s="62">
        <f t="shared" si="0"/>
        <v>701.57414617929533</v>
      </c>
      <c r="S38" s="62">
        <f ca="1">AVERAGE(OFFSET($R$3,0,0,'Données projet'!$E$9+1,1))-AVERAGE(OFFSET($H$3,0,0,'Données projet'!$E$9+1,1))</f>
        <v>409.45931633551902</v>
      </c>
      <c r="T38" s="62">
        <f t="shared" si="34"/>
        <v>375.18886653687389</v>
      </c>
      <c r="U38" s="16">
        <f>IF(ISNA(VLOOKUP(A38,'Données projet'!$A$35:$I$55,3,0)),0,VLOOKUP(A38,'Données projet'!$A$35:$I$55,3,0))</f>
        <v>4</v>
      </c>
      <c r="V38" s="16">
        <f>IF(ISNA(VLOOKUP(A38,'Données projet'!$A$35:$I$55,4,0)),0,VLOOKUP(A38,'Données projet'!$A$35:$I$55,4,0))</f>
        <v>86.68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4.8010672166152366</v>
      </c>
      <c r="AA38" s="23">
        <f>EXP(-LN(2)/25)*AA37+(1-EXP(-LN(2)/25))/(LN(2)/25)*Calculateur!V38*Calculateur!X38*VLOOKUP('Données projet'!$B$9,Paramètres!$A$1:$I$89,3,0)*0.475*44/12</f>
        <v>16.815115392566764</v>
      </c>
      <c r="AB38" s="23">
        <f>EXP(-LN(2)/2)*AB37+(1-EXP(-LN(2)/2))/(LN(2)/2)*V38*Y38*VLOOKUP('Données projet'!$B$9,Paramètres!$A$1:$I$89,3,0)*0.475*44/12</f>
        <v>2.0508017718093097</v>
      </c>
      <c r="AC38" s="24">
        <f t="shared" si="3"/>
        <v>23.666984380991309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12.625</v>
      </c>
      <c r="AI38" s="14">
        <f>IF('Données projet'!$A$62&gt;35,AI37+AH38-AQ37,IF(A38&lt;'Données projet'!$A$62,$AF$205^A38,IF(A38='Données projet'!$A$62,'Données projet'!$B$62,AI37+AH38-AQ37)))</f>
        <v>300.12500000000006</v>
      </c>
      <c r="AJ38" s="14">
        <f>AI38*VLOOKUP('Données projet'!$B$10,Paramètres!$A$1:$I$89,3,0)*VLOOKUP('Données projet'!$B$10,Paramètres!$A$1:$I$89,5,0)</f>
        <v>179.47475000000006</v>
      </c>
      <c r="AK38" s="14">
        <f t="shared" si="35"/>
        <v>45.205307850969106</v>
      </c>
      <c r="AL38" s="22">
        <f t="shared" si="4"/>
        <v>391.31776742377127</v>
      </c>
      <c r="AM38" s="62">
        <f t="shared" si="5"/>
        <v>634.96830014834575</v>
      </c>
      <c r="AN38" s="62">
        <f ca="1">AVERAGE(OFFSET($AM$3,0,0,'Données projet'!$E$10+1,1))-AVERAGE(OFFSET($H$3,0,0,'Données projet'!$E$10+1,1))</f>
        <v>212.90262675152454</v>
      </c>
      <c r="AO38" s="62">
        <f t="shared" si="36"/>
        <v>366.51899340890498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9.4457840491710154</v>
      </c>
      <c r="AV38" s="23">
        <f>EXP(-LN(2)/25)*AV37+(1-EXP(-LN(2)/25))/(LN(2)/25)*Calculateur!AQ38*Calculateur!AS38*VLOOKUP('Données projet'!$B$10,Paramètres!$A$1:$I$89,3,0)*0.475*44/12</f>
        <v>2.9103180529481874</v>
      </c>
      <c r="AW38" s="23">
        <f>EXP(-LN(2)/2)*AW37+(1-EXP(-LN(2)/2))/(LN(2)/2)*AQ38*AT38*VLOOKUP('Données projet'!$B$10,Paramètres!$A$1:$I$89,3,0)*0.475*44/12</f>
        <v>0.53603968038634198</v>
      </c>
      <c r="AX38" s="23">
        <f t="shared" si="6"/>
        <v>12.892141782505544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201</v>
      </c>
      <c r="BB38" s="13">
        <f>VLOOKUP(A38,'Données projet'!$A$87:$I$107,9,0)</f>
        <v>12</v>
      </c>
      <c r="BC38" s="13">
        <f t="array" ref="BC38">INDEX(BB:BB,MIN(IF(ISNUMBER(BB38:BB234),ROW(BB38:BB234),"")))</f>
        <v>12</v>
      </c>
      <c r="BD38" s="13">
        <f>IF('Données projet'!$A$88&gt;35,BD37+BC38-BL37,IF(A38&lt;'Données projet'!$A$88,$BA$205^A38,IF(A38='Données projet'!$A$88,'Données projet'!$B$88,BD37+BC38-BL37)))</f>
        <v>200.99999999999997</v>
      </c>
      <c r="BE38" s="14">
        <f>BD38*VLOOKUP('Données projet'!$B$11,Paramètres!$A$1:$I$89,3,0)*VLOOKUP('Données projet'!$B$11,Paramètres!$A$1:$I$89,5,0)</f>
        <v>175.59359999999998</v>
      </c>
      <c r="BF38" s="14">
        <f t="shared" si="37"/>
        <v>44.340433728638573</v>
      </c>
      <c r="BG38" s="22">
        <f t="shared" si="7"/>
        <v>383.05177541071208</v>
      </c>
      <c r="BH38" s="62">
        <f t="shared" si="8"/>
        <v>626.70230813528656</v>
      </c>
      <c r="BI38" s="62">
        <f ca="1">AVERAGE(OFFSET($BH$3,0,0,'Données projet'!$E$11+1,1))-AVERAGE(OFFSET($H$3,0,0,'Données projet'!$E$11+1,1))</f>
        <v>342.02279578180605</v>
      </c>
      <c r="BJ38" s="62">
        <f t="shared" si="38"/>
        <v>409.02379334777754</v>
      </c>
      <c r="BK38" s="16">
        <f>IF(ISNA(VLOOKUP(A38,'Données projet'!$A$87:$I$107,3,0)),0,VLOOKUP(A38,'Données projet'!$A$87:$I$107,3,0))</f>
        <v>5</v>
      </c>
      <c r="BL38" s="16">
        <f>IF(ISNA(VLOOKUP(A38,'Données projet'!$A$87:$I$107,4,0)),0,VLOOKUP(A38,'Données projet'!$A$87:$I$107,4,0))</f>
        <v>42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206</v>
      </c>
      <c r="BW38" s="13">
        <f>VLOOKUP(A38,'Données projet'!$A$113:$I$133,9,0)</f>
        <v>13</v>
      </c>
      <c r="BX38" s="13">
        <f t="array" ref="BX38">INDEX(BW:BW,MIN(IF(ISNUMBER(BW38:BW234),ROW(BW38:BW234),"")))</f>
        <v>13</v>
      </c>
      <c r="BY38" s="13">
        <f>IF('Données projet'!$A$114&gt;35,BY37+BX38-CG37,IF(A38&lt;'Données projet'!$A$114,$BV$205^A38,IF(A38='Données projet'!$A$114,'Données projet'!$B$114,BY37+BX38-CG37)))</f>
        <v>205.99999999999991</v>
      </c>
      <c r="BZ38" s="14">
        <f>BY38*VLOOKUP('Données projet'!$B$12,Paramètres!$A$1:$I$89,3,0)*VLOOKUP('Données projet'!$B$12,Paramètres!$A$1:$I$89,5,0)</f>
        <v>163.89359999999994</v>
      </c>
      <c r="CA38" s="14">
        <f t="shared" si="39"/>
        <v>41.71949506642347</v>
      </c>
      <c r="CB38" s="22">
        <f t="shared" si="10"/>
        <v>358.10947390735402</v>
      </c>
      <c r="CC38" s="62">
        <f t="shared" si="11"/>
        <v>601.76000663192849</v>
      </c>
      <c r="CD38" s="62">
        <f ca="1">AVERAGE(OFFSET($CC$3,0,0,'Données projet'!$E$12+1,1))-AVERAGE(OFFSET($H$3,0,0,'Données projet'!$E$12+1,1))</f>
        <v>376.47942810265266</v>
      </c>
      <c r="CE38" s="62">
        <f t="shared" si="40"/>
        <v>362.87951024071265</v>
      </c>
      <c r="CF38" s="16">
        <f>IF(ISNA(VLOOKUP(A38,'Données projet'!$A$113:$I$133,3,0)),0,VLOOKUP(A38,'Données projet'!$A$113:$I$133,3,0))</f>
        <v>6</v>
      </c>
      <c r="CG38" s="16">
        <f>IF(ISNA(VLOOKUP(A38,'Données projet'!$A$113:$I$133,4,0)),0,VLOOKUP(A38,'Données projet'!$A$113:$I$133,4,0))</f>
        <v>35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15.166304330809643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15.166304330809643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206</v>
      </c>
      <c r="CR38" s="13">
        <f>VLOOKUP(A38,'Données projet'!$A$139:$I$159,9,0)</f>
        <v>13</v>
      </c>
      <c r="CS38" s="13">
        <f t="array" ref="CS38">INDEX(CR:CR,MIN(IF(ISNUMBER(CR38:CR234),ROW(CR38:CR234),"")))</f>
        <v>13</v>
      </c>
      <c r="CT38" s="13">
        <f>IF('Données projet'!$A$140&gt;35,CT37+CS38-DB37,IF(A38&lt;'Données projet'!$A$140,$CQ$205^A38,IF(A38='Données projet'!$A$140,'Données projet'!$B$140,CT37+CS38-DB37)))</f>
        <v>205.99999999999991</v>
      </c>
      <c r="CU38" s="18">
        <f>CT38*VLOOKUP('Données projet'!$B$13,Paramètres!$A$1:$I$89,3,0)*VLOOKUP('Données projet'!$B$13,Paramètres!$A$1:$I$89,5,0)</f>
        <v>151.03919999999994</v>
      </c>
      <c r="CV38" s="14">
        <f t="shared" si="41"/>
        <v>38.814652571726043</v>
      </c>
      <c r="CW38" s="22">
        <f t="shared" si="13"/>
        <v>330.66212656242277</v>
      </c>
      <c r="CX38" s="62">
        <f t="shared" si="14"/>
        <v>574.31265928699725</v>
      </c>
      <c r="CY38" s="62">
        <f ca="1">AVERAGE(OFFSET($CX$3,0,0,'Données projet'!$E$13+1,1))-AVERAGE(OFFSET($H$3,0,0,'Données projet'!$E$13+1,1))</f>
        <v>351.7223836693733</v>
      </c>
      <c r="CZ38" s="62">
        <f t="shared" si="42"/>
        <v>339.34942976598518</v>
      </c>
      <c r="DA38" s="16">
        <f>IF(ISNA(VLOOKUP(A38,'Données projet'!$A$139:$I$159,3,0)),0,VLOOKUP(A38,'Données projet'!$A$139:$I$159,3,0))</f>
        <v>6</v>
      </c>
      <c r="DB38" s="16">
        <f>IF(ISNA(VLOOKUP(A38,'Données projet'!$A$139:$I$159,4,0)),0,VLOOKUP(A38,'Données projet'!$A$139:$I$159,4,0))</f>
        <v>35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11.339660026846575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11.339660026846575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183.33333333333334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22.82714285714286</v>
      </c>
      <c r="N39" s="14">
        <f>IF('Données projet'!$A$36&gt;35,N38+M39-V38,IF(A39&lt;'Données projet'!$A$36,$K$205^A39,IF(A39='Données projet'!$A$36,'Données projet'!$B$36,N38+M39-V38)))</f>
        <v>313.26714285714286</v>
      </c>
      <c r="O39" s="14">
        <f>N39*VLOOKUP('Données projet'!$B$9,Paramètres!$A$1:$I$89,3,0)*VLOOKUP('Données projet'!$B$9,Paramètres!$A$1:$I$89,5,0)</f>
        <v>175.11633285714288</v>
      </c>
      <c r="P39" s="14">
        <f t="shared" si="33"/>
        <v>44.233926946721667</v>
      </c>
      <c r="Q39" s="22">
        <f t="shared" si="53"/>
        <v>382.03503582506414</v>
      </c>
      <c r="R39" s="62">
        <f t="shared" si="0"/>
        <v>626.54745406609857</v>
      </c>
      <c r="S39" s="62">
        <f ca="1">AVERAGE(OFFSET($R$3,0,0,'Données projet'!$E$9+1,1))-AVERAGE(OFFSET($H$3,0,0,'Données projet'!$E$9+1,1))</f>
        <v>409.45931633551902</v>
      </c>
      <c r="T39" s="62">
        <f t="shared" si="34"/>
        <v>375.18886653687389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4.7069212168592625</v>
      </c>
      <c r="AA39" s="23">
        <f>EXP(-LN(2)/25)*AA38+(1-EXP(-LN(2)/25))/(LN(2)/25)*Calculateur!V39*Calculateur!X39*VLOOKUP('Données projet'!$B$9,Paramètres!$A$1:$I$89,3,0)*0.475*44/12</f>
        <v>16.355305177888539</v>
      </c>
      <c r="AB39" s="23">
        <f>EXP(-LN(2)/2)*AB38+(1-EXP(-LN(2)/2))/(LN(2)/2)*V39*Y39*VLOOKUP('Données projet'!$B$9,Paramètres!$A$1:$I$89,3,0)*0.475*44/12</f>
        <v>1.4501358397157496</v>
      </c>
      <c r="AC39" s="24">
        <f t="shared" si="3"/>
        <v>22.512362234463552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12.625</v>
      </c>
      <c r="AI39" s="14">
        <f>IF('Données projet'!$A$62&gt;35,AI38+AH39-AQ38,IF(A39&lt;'Données projet'!$A$62,$AF$205^A39,IF(A39='Données projet'!$A$62,'Données projet'!$B$62,AI38+AH39-AQ38)))</f>
        <v>312.75000000000006</v>
      </c>
      <c r="AJ39" s="14">
        <f>AI39*VLOOKUP('Données projet'!$B$10,Paramètres!$A$1:$I$89,3,0)*VLOOKUP('Données projet'!$B$10,Paramètres!$A$1:$I$89,5,0)</f>
        <v>187.02450000000005</v>
      </c>
      <c r="AK39" s="14">
        <f t="shared" si="35"/>
        <v>46.881508940362963</v>
      </c>
      <c r="AL39" s="22">
        <f t="shared" si="4"/>
        <v>407.38629890446555</v>
      </c>
      <c r="AM39" s="62">
        <f t="shared" si="5"/>
        <v>651.89871714549997</v>
      </c>
      <c r="AN39" s="62">
        <f ca="1">AVERAGE(OFFSET($AM$3,0,0,'Données projet'!$E$10+1,1))-AVERAGE(OFFSET($H$3,0,0,'Données projet'!$E$10+1,1))</f>
        <v>212.90262675152454</v>
      </c>
      <c r="AO39" s="62">
        <f t="shared" si="36"/>
        <v>366.51899340890498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9.2605579853261553</v>
      </c>
      <c r="AV39" s="23">
        <f>EXP(-LN(2)/25)*AV38+(1-EXP(-LN(2)/25))/(LN(2)/25)*Calculateur!AQ39*Calculateur!AS39*VLOOKUP('Données projet'!$B$10,Paramètres!$A$1:$I$89,3,0)*0.475*44/12</f>
        <v>2.8307352527433443</v>
      </c>
      <c r="AW39" s="23">
        <f>EXP(-LN(2)/2)*AW38+(1-EXP(-LN(2)/2))/(LN(2)/2)*AQ39*AT39*VLOOKUP('Données projet'!$B$10,Paramètres!$A$1:$I$89,3,0)*0.475*44/12</f>
        <v>0.37903729298625199</v>
      </c>
      <c r="AX39" s="23">
        <f t="shared" si="6"/>
        <v>12.470330531055753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11</v>
      </c>
      <c r="BD39" s="13">
        <f>IF('Données projet'!$A$88&gt;35,BD38+BC39-BL38,IF(A39&lt;'Données projet'!$A$88,$BA$205^A39,IF(A39='Données projet'!$A$88,'Données projet'!$B$88,BD38+BC39-BL38)))</f>
        <v>169.99999999999997</v>
      </c>
      <c r="BE39" s="14">
        <f>BD39*VLOOKUP('Données projet'!$B$11,Paramètres!$A$1:$I$89,3,0)*VLOOKUP('Données projet'!$B$11,Paramètres!$A$1:$I$89,5,0)</f>
        <v>148.512</v>
      </c>
      <c r="BF39" s="14">
        <f t="shared" si="37"/>
        <v>38.240236326053513</v>
      </c>
      <c r="BG39" s="22">
        <f t="shared" si="7"/>
        <v>325.26014493454323</v>
      </c>
      <c r="BH39" s="62">
        <f t="shared" si="8"/>
        <v>569.77256317557772</v>
      </c>
      <c r="BI39" s="62">
        <f ca="1">AVERAGE(OFFSET($BH$3,0,0,'Données projet'!$E$11+1,1))-AVERAGE(OFFSET($H$3,0,0,'Données projet'!$E$11+1,1))</f>
        <v>342.02279578180605</v>
      </c>
      <c r="BJ39" s="62">
        <f t="shared" si="38"/>
        <v>409.02379334777754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11.4</v>
      </c>
      <c r="BY39" s="13">
        <f>IF('Données projet'!$A$114&gt;35,BY38+BX39-CG38,IF(A39&lt;'Données projet'!$A$114,$BV$205^A39,IF(A39='Données projet'!$A$114,'Données projet'!$B$114,BY38+BX39-CG38)))</f>
        <v>182.39999999999992</v>
      </c>
      <c r="BZ39" s="14">
        <f>BY39*VLOOKUP('Données projet'!$B$12,Paramètres!$A$1:$I$89,3,0)*VLOOKUP('Données projet'!$B$12,Paramètres!$A$1:$I$89,5,0)</f>
        <v>145.11743999999993</v>
      </c>
      <c r="CA39" s="14">
        <f t="shared" si="39"/>
        <v>37.466878406916173</v>
      </c>
      <c r="CB39" s="22">
        <f t="shared" si="10"/>
        <v>318.00102122537891</v>
      </c>
      <c r="CC39" s="62">
        <f t="shared" si="11"/>
        <v>562.51343946641327</v>
      </c>
      <c r="CD39" s="62">
        <f ca="1">AVERAGE(OFFSET($CC$3,0,0,'Données projet'!$E$12+1,1))-AVERAGE(OFFSET($H$3,0,0,'Données projet'!$E$12+1,1))</f>
        <v>376.47942810265266</v>
      </c>
      <c r="CE39" s="62">
        <f t="shared" si="40"/>
        <v>362.87951024071265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14.868902353414693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14.868902353414693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11.4</v>
      </c>
      <c r="CT39" s="13">
        <f>IF('Données projet'!$A$140&gt;35,CT38+CS39-DB38,IF(A39&lt;'Données projet'!$A$140,$CQ$205^A39,IF(A39='Données projet'!$A$140,'Données projet'!$B$140,CT38+CS39-DB38)))</f>
        <v>182.39999999999992</v>
      </c>
      <c r="CU39" s="18">
        <f>CT39*VLOOKUP('Données projet'!$B$13,Paramètres!$A$1:$I$89,3,0)*VLOOKUP('Données projet'!$B$13,Paramètres!$A$1:$I$89,5,0)</f>
        <v>133.73567999999992</v>
      </c>
      <c r="CV39" s="14">
        <f t="shared" si="41"/>
        <v>34.858136849359212</v>
      </c>
      <c r="CW39" s="22">
        <f t="shared" si="13"/>
        <v>293.63423101263379</v>
      </c>
      <c r="CX39" s="62">
        <f t="shared" si="14"/>
        <v>538.14664925366822</v>
      </c>
      <c r="CY39" s="62">
        <f ca="1">AVERAGE(OFFSET($CX$3,0,0,'Données projet'!$E$13+1,1))-AVERAGE(OFFSET($H$3,0,0,'Données projet'!$E$13+1,1))</f>
        <v>351.7223836693733</v>
      </c>
      <c r="CZ39" s="62">
        <f t="shared" si="42"/>
        <v>339.34942976598518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11.117296210229782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11.117296210229782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183.33333333333334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22.82714285714286</v>
      </c>
      <c r="N40" s="14">
        <f>IF('Données projet'!$A$36&gt;35,N39+M40-V39,IF(A40&lt;'Données projet'!$A$36,$K$205^A40,IF(A40='Données projet'!$A$36,'Données projet'!$B$36,N39+M40-V39)))</f>
        <v>336.09428571428572</v>
      </c>
      <c r="O40" s="14">
        <f>N40*VLOOKUP('Données projet'!$B$9,Paramètres!$A$1:$I$89,3,0)*VLOOKUP('Données projet'!$B$9,Paramètres!$A$1:$I$89,5,0)</f>
        <v>187.87670571428572</v>
      </c>
      <c r="P40" s="14">
        <f t="shared" si="33"/>
        <v>47.070216037627915</v>
      </c>
      <c r="Q40" s="22">
        <f t="shared" si="53"/>
        <v>409.19922205124954</v>
      </c>
      <c r="R40" s="62">
        <f t="shared" si="0"/>
        <v>654.55857402192066</v>
      </c>
      <c r="S40" s="62">
        <f ca="1">AVERAGE(OFFSET($R$3,0,0,'Données projet'!$E$9+1,1))-AVERAGE(OFFSET($H$3,0,0,'Données projet'!$E$9+1,1))</f>
        <v>409.45931633551902</v>
      </c>
      <c r="T40" s="62">
        <f t="shared" si="34"/>
        <v>375.18886653687389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4.6146213627351127</v>
      </c>
      <c r="AA40" s="23">
        <f>EXP(-LN(2)/25)*AA39+(1-EXP(-LN(2)/25))/(LN(2)/25)*Calculateur!V40*Calculateur!X40*VLOOKUP('Données projet'!$B$9,Paramètres!$A$1:$I$89,3,0)*0.475*44/12</f>
        <v>15.908068497711058</v>
      </c>
      <c r="AB40" s="23">
        <f>EXP(-LN(2)/2)*AB39+(1-EXP(-LN(2)/2))/(LN(2)/2)*V40*Y40*VLOOKUP('Données projet'!$B$9,Paramètres!$A$1:$I$89,3,0)*0.475*44/12</f>
        <v>1.0254008859046548</v>
      </c>
      <c r="AC40" s="24">
        <f t="shared" si="3"/>
        <v>21.548090746350827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12.625</v>
      </c>
      <c r="AI40" s="14">
        <f>IF('Données projet'!$A$62&gt;35,AI39+AH40-AQ39,IF(A40&lt;'Données projet'!$A$62,$AF$205^A40,IF(A40='Données projet'!$A$62,'Données projet'!$B$62,AI39+AH40-AQ39)))</f>
        <v>325.37500000000006</v>
      </c>
      <c r="AJ40" s="14">
        <f>AI40*VLOOKUP('Données projet'!$B$10,Paramètres!$A$1:$I$89,3,0)*VLOOKUP('Données projet'!$B$10,Paramètres!$A$1:$I$89,5,0)</f>
        <v>194.57425000000006</v>
      </c>
      <c r="AK40" s="14">
        <f t="shared" si="35"/>
        <v>48.54985011520143</v>
      </c>
      <c r="AL40" s="22">
        <f t="shared" si="4"/>
        <v>423.44114103397595</v>
      </c>
      <c r="AM40" s="62">
        <f t="shared" si="5"/>
        <v>668.80049300464702</v>
      </c>
      <c r="AN40" s="62">
        <f ca="1">AVERAGE(OFFSET($AM$3,0,0,'Données projet'!$E$10+1,1))-AVERAGE(OFFSET($H$3,0,0,'Données projet'!$E$10+1,1))</f>
        <v>212.90262675152454</v>
      </c>
      <c r="AO40" s="62">
        <f t="shared" si="36"/>
        <v>366.51899340890498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9.0789640916165482</v>
      </c>
      <c r="AV40" s="23">
        <f>EXP(-LN(2)/25)*AV39+(1-EXP(-LN(2)/25))/(LN(2)/25)*Calculateur!AQ40*Calculateur!AS40*VLOOKUP('Données projet'!$B$10,Paramètres!$A$1:$I$89,3,0)*0.475*44/12</f>
        <v>2.7533286483951804</v>
      </c>
      <c r="AW40" s="23">
        <f>EXP(-LN(2)/2)*AW39+(1-EXP(-LN(2)/2))/(LN(2)/2)*AQ40*AT40*VLOOKUP('Données projet'!$B$10,Paramètres!$A$1:$I$89,3,0)*0.475*44/12</f>
        <v>0.26801984019317099</v>
      </c>
      <c r="AX40" s="23">
        <f t="shared" si="6"/>
        <v>12.1003125802049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11</v>
      </c>
      <c r="BD40" s="13">
        <f>IF('Données projet'!$A$88&gt;35,BD39+BC40-BL39,IF(A40&lt;'Données projet'!$A$88,$BA$205^A40,IF(A40='Données projet'!$A$88,'Données projet'!$B$88,BD39+BC40-BL39)))</f>
        <v>180.99999999999997</v>
      </c>
      <c r="BE40" s="14">
        <f>BD40*VLOOKUP('Données projet'!$B$11,Paramètres!$A$1:$I$89,3,0)*VLOOKUP('Données projet'!$B$11,Paramètres!$A$1:$I$89,5,0)</f>
        <v>158.1216</v>
      </c>
      <c r="BF40" s="14">
        <f t="shared" si="37"/>
        <v>40.418546284954211</v>
      </c>
      <c r="BG40" s="22">
        <f t="shared" si="7"/>
        <v>345.79075477962851</v>
      </c>
      <c r="BH40" s="62">
        <f t="shared" si="8"/>
        <v>591.15010675029964</v>
      </c>
      <c r="BI40" s="62">
        <f ca="1">AVERAGE(OFFSET($BH$3,0,0,'Données projet'!$E$11+1,1))-AVERAGE(OFFSET($H$3,0,0,'Données projet'!$E$11+1,1))</f>
        <v>342.02279578180605</v>
      </c>
      <c r="BJ40" s="62">
        <f t="shared" si="38"/>
        <v>409.02379334777754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11.4</v>
      </c>
      <c r="BY40" s="13">
        <f>IF('Données projet'!$A$114&gt;35,BY39+BX40-CG39,IF(A40&lt;'Données projet'!$A$114,$BV$205^A40,IF(A40='Données projet'!$A$114,'Données projet'!$B$114,BY39+BX40-CG39)))</f>
        <v>193.79999999999993</v>
      </c>
      <c r="BZ40" s="14">
        <f>BY40*VLOOKUP('Données projet'!$B$12,Paramètres!$A$1:$I$89,3,0)*VLOOKUP('Données projet'!$B$12,Paramètres!$A$1:$I$89,5,0)</f>
        <v>154.18727999999996</v>
      </c>
      <c r="CA40" s="14">
        <f t="shared" si="39"/>
        <v>39.528629863903078</v>
      </c>
      <c r="CB40" s="22">
        <f t="shared" si="10"/>
        <v>337.38854301296448</v>
      </c>
      <c r="CC40" s="62">
        <f t="shared" si="11"/>
        <v>582.74789498363555</v>
      </c>
      <c r="CD40" s="62">
        <f ca="1">AVERAGE(OFFSET($CC$3,0,0,'Données projet'!$E$12+1,1))-AVERAGE(OFFSET($H$3,0,0,'Données projet'!$E$12+1,1))</f>
        <v>376.47942810265266</v>
      </c>
      <c r="CE40" s="62">
        <f t="shared" si="40"/>
        <v>362.87951024071265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14.577332247399164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14.577332247399164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11.4</v>
      </c>
      <c r="CT40" s="13">
        <f>IF('Données projet'!$A$140&gt;35,CT39+CS40-DB39,IF(A40&lt;'Données projet'!$A$140,$CQ$205^A40,IF(A40='Données projet'!$A$140,'Données projet'!$B$140,CT39+CS40-DB39)))</f>
        <v>193.79999999999993</v>
      </c>
      <c r="CU40" s="18">
        <f>CT40*VLOOKUP('Données projet'!$B$13,Paramètres!$A$1:$I$89,3,0)*VLOOKUP('Données projet'!$B$13,Paramètres!$A$1:$I$89,5,0)</f>
        <v>142.09415999999993</v>
      </c>
      <c r="CV40" s="14">
        <f t="shared" si="41"/>
        <v>36.776332799832325</v>
      </c>
      <c r="CW40" s="22">
        <f t="shared" si="13"/>
        <v>311.53277495970787</v>
      </c>
      <c r="CX40" s="62">
        <f t="shared" si="14"/>
        <v>556.89212693037894</v>
      </c>
      <c r="CY40" s="62">
        <f ca="1">AVERAGE(OFFSET($CX$3,0,0,'Données projet'!$E$13+1,1))-AVERAGE(OFFSET($H$3,0,0,'Données projet'!$E$13+1,1))</f>
        <v>351.7223836693733</v>
      </c>
      <c r="CZ40" s="62">
        <f t="shared" si="42"/>
        <v>339.34942976598518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10.899292812428307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10.899292812428307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183.33333333333334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22.82714285714286</v>
      </c>
      <c r="N41" s="14">
        <f>IF('Données projet'!$A$36&gt;35,N40+M41-V40,IF(A41&lt;'Données projet'!$A$36,$K$205^A41,IF(A41='Données projet'!$A$36,'Données projet'!$B$36,N40+M41-V40)))</f>
        <v>358.92142857142858</v>
      </c>
      <c r="O41" s="14">
        <f>N41*VLOOKUP('Données projet'!$B$9,Paramètres!$A$1:$I$89,3,0)*VLOOKUP('Données projet'!$B$9,Paramètres!$A$1:$I$89,5,0)</f>
        <v>200.63707857142856</v>
      </c>
      <c r="P41" s="14">
        <f t="shared" si="33"/>
        <v>49.884152387105956</v>
      </c>
      <c r="Q41" s="22">
        <f t="shared" si="53"/>
        <v>436.32447725278098</v>
      </c>
      <c r="R41" s="62">
        <f t="shared" si="0"/>
        <v>682.51607054633973</v>
      </c>
      <c r="S41" s="62">
        <f ca="1">AVERAGE(OFFSET($R$3,0,0,'Données projet'!$E$9+1,1))-AVERAGE(OFFSET($H$3,0,0,'Données projet'!$E$9+1,1))</f>
        <v>409.45931633551902</v>
      </c>
      <c r="T41" s="62">
        <f t="shared" si="34"/>
        <v>375.18886653687389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4.5241314524529859</v>
      </c>
      <c r="AA41" s="23">
        <f>EXP(-LN(2)/25)*AA40+(1-EXP(-LN(2)/25))/(LN(2)/25)*Calculateur!V41*Calculateur!X41*VLOOKUP('Données projet'!$B$9,Paramètres!$A$1:$I$89,3,0)*0.475*44/12</f>
        <v>15.473061528072185</v>
      </c>
      <c r="AB41" s="23">
        <f>EXP(-LN(2)/2)*AB40+(1-EXP(-LN(2)/2))/(LN(2)/2)*V41*Y41*VLOOKUP('Données projet'!$B$9,Paramètres!$A$1:$I$89,3,0)*0.475*44/12</f>
        <v>0.72506791985787478</v>
      </c>
      <c r="AC41" s="24">
        <f t="shared" si="3"/>
        <v>20.722260900383045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>
        <f>VLOOKUP(A41,'Données projet'!$A$61:$I$81,2,0)</f>
        <v>338</v>
      </c>
      <c r="AG41" s="13">
        <f>VLOOKUP(A41,'Données projet'!$A$61:$I$81,9,0)</f>
        <v>12.625</v>
      </c>
      <c r="AH41" s="13">
        <f t="array" ref="AH41">INDEX(AG:AG,MIN(IF(ISNUMBER(AG41:AG237),ROW(AG41:AG237),"")))</f>
        <v>12.625</v>
      </c>
      <c r="AI41" s="14">
        <f>IF('Données projet'!$A$62&gt;35,AI40+AH41-AQ40,IF(A41&lt;'Données projet'!$A$62,$AF$205^A41,IF(A41='Données projet'!$A$62,'Données projet'!$B$62,AI40+AH41-AQ40)))</f>
        <v>338.00000000000006</v>
      </c>
      <c r="AJ41" s="14">
        <f>AI41*VLOOKUP('Données projet'!$B$10,Paramètres!$A$1:$I$89,3,0)*VLOOKUP('Données projet'!$B$10,Paramètres!$A$1:$I$89,5,0)</f>
        <v>202.12400000000008</v>
      </c>
      <c r="AK41" s="14">
        <f t="shared" si="35"/>
        <v>50.210671256169846</v>
      </c>
      <c r="AL41" s="22">
        <f t="shared" si="4"/>
        <v>439.48288577116256</v>
      </c>
      <c r="AM41" s="62">
        <f t="shared" si="5"/>
        <v>685.67447906472125</v>
      </c>
      <c r="AN41" s="62">
        <f ca="1">AVERAGE(OFFSET($AM$3,0,0,'Données projet'!$E$10+1,1))-AVERAGE(OFFSET($H$3,0,0,'Données projet'!$E$10+1,1))</f>
        <v>212.90262675152454</v>
      </c>
      <c r="AO41" s="62">
        <f t="shared" si="36"/>
        <v>366.51899340890498</v>
      </c>
      <c r="AP41" s="16">
        <f>IF(ISNA(VLOOKUP(A41,'Données projet'!$A$61:$I$81,3,0)),0,VLOOKUP(A41,'Données projet'!$A$61:$I$81,3,0))</f>
        <v>5</v>
      </c>
      <c r="AQ41" s="16">
        <f>IF(ISNA(VLOOKUP(A41,'Données projet'!$A$61:$I$81,4,0)),0,VLOOKUP(A41,'Données projet'!$A$61:$I$81,4,0))</f>
        <v>338</v>
      </c>
      <c r="AR41" s="17">
        <f>IF(ISNA(VLOOKUP(A41,'Données projet'!$A$61:$I$81,5,0)),0%,VLOOKUP(A41,'Données projet'!$A$61:$I$81,5,0)*VLOOKUP('Données projet'!$B$10,Paramètres!$A$1:$I$89,7,0))</f>
        <v>0.315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0.3</v>
      </c>
      <c r="AU41" s="23">
        <f>EXP(-LN(2)/35)*AU40+(1-EXP(-LN(2)/35))/(LN(2)/35)*AQ41*AR41*VLOOKUP('Données projet'!$B$10,Paramètres!$A$1:$I$89,3,0)*0.475*44/12</f>
        <v>93.362043050648666</v>
      </c>
      <c r="AV41" s="23">
        <f>EXP(-LN(2)/25)*AV40+(1-EXP(-LN(2)/25))/(LN(2)/25)*Calculateur!AQ41*Calculateur!AS41*VLOOKUP('Données projet'!$B$10,Paramètres!$A$1:$I$89,3,0)*0.475*44/12</f>
        <v>2.6780387317135532</v>
      </c>
      <c r="AW41" s="23">
        <f>EXP(-LN(2)/2)*AW40+(1-EXP(-LN(2)/2))/(LN(2)/2)*AQ41*AT41*VLOOKUP('Données projet'!$B$10,Paramètres!$A$1:$I$89,3,0)*0.475*44/12</f>
        <v>68.844914918064944</v>
      </c>
      <c r="AX41" s="23">
        <f t="shared" si="6"/>
        <v>164.88499670042717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11</v>
      </c>
      <c r="BD41" s="13">
        <f>IF('Données projet'!$A$88&gt;35,BD40+BC41-BL40,IF(A41&lt;'Données projet'!$A$88,$BA$205^A41,IF(A41='Données projet'!$A$88,'Données projet'!$B$88,BD40+BC41-BL40)))</f>
        <v>191.99999999999997</v>
      </c>
      <c r="BE41" s="14">
        <f>BD41*VLOOKUP('Données projet'!$B$11,Paramètres!$A$1:$I$89,3,0)*VLOOKUP('Données projet'!$B$11,Paramètres!$A$1:$I$89,5,0)</f>
        <v>167.7312</v>
      </c>
      <c r="BF41" s="14">
        <f t="shared" si="37"/>
        <v>42.581491199832655</v>
      </c>
      <c r="BG41" s="22">
        <f t="shared" si="7"/>
        <v>366.29460383970854</v>
      </c>
      <c r="BH41" s="62">
        <f t="shared" si="8"/>
        <v>612.4861971332673</v>
      </c>
      <c r="BI41" s="62">
        <f ca="1">AVERAGE(OFFSET($BH$3,0,0,'Données projet'!$E$11+1,1))-AVERAGE(OFFSET($H$3,0,0,'Données projet'!$E$11+1,1))</f>
        <v>342.02279578180605</v>
      </c>
      <c r="BJ41" s="62">
        <f t="shared" si="38"/>
        <v>409.02379334777754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11.4</v>
      </c>
      <c r="BY41" s="13">
        <f>IF('Données projet'!$A$114&gt;35,BY40+BX41-CG40,IF(A41&lt;'Données projet'!$A$114,$BV$205^A41,IF(A41='Données projet'!$A$114,'Données projet'!$B$114,BY40+BX41-CG40)))</f>
        <v>205.19999999999993</v>
      </c>
      <c r="BZ41" s="14">
        <f>BY41*VLOOKUP('Données projet'!$B$12,Paramètres!$A$1:$I$89,3,0)*VLOOKUP('Données projet'!$B$12,Paramètres!$A$1:$I$89,5,0)</f>
        <v>163.25711999999996</v>
      </c>
      <c r="CA41" s="14">
        <f t="shared" si="39"/>
        <v>41.576304038313033</v>
      </c>
      <c r="CB41" s="22">
        <f t="shared" si="10"/>
        <v>356.7515468667284</v>
      </c>
      <c r="CC41" s="62">
        <f t="shared" si="11"/>
        <v>602.94314016028716</v>
      </c>
      <c r="CD41" s="62">
        <f ca="1">AVERAGE(OFFSET($CC$3,0,0,'Données projet'!$E$12+1,1))-AVERAGE(OFFSET($H$3,0,0,'Données projet'!$E$12+1,1))</f>
        <v>376.47942810265266</v>
      </c>
      <c r="CE41" s="62">
        <f t="shared" si="40"/>
        <v>362.87951024071265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14.291479653322396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14.291479653322396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11.4</v>
      </c>
      <c r="CT41" s="13">
        <f>IF('Données projet'!$A$140&gt;35,CT40+CS41-DB40,IF(A41&lt;'Données projet'!$A$140,$CQ$205^A41,IF(A41='Données projet'!$A$140,'Données projet'!$B$140,CT40+CS41-DB40)))</f>
        <v>205.19999999999993</v>
      </c>
      <c r="CU41" s="18">
        <f>CT41*VLOOKUP('Données projet'!$B$13,Paramètres!$A$1:$I$89,3,0)*VLOOKUP('Données projet'!$B$13,Paramètres!$A$1:$I$89,5,0)</f>
        <v>150.45263999999995</v>
      </c>
      <c r="CV41" s="14">
        <f t="shared" si="41"/>
        <v>38.681431639913605</v>
      </c>
      <c r="CW41" s="22">
        <f t="shared" si="13"/>
        <v>329.40850810618275</v>
      </c>
      <c r="CX41" s="62">
        <f t="shared" si="14"/>
        <v>575.60010139974145</v>
      </c>
      <c r="CY41" s="62">
        <f ca="1">AVERAGE(OFFSET($CX$3,0,0,'Données projet'!$E$13+1,1))-AVERAGE(OFFSET($H$3,0,0,'Données projet'!$E$13+1,1))</f>
        <v>351.7223836693733</v>
      </c>
      <c r="CZ41" s="62">
        <f t="shared" si="42"/>
        <v>339.34942976598518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10.685564328288777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10.685564328288777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183.33333333333334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22.82714285714286</v>
      </c>
      <c r="N42" s="14">
        <f>IF('Données projet'!$A$36&gt;35,N41+M42-V41,IF(A42&lt;'Données projet'!$A$36,$K$205^A42,IF(A42='Données projet'!$A$36,'Données projet'!$B$36,N41+M42-V41)))</f>
        <v>381.74857142857144</v>
      </c>
      <c r="O42" s="14">
        <f>N42*VLOOKUP('Données projet'!$B$9,Paramètres!$A$1:$I$89,3,0)*VLOOKUP('Données projet'!$B$9,Paramètres!$A$1:$I$89,5,0)</f>
        <v>213.39745142857146</v>
      </c>
      <c r="P42" s="14">
        <f t="shared" si="33"/>
        <v>52.67731943158536</v>
      </c>
      <c r="Q42" s="22">
        <f t="shared" si="53"/>
        <v>463.41355924810642</v>
      </c>
      <c r="R42" s="62">
        <f t="shared" si="0"/>
        <v>710.42295633821357</v>
      </c>
      <c r="S42" s="62">
        <f ca="1">AVERAGE(OFFSET($R$3,0,0,'Données projet'!$E$9+1,1))-AVERAGE(OFFSET($H$3,0,0,'Données projet'!$E$9+1,1))</f>
        <v>409.45931633551902</v>
      </c>
      <c r="T42" s="62">
        <f t="shared" si="34"/>
        <v>375.18886653687389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4.4354159941180962</v>
      </c>
      <c r="AA42" s="23">
        <f>EXP(-LN(2)/25)*AA41+(1-EXP(-LN(2)/25))/(LN(2)/25)*Calculateur!V42*Calculateur!X42*VLOOKUP('Données projet'!$B$9,Paramètres!$A$1:$I$89,3,0)*0.475*44/12</f>
        <v>15.049949846894108</v>
      </c>
      <c r="AB42" s="23">
        <f>EXP(-LN(2)/2)*AB41+(1-EXP(-LN(2)/2))/(LN(2)/2)*V42*Y42*VLOOKUP('Données projet'!$B$9,Paramètres!$A$1:$I$89,3,0)*0.475*44/12</f>
        <v>0.51270044295232742</v>
      </c>
      <c r="AC42" s="24">
        <f t="shared" si="3"/>
        <v>19.99806628396453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5.6843418860808015E-14</v>
      </c>
      <c r="AJ42" s="14">
        <f>AI42*VLOOKUP('Données projet'!$B$10,Paramètres!$A$1:$I$89,3,0)*VLOOKUP('Données projet'!$B$10,Paramètres!$A$1:$I$89,5,0)</f>
        <v>3.3992364478763198E-14</v>
      </c>
      <c r="AK42" s="14">
        <f t="shared" si="35"/>
        <v>5.790027782444094E-13</v>
      </c>
      <c r="AL42" s="22">
        <f t="shared" si="4"/>
        <v>1.0676332069095257E-12</v>
      </c>
      <c r="AM42" s="62">
        <f t="shared" si="5"/>
        <v>247.00939709010819</v>
      </c>
      <c r="AN42" s="62">
        <f ca="1">AVERAGE(OFFSET($AM$3,0,0,'Données projet'!$E$10+1,1))-AVERAGE(OFFSET($H$3,0,0,'Données projet'!$E$10+1,1))</f>
        <v>212.90262675152454</v>
      </c>
      <c r="AO42" s="62">
        <f t="shared" si="36"/>
        <v>366.51899340890498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91.531270331648827</v>
      </c>
      <c r="AV42" s="23">
        <f>EXP(-LN(2)/25)*AV41+(1-EXP(-LN(2)/25))/(LN(2)/25)*Calculateur!AQ42*Calculateur!AS42*VLOOKUP('Données projet'!$B$10,Paramètres!$A$1:$I$89,3,0)*0.475*44/12</f>
        <v>2.6048076217629101</v>
      </c>
      <c r="AW42" s="23">
        <f>EXP(-LN(2)/2)*AW41+(1-EXP(-LN(2)/2))/(LN(2)/2)*AQ42*AT42*VLOOKUP('Données projet'!$B$10,Paramètres!$A$1:$I$89,3,0)*0.475*44/12</f>
        <v>48.680706188774636</v>
      </c>
      <c r="AX42" s="23">
        <f t="shared" si="6"/>
        <v>142.81678414218638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11</v>
      </c>
      <c r="BD42" s="13">
        <f>IF('Données projet'!$A$88&gt;35,BD41+BC42-BL41,IF(A42&lt;'Données projet'!$A$88,$BA$205^A42,IF(A42='Données projet'!$A$88,'Données projet'!$B$88,BD41+BC42-BL41)))</f>
        <v>202.99999999999997</v>
      </c>
      <c r="BE42" s="14">
        <f>BD42*VLOOKUP('Données projet'!$B$11,Paramètres!$A$1:$I$89,3,0)*VLOOKUP('Données projet'!$B$11,Paramètres!$A$1:$I$89,5,0)</f>
        <v>177.3408</v>
      </c>
      <c r="BF42" s="14">
        <f t="shared" si="37"/>
        <v>44.730051658603102</v>
      </c>
      <c r="BG42" s="22">
        <f t="shared" si="7"/>
        <v>386.77339997206701</v>
      </c>
      <c r="BH42" s="62">
        <f t="shared" si="8"/>
        <v>633.78279706217415</v>
      </c>
      <c r="BI42" s="62">
        <f ca="1">AVERAGE(OFFSET($BH$3,0,0,'Données projet'!$E$11+1,1))-AVERAGE(OFFSET($H$3,0,0,'Données projet'!$E$11+1,1))</f>
        <v>342.02279578180605</v>
      </c>
      <c r="BJ42" s="62">
        <f t="shared" si="38"/>
        <v>409.02379334777754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11.4</v>
      </c>
      <c r="BY42" s="13">
        <f>IF('Données projet'!$A$114&gt;35,BY41+BX42-CG41,IF(A42&lt;'Données projet'!$A$114,$BV$205^A42,IF(A42='Données projet'!$A$114,'Données projet'!$B$114,BY41+BX42-CG41)))</f>
        <v>216.59999999999994</v>
      </c>
      <c r="BZ42" s="14">
        <f>BY42*VLOOKUP('Données projet'!$B$12,Paramètres!$A$1:$I$89,3,0)*VLOOKUP('Données projet'!$B$12,Paramètres!$A$1:$I$89,5,0)</f>
        <v>172.32695999999996</v>
      </c>
      <c r="CA42" s="14">
        <f t="shared" si="39"/>
        <v>43.610772138081288</v>
      </c>
      <c r="CB42" s="22">
        <f t="shared" si="10"/>
        <v>376.09155014049139</v>
      </c>
      <c r="CC42" s="62">
        <f t="shared" si="11"/>
        <v>623.10094723059854</v>
      </c>
      <c r="CD42" s="62">
        <f ca="1">AVERAGE(OFFSET($CC$3,0,0,'Données projet'!$E$12+1,1))-AVERAGE(OFFSET($H$3,0,0,'Données projet'!$E$12+1,1))</f>
        <v>376.47942810265266</v>
      </c>
      <c r="CE42" s="62">
        <f t="shared" si="40"/>
        <v>362.87951024071265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14.011232454262606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14.011232454262606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11.4</v>
      </c>
      <c r="CT42" s="13">
        <f>IF('Données projet'!$A$140&gt;35,CT41+CS42-DB41,IF(A42&lt;'Données projet'!$A$140,$CQ$205^A42,IF(A42='Données projet'!$A$140,'Données projet'!$B$140,CT41+CS42-DB41)))</f>
        <v>216.59999999999994</v>
      </c>
      <c r="CU42" s="18">
        <f>CT42*VLOOKUP('Données projet'!$B$13,Paramètres!$A$1:$I$89,3,0)*VLOOKUP('Données projet'!$B$13,Paramètres!$A$1:$I$89,5,0)</f>
        <v>158.81111999999996</v>
      </c>
      <c r="CV42" s="14">
        <f t="shared" si="41"/>
        <v>40.57424391712447</v>
      </c>
      <c r="CW42" s="22">
        <f t="shared" si="13"/>
        <v>347.26284215565835</v>
      </c>
      <c r="CX42" s="62">
        <f t="shared" si="14"/>
        <v>594.27223924576549</v>
      </c>
      <c r="CY42" s="62">
        <f ca="1">AVERAGE(OFFSET($CX$3,0,0,'Données projet'!$E$13+1,1))-AVERAGE(OFFSET($H$3,0,0,'Données projet'!$E$13+1,1))</f>
        <v>351.7223836693733</v>
      </c>
      <c r="CZ42" s="62">
        <f t="shared" si="42"/>
        <v>339.34942976598518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10.476026929361719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10.476026929361719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183.33333333333334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22.82714285714286</v>
      </c>
      <c r="N43" s="14">
        <f>IF('Données projet'!$A$36&gt;35,N42+M43-V42,IF(A43&lt;'Données projet'!$A$36,$K$205^A43,IF(A43='Données projet'!$A$36,'Données projet'!$B$36,N42+M43-V42)))</f>
        <v>404.5757142857143</v>
      </c>
      <c r="O43" s="14">
        <f>N43*VLOOKUP('Données projet'!$B$9,Paramètres!$A$1:$I$89,3,0)*VLOOKUP('Données projet'!$B$9,Paramètres!$A$1:$I$89,5,0)</f>
        <v>226.1578242857143</v>
      </c>
      <c r="P43" s="14">
        <f t="shared" si="33"/>
        <v>55.451100541643569</v>
      </c>
      <c r="Q43" s="22">
        <f t="shared" si="53"/>
        <v>490.46887740764834</v>
      </c>
      <c r="R43" s="62">
        <f t="shared" si="0"/>
        <v>738.28189122676918</v>
      </c>
      <c r="S43" s="62">
        <f ca="1">AVERAGE(OFFSET($R$3,0,0,'Données projet'!$E$9+1,1))-AVERAGE(OFFSET($H$3,0,0,'Données projet'!$E$9+1,1))</f>
        <v>409.45931633551902</v>
      </c>
      <c r="T43" s="62">
        <f t="shared" si="34"/>
        <v>375.18886653687389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4.3484401918100666</v>
      </c>
      <c r="AA43" s="23">
        <f>EXP(-LN(2)/25)*AA42+(1-EXP(-LN(2)/25))/(LN(2)/25)*Calculateur!V43*Calculateur!X43*VLOOKUP('Données projet'!$B$9,Paramètres!$A$1:$I$89,3,0)*0.475*44/12</f>
        <v>14.638408176888325</v>
      </c>
      <c r="AB43" s="23">
        <f>EXP(-LN(2)/2)*AB42+(1-EXP(-LN(2)/2))/(LN(2)/2)*V43*Y43*VLOOKUP('Données projet'!$B$9,Paramètres!$A$1:$I$89,3,0)*0.475*44/12</f>
        <v>0.36253395992893739</v>
      </c>
      <c r="AC43" s="24">
        <f t="shared" si="3"/>
        <v>19.349382328627328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5.6843418860808015E-14</v>
      </c>
      <c r="AJ43" s="14">
        <f>AI43*VLOOKUP('Données projet'!$B$10,Paramètres!$A$1:$I$89,3,0)*VLOOKUP('Données projet'!$B$10,Paramètres!$A$1:$I$89,5,0)</f>
        <v>3.3992364478763198E-14</v>
      </c>
      <c r="AK43" s="14">
        <f t="shared" si="35"/>
        <v>5.790027782444094E-13</v>
      </c>
      <c r="AL43" s="22">
        <f t="shared" si="4"/>
        <v>1.0676332069095257E-12</v>
      </c>
      <c r="AM43" s="62">
        <f t="shared" si="5"/>
        <v>247.81301381912189</v>
      </c>
      <c r="AN43" s="62">
        <f ca="1">AVERAGE(OFFSET($AM$3,0,0,'Données projet'!$E$10+1,1))-AVERAGE(OFFSET($H$3,0,0,'Données projet'!$E$10+1,1))</f>
        <v>212.90262675152454</v>
      </c>
      <c r="AO43" s="62">
        <f t="shared" si="36"/>
        <v>366.51899340890498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89.736397949007483</v>
      </c>
      <c r="AV43" s="23">
        <f>EXP(-LN(2)/25)*AV42+(1-EXP(-LN(2)/25))/(LN(2)/25)*Calculateur!AQ43*Calculateur!AS43*VLOOKUP('Données projet'!$B$10,Paramètres!$A$1:$I$89,3,0)*0.475*44/12</f>
        <v>2.533579020364924</v>
      </c>
      <c r="AW43" s="23">
        <f>EXP(-LN(2)/2)*AW42+(1-EXP(-LN(2)/2))/(LN(2)/2)*AQ43*AT43*VLOOKUP('Données projet'!$B$10,Paramètres!$A$1:$I$89,3,0)*0.475*44/12</f>
        <v>34.422457459032479</v>
      </c>
      <c r="AX43" s="23">
        <f t="shared" si="6"/>
        <v>126.69243442840488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214</v>
      </c>
      <c r="BB43" s="13">
        <f>VLOOKUP(A43,'Données projet'!$A$87:$I$107,9,0)</f>
        <v>11</v>
      </c>
      <c r="BC43" s="13">
        <f t="array" ref="BC43">INDEX(BB:BB,MIN(IF(ISNUMBER(BB43:BB239),ROW(BB43:BB239),"")))</f>
        <v>11</v>
      </c>
      <c r="BD43" s="13">
        <f>IF('Données projet'!$A$88&gt;35,BD42+BC43-BL42,IF(A43&lt;'Données projet'!$A$88,$BA$205^A43,IF(A43='Données projet'!$A$88,'Données projet'!$B$88,BD42+BC43-BL42)))</f>
        <v>213.99999999999997</v>
      </c>
      <c r="BE43" s="14">
        <f>BD43*VLOOKUP('Données projet'!$B$11,Paramètres!$A$1:$I$89,3,0)*VLOOKUP('Données projet'!$B$11,Paramètres!$A$1:$I$89,5,0)</f>
        <v>186.9504</v>
      </c>
      <c r="BF43" s="14">
        <f t="shared" si="37"/>
        <v>46.865095976617653</v>
      </c>
      <c r="BG43" s="22">
        <f t="shared" si="7"/>
        <v>407.22865549260905</v>
      </c>
      <c r="BH43" s="62">
        <f t="shared" si="8"/>
        <v>655.04166931172983</v>
      </c>
      <c r="BI43" s="62">
        <f ca="1">AVERAGE(OFFSET($BH$3,0,0,'Données projet'!$E$11+1,1))-AVERAGE(OFFSET($H$3,0,0,'Données projet'!$E$11+1,1))</f>
        <v>342.02279578180605</v>
      </c>
      <c r="BJ43" s="62">
        <f t="shared" si="38"/>
        <v>409.02379334777754</v>
      </c>
      <c r="BK43" s="16">
        <f>IF(ISNA(VLOOKUP(A43,'Données projet'!$A$87:$I$107,3,0)),0,VLOOKUP(A43,'Données projet'!$A$87:$I$107,3,0))</f>
        <v>6</v>
      </c>
      <c r="BL43" s="16">
        <f>IF(ISNA(VLOOKUP(A43,'Données projet'!$A$87:$I$107,4,0)),0,VLOOKUP(A43,'Données projet'!$A$87:$I$107,4,0))</f>
        <v>39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228</v>
      </c>
      <c r="BW43" s="13">
        <f>VLOOKUP(A43,'Données projet'!$A$113:$I$133,9,0)</f>
        <v>11.4</v>
      </c>
      <c r="BX43" s="13">
        <f t="array" ref="BX43">INDEX(BW:BW,MIN(IF(ISNUMBER(BW43:BW239),ROW(BW43:BW239),"")))</f>
        <v>11.4</v>
      </c>
      <c r="BY43" s="13">
        <f>IF('Données projet'!$A$114&gt;35,BY42+BX43-CG42,IF(A43&lt;'Données projet'!$A$114,$BV$205^A43,IF(A43='Données projet'!$A$114,'Données projet'!$B$114,BY42+BX43-CG42)))</f>
        <v>227.99999999999994</v>
      </c>
      <c r="BZ43" s="14">
        <f>BY43*VLOOKUP('Données projet'!$B$12,Paramètres!$A$1:$I$89,3,0)*VLOOKUP('Données projet'!$B$12,Paramètres!$A$1:$I$89,5,0)</f>
        <v>181.39679999999996</v>
      </c>
      <c r="CA43" s="14">
        <f t="shared" si="39"/>
        <v>45.63280848550832</v>
      </c>
      <c r="CB43" s="22">
        <f t="shared" si="10"/>
        <v>395.40990144559356</v>
      </c>
      <c r="CC43" s="62">
        <f t="shared" si="11"/>
        <v>643.2229152647144</v>
      </c>
      <c r="CD43" s="62">
        <f ca="1">AVERAGE(OFFSET($CC$3,0,0,'Données projet'!$E$12+1,1))-AVERAGE(OFFSET($H$3,0,0,'Données projet'!$E$12+1,1))</f>
        <v>376.47942810265266</v>
      </c>
      <c r="CE43" s="62">
        <f t="shared" si="40"/>
        <v>362.87951024071265</v>
      </c>
      <c r="CF43" s="16">
        <f>IF(ISNA(VLOOKUP(A43,'Données projet'!$A$113:$I$133,3,0)),0,VLOOKUP(A43,'Données projet'!$A$113:$I$133,3,0))</f>
        <v>7</v>
      </c>
      <c r="CG43" s="16">
        <f>IF(ISNA(VLOOKUP(A43,'Données projet'!$A$113:$I$133,4,0)),0,VLOOKUP(A43,'Données projet'!$A$113:$I$133,4,0))</f>
        <v>35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13.736480731842464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13.736480731842464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228</v>
      </c>
      <c r="CR43" s="13">
        <f>VLOOKUP(A43,'Données projet'!$A$139:$I$159,9,0)</f>
        <v>11.4</v>
      </c>
      <c r="CS43" s="13">
        <f t="array" ref="CS43">INDEX(CR:CR,MIN(IF(ISNUMBER(CR43:CR239),ROW(CR43:CR239),"")))</f>
        <v>11.4</v>
      </c>
      <c r="CT43" s="13">
        <f>IF('Données projet'!$A$140&gt;35,CT42+CS43-DB42,IF(A43&lt;'Données projet'!$A$140,$CQ$205^A43,IF(A43='Données projet'!$A$140,'Données projet'!$B$140,CT42+CS43-DB42)))</f>
        <v>227.99999999999994</v>
      </c>
      <c r="CU43" s="18">
        <f>CT43*VLOOKUP('Données projet'!$B$13,Paramètres!$A$1:$I$89,3,0)*VLOOKUP('Données projet'!$B$13,Paramètres!$A$1:$I$89,5,0)</f>
        <v>167.16959999999995</v>
      </c>
      <c r="CV43" s="14">
        <f t="shared" si="41"/>
        <v>42.455490039298816</v>
      </c>
      <c r="CW43" s="22">
        <f t="shared" si="13"/>
        <v>365.09703181844537</v>
      </c>
      <c r="CX43" s="62">
        <f t="shared" si="14"/>
        <v>612.91004563756621</v>
      </c>
      <c r="CY43" s="62">
        <f ca="1">AVERAGE(OFFSET($CX$3,0,0,'Données projet'!$E$13+1,1))-AVERAGE(OFFSET($H$3,0,0,'Données projet'!$E$13+1,1))</f>
        <v>351.7223836693733</v>
      </c>
      <c r="CZ43" s="62">
        <f t="shared" si="42"/>
        <v>339.34942976598518</v>
      </c>
      <c r="DA43" s="16">
        <f>IF(ISNA(VLOOKUP(A43,'Données projet'!$A$139:$I$159,3,0)),0,VLOOKUP(A43,'Données projet'!$A$139:$I$159,3,0))</f>
        <v>7</v>
      </c>
      <c r="DB43" s="16">
        <f>IF(ISNA(VLOOKUP(A43,'Données projet'!$A$139:$I$159,4,0)),0,VLOOKUP(A43,'Données projet'!$A$139:$I$159,4,0))</f>
        <v>35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10.270598431022428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10.270598431022428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183.33333333333334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22.82714285714286</v>
      </c>
      <c r="N44" s="14">
        <f>IF('Données projet'!$A$36&gt;35,N43+M44-V43,IF(A44&lt;'Données projet'!$A$36,$K$205^A44,IF(A44='Données projet'!$A$36,'Données projet'!$B$36,N43+M44-V43)))</f>
        <v>427.40285714285716</v>
      </c>
      <c r="O44" s="14">
        <f>N44*VLOOKUP('Données projet'!$B$9,Paramètres!$A$1:$I$89,3,0)*VLOOKUP('Données projet'!$B$9,Paramètres!$A$1:$I$89,5,0)</f>
        <v>238.91819714285714</v>
      </c>
      <c r="P44" s="14">
        <f t="shared" si="33"/>
        <v>58.206714164613295</v>
      </c>
      <c r="Q44" s="22">
        <f t="shared" si="53"/>
        <v>517.49255386051107</v>
      </c>
      <c r="R44" s="62">
        <f t="shared" si="0"/>
        <v>766.09524345501507</v>
      </c>
      <c r="S44" s="62">
        <f ca="1">AVERAGE(OFFSET($R$3,0,0,'Données projet'!$E$9+1,1))-AVERAGE(OFFSET($H$3,0,0,'Données projet'!$E$9+1,1))</f>
        <v>409.45931633551902</v>
      </c>
      <c r="T44" s="62">
        <f t="shared" si="34"/>
        <v>375.18886653687389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4.2631699319352965</v>
      </c>
      <c r="AA44" s="23">
        <f>EXP(-LN(2)/25)*AA43+(1-EXP(-LN(2)/25))/(LN(2)/25)*Calculateur!V44*Calculateur!X44*VLOOKUP('Données projet'!$B$9,Paramètres!$A$1:$I$89,3,0)*0.475*44/12</f>
        <v>14.238120135490885</v>
      </c>
      <c r="AB44" s="23">
        <f>EXP(-LN(2)/2)*AB43+(1-EXP(-LN(2)/2))/(LN(2)/2)*V44*Y44*VLOOKUP('Données projet'!$B$9,Paramètres!$A$1:$I$89,3,0)*0.475*44/12</f>
        <v>0.25635022147616371</v>
      </c>
      <c r="AC44" s="24">
        <f t="shared" si="3"/>
        <v>18.757640288902348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5.6843418860808015E-14</v>
      </c>
      <c r="AJ44" s="14">
        <f>AI44*VLOOKUP('Données projet'!$B$10,Paramètres!$A$1:$I$89,3,0)*VLOOKUP('Données projet'!$B$10,Paramètres!$A$1:$I$89,5,0)</f>
        <v>3.3992364478763198E-14</v>
      </c>
      <c r="AK44" s="14">
        <f t="shared" si="35"/>
        <v>5.790027782444094E-13</v>
      </c>
      <c r="AL44" s="22">
        <f t="shared" si="4"/>
        <v>1.0676332069095257E-12</v>
      </c>
      <c r="AM44" s="62">
        <f t="shared" si="5"/>
        <v>248.60268959450505</v>
      </c>
      <c r="AN44" s="62">
        <f ca="1">AVERAGE(OFFSET($AM$3,0,0,'Données projet'!$E$10+1,1))-AVERAGE(OFFSET($H$3,0,0,'Données projet'!$E$10+1,1))</f>
        <v>212.90262675152454</v>
      </c>
      <c r="AO44" s="62">
        <f t="shared" si="36"/>
        <v>366.51899340890498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87.976721919025678</v>
      </c>
      <c r="AV44" s="23">
        <f>EXP(-LN(2)/25)*AV43+(1-EXP(-LN(2)/25))/(LN(2)/25)*Calculateur!AQ44*Calculateur!AS44*VLOOKUP('Données projet'!$B$10,Paramètres!$A$1:$I$89,3,0)*0.475*44/12</f>
        <v>2.4642981688179151</v>
      </c>
      <c r="AW44" s="23">
        <f>EXP(-LN(2)/2)*AW43+(1-EXP(-LN(2)/2))/(LN(2)/2)*AQ44*AT44*VLOOKUP('Données projet'!$B$10,Paramètres!$A$1:$I$89,3,0)*0.475*44/12</f>
        <v>24.340353094387321</v>
      </c>
      <c r="AX44" s="23">
        <f t="shared" si="6"/>
        <v>114.78137318223092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9.8000000000000007</v>
      </c>
      <c r="BD44" s="13">
        <f>IF('Données projet'!$A$88&gt;35,BD43+BC44-BL43,IF(A44&lt;'Données projet'!$A$88,$BA$205^A44,IF(A44='Données projet'!$A$88,'Données projet'!$B$88,BD43+BC44-BL43)))</f>
        <v>184.79999999999998</v>
      </c>
      <c r="BE44" s="14">
        <f>BD44*VLOOKUP('Données projet'!$B$11,Paramètres!$A$1:$I$89,3,0)*VLOOKUP('Données projet'!$B$11,Paramètres!$A$1:$I$89,5,0)</f>
        <v>161.44128000000001</v>
      </c>
      <c r="BF44" s="14">
        <f t="shared" si="37"/>
        <v>41.167430271655704</v>
      </c>
      <c r="BG44" s="22">
        <f t="shared" si="7"/>
        <v>352.87683705646697</v>
      </c>
      <c r="BH44" s="62">
        <f t="shared" si="8"/>
        <v>601.47952665097091</v>
      </c>
      <c r="BI44" s="62">
        <f ca="1">AVERAGE(OFFSET($BH$3,0,0,'Données projet'!$E$11+1,1))-AVERAGE(OFFSET($H$3,0,0,'Données projet'!$E$11+1,1))</f>
        <v>342.02279578180605</v>
      </c>
      <c r="BJ44" s="62">
        <f t="shared" si="38"/>
        <v>409.02379334777754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9.8000000000000007</v>
      </c>
      <c r="BY44" s="13">
        <f>IF('Données projet'!$A$114&gt;35,BY43+BX44-CG43,IF(A44&lt;'Données projet'!$A$114,$BV$205^A44,IF(A44='Données projet'!$A$114,'Données projet'!$B$114,BY43+BX44-CG43)))</f>
        <v>202.79999999999995</v>
      </c>
      <c r="BZ44" s="14">
        <f>BY44*VLOOKUP('Données projet'!$B$12,Paramètres!$A$1:$I$89,3,0)*VLOOKUP('Données projet'!$B$12,Paramètres!$A$1:$I$89,5,0)</f>
        <v>161.34767999999997</v>
      </c>
      <c r="CA44" s="14">
        <f t="shared" si="39"/>
        <v>41.146339844316657</v>
      </c>
      <c r="CB44" s="22">
        <f t="shared" si="10"/>
        <v>352.67708456218475</v>
      </c>
      <c r="CC44" s="62">
        <f t="shared" si="11"/>
        <v>601.27977415668875</v>
      </c>
      <c r="CD44" s="62">
        <f ca="1">AVERAGE(OFFSET($CC$3,0,0,'Données projet'!$E$12+1,1))-AVERAGE(OFFSET($H$3,0,0,'Données projet'!$E$12+1,1))</f>
        <v>376.47942810265266</v>
      </c>
      <c r="CE44" s="62">
        <f t="shared" si="40"/>
        <v>362.87951024071265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13.467116723116979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13.467116723116979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9.8000000000000007</v>
      </c>
      <c r="CT44" s="13">
        <f>IF('Données projet'!$A$140&gt;35,CT43+CS44-DB43,IF(A44&lt;'Données projet'!$A$140,$CQ$205^A44,IF(A44='Données projet'!$A$140,'Données projet'!$B$140,CT43+CS44-DB43)))</f>
        <v>202.79999999999995</v>
      </c>
      <c r="CU44" s="18">
        <f>CT44*VLOOKUP('Données projet'!$B$13,Paramètres!$A$1:$I$89,3,0)*VLOOKUP('Données projet'!$B$13,Paramètres!$A$1:$I$89,5,0)</f>
        <v>148.69295999999997</v>
      </c>
      <c r="CV44" s="14">
        <f t="shared" si="41"/>
        <v>38.281404966971365</v>
      </c>
      <c r="CW44" s="22">
        <f t="shared" si="13"/>
        <v>325.64701898414177</v>
      </c>
      <c r="CX44" s="62">
        <f t="shared" si="14"/>
        <v>574.24970857864571</v>
      </c>
      <c r="CY44" s="62">
        <f ca="1">AVERAGE(OFFSET($CX$3,0,0,'Données projet'!$E$13+1,1))-AVERAGE(OFFSET($H$3,0,0,'Données projet'!$E$13+1,1))</f>
        <v>351.7223836693733</v>
      </c>
      <c r="CZ44" s="62">
        <f t="shared" si="42"/>
        <v>339.34942976598518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10.069198260236558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10.069198260236558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183.33333333333334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>
        <f>VLOOKUP(A45,'Données projet'!$A$35:$I$55,2,0)</f>
        <v>450.23</v>
      </c>
      <c r="L45" s="13">
        <f>VLOOKUP(A45,'Données projet'!$A$35:$I$55,9,0)</f>
        <v>22.82714285714286</v>
      </c>
      <c r="M45" s="13">
        <f t="array" ref="M45">INDEX(L:L,MIN(IF(ISNUMBER(L45:L241),ROW(L45:L241),"")))</f>
        <v>22.82714285714286</v>
      </c>
      <c r="N45" s="14">
        <f>IF('Données projet'!$A$36&gt;35,N44+M45-V44,IF(A45&lt;'Données projet'!$A$36,$K$205^A45,IF(A45='Données projet'!$A$36,'Données projet'!$B$36,N44+M45-V44)))</f>
        <v>450.23</v>
      </c>
      <c r="O45" s="14">
        <f>N45*VLOOKUP('Données projet'!$B$9,Paramètres!$A$1:$I$89,3,0)*VLOOKUP('Données projet'!$B$9,Paramètres!$A$1:$I$89,5,0)</f>
        <v>251.67857000000004</v>
      </c>
      <c r="P45" s="14">
        <f t="shared" si="33"/>
        <v>60.945241245024086</v>
      </c>
      <c r="Q45" s="22">
        <f t="shared" si="53"/>
        <v>544.48647125175023</v>
      </c>
      <c r="R45" s="62">
        <f t="shared" si="0"/>
        <v>793.86513751238499</v>
      </c>
      <c r="S45" s="62">
        <f ca="1">AVERAGE(OFFSET($R$3,0,0,'Données projet'!$E$9+1,1))-AVERAGE(OFFSET($H$3,0,0,'Données projet'!$E$9+1,1))</f>
        <v>409.45931633551902</v>
      </c>
      <c r="T45" s="62">
        <f t="shared" si="34"/>
        <v>375.18886653687389</v>
      </c>
      <c r="U45" s="16">
        <f>IF(ISNA(VLOOKUP(A45,'Données projet'!$A$35:$I$55,3,0)),0,VLOOKUP(A45,'Données projet'!$A$35:$I$55,3,0))</f>
        <v>5</v>
      </c>
      <c r="V45" s="16">
        <f>IF(ISNA(VLOOKUP(A45,'Données projet'!$A$35:$I$55,4,0)),0,VLOOKUP(A45,'Données projet'!$A$35:$I$55,4,0))</f>
        <v>99.98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4.1795717698469481</v>
      </c>
      <c r="AA45" s="23">
        <f>EXP(-LN(2)/25)*AA44+(1-EXP(-LN(2)/25))/(LN(2)/25)*Calculateur!V45*Calculateur!X45*VLOOKUP('Données projet'!$B$9,Paramètres!$A$1:$I$89,3,0)*0.475*44/12</f>
        <v>13.848777991635689</v>
      </c>
      <c r="AB45" s="23">
        <f>EXP(-LN(2)/2)*AB44+(1-EXP(-LN(2)/2))/(LN(2)/2)*V45*Y45*VLOOKUP('Données projet'!$B$9,Paramètres!$A$1:$I$89,3,0)*0.475*44/12</f>
        <v>0.18126697996446869</v>
      </c>
      <c r="AC45" s="24">
        <f t="shared" si="3"/>
        <v>18.209616741447107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5.6843418860808015E-14</v>
      </c>
      <c r="AJ45" s="14">
        <f>AI45*VLOOKUP('Données projet'!$B$10,Paramètres!$A$1:$I$89,3,0)*VLOOKUP('Données projet'!$B$10,Paramètres!$A$1:$I$89,5,0)</f>
        <v>3.3992364478763198E-14</v>
      </c>
      <c r="AK45" s="14">
        <f t="shared" si="35"/>
        <v>5.790027782444094E-13</v>
      </c>
      <c r="AL45" s="22">
        <f t="shared" si="4"/>
        <v>1.0676332069095257E-12</v>
      </c>
      <c r="AM45" s="62">
        <f t="shared" si="5"/>
        <v>249.37866626063581</v>
      </c>
      <c r="AN45" s="62">
        <f ca="1">AVERAGE(OFFSET($AM$3,0,0,'Données projet'!$E$10+1,1))-AVERAGE(OFFSET($H$3,0,0,'Données projet'!$E$10+1,1))</f>
        <v>212.90262675152454</v>
      </c>
      <c r="AO45" s="62">
        <f t="shared" si="36"/>
        <v>366.51899340890498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86.251552062695424</v>
      </c>
      <c r="AV45" s="23">
        <f>EXP(-LN(2)/25)*AV44+(1-EXP(-LN(2)/25))/(LN(2)/25)*Calculateur!AQ45*Calculateur!AS45*VLOOKUP('Données projet'!$B$10,Paramètres!$A$1:$I$89,3,0)*0.475*44/12</f>
        <v>2.3969118057997809</v>
      </c>
      <c r="AW45" s="23">
        <f>EXP(-LN(2)/2)*AW44+(1-EXP(-LN(2)/2))/(LN(2)/2)*AQ45*AT45*VLOOKUP('Données projet'!$B$10,Paramètres!$A$1:$I$89,3,0)*0.475*44/12</f>
        <v>17.211228729516243</v>
      </c>
      <c r="AX45" s="23">
        <f t="shared" si="6"/>
        <v>105.85969259801143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9.8000000000000007</v>
      </c>
      <c r="BD45" s="13">
        <f>IF('Données projet'!$A$88&gt;35,BD44+BC45-BL44,IF(A45&lt;'Données projet'!$A$88,$BA$205^A45,IF(A45='Données projet'!$A$88,'Données projet'!$B$88,BD44+BC45-BL44)))</f>
        <v>194.6</v>
      </c>
      <c r="BE45" s="14">
        <f>BD45*VLOOKUP('Données projet'!$B$11,Paramètres!$A$1:$I$89,3,0)*VLOOKUP('Données projet'!$B$11,Paramètres!$A$1:$I$89,5,0)</f>
        <v>170.00256000000002</v>
      </c>
      <c r="BF45" s="14">
        <f t="shared" si="37"/>
        <v>43.090596939649579</v>
      </c>
      <c r="BG45" s="22">
        <f t="shared" si="7"/>
        <v>371.1372483365563</v>
      </c>
      <c r="BH45" s="62">
        <f t="shared" si="8"/>
        <v>620.515914597191</v>
      </c>
      <c r="BI45" s="62">
        <f ca="1">AVERAGE(OFFSET($BH$3,0,0,'Données projet'!$E$11+1,1))-AVERAGE(OFFSET($H$3,0,0,'Données projet'!$E$11+1,1))</f>
        <v>342.02279578180605</v>
      </c>
      <c r="BJ45" s="62">
        <f t="shared" si="38"/>
        <v>409.02379334777754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9.8000000000000007</v>
      </c>
      <c r="BY45" s="13">
        <f>IF('Données projet'!$A$114&gt;35,BY44+BX45-CG44,IF(A45&lt;'Données projet'!$A$114,$BV$205^A45,IF(A45='Données projet'!$A$114,'Données projet'!$B$114,BY44+BX45-CG44)))</f>
        <v>212.59999999999997</v>
      </c>
      <c r="BZ45" s="14">
        <f>BY45*VLOOKUP('Données projet'!$B$12,Paramètres!$A$1:$I$89,3,0)*VLOOKUP('Données projet'!$B$12,Paramètres!$A$1:$I$89,5,0)</f>
        <v>169.14455999999998</v>
      </c>
      <c r="CA45" s="14">
        <f t="shared" si="39"/>
        <v>42.898377267189964</v>
      </c>
      <c r="CB45" s="22">
        <f t="shared" si="10"/>
        <v>369.30811574035579</v>
      </c>
      <c r="CC45" s="62">
        <f t="shared" si="11"/>
        <v>618.68678200099055</v>
      </c>
      <c r="CD45" s="62">
        <f ca="1">AVERAGE(OFFSET($CC$3,0,0,'Données projet'!$E$12+1,1))-AVERAGE(OFFSET($H$3,0,0,'Données projet'!$E$12+1,1))</f>
        <v>376.47942810265266</v>
      </c>
      <c r="CE45" s="62">
        <f t="shared" si="40"/>
        <v>362.87951024071265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13.203034778306778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13.203034778306778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9.8000000000000007</v>
      </c>
      <c r="CT45" s="13">
        <f>IF('Données projet'!$A$140&gt;35,CT44+CS45-DB44,IF(A45&lt;'Données projet'!$A$140,$CQ$205^A45,IF(A45='Données projet'!$A$140,'Données projet'!$B$140,CT44+CS45-DB44)))</f>
        <v>212.59999999999997</v>
      </c>
      <c r="CU45" s="18">
        <f>CT45*VLOOKUP('Données projet'!$B$13,Paramètres!$A$1:$I$89,3,0)*VLOOKUP('Données projet'!$B$13,Paramètres!$A$1:$I$89,5,0)</f>
        <v>155.87831999999997</v>
      </c>
      <c r="CV45" s="14">
        <f t="shared" si="41"/>
        <v>39.911451633480986</v>
      </c>
      <c r="CW45" s="22">
        <f t="shared" si="13"/>
        <v>341.00051892831272</v>
      </c>
      <c r="CX45" s="62">
        <f t="shared" si="14"/>
        <v>590.37918518894742</v>
      </c>
      <c r="CY45" s="62">
        <f ca="1">AVERAGE(OFFSET($CX$3,0,0,'Données projet'!$E$13+1,1))-AVERAGE(OFFSET($H$3,0,0,'Données projet'!$E$13+1,1))</f>
        <v>351.7223836693733</v>
      </c>
      <c r="CZ45" s="62">
        <f t="shared" si="42"/>
        <v>339.34942976598518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9.8717474239578245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9.8717474239578245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183.33333333333334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21.939999999999998</v>
      </c>
      <c r="N46" s="14">
        <f>IF('Données projet'!$A$36&gt;35,N45+M46-V45,IF(A46&lt;'Données projet'!$A$36,$K$205^A46,IF(A46='Données projet'!$A$36,'Données projet'!$B$36,N45+M46-V45)))</f>
        <v>372.19</v>
      </c>
      <c r="O46" s="14">
        <f>N46*VLOOKUP('Données projet'!$B$9,Paramètres!$A$1:$I$89,3,0)*VLOOKUP('Données projet'!$B$9,Paramètres!$A$1:$I$89,5,0)</f>
        <v>208.05420999999998</v>
      </c>
      <c r="P46" s="14">
        <f t="shared" si="33"/>
        <v>51.510151537098693</v>
      </c>
      <c r="Q46" s="22">
        <f t="shared" si="53"/>
        <v>452.07459634378012</v>
      </c>
      <c r="R46" s="62">
        <f t="shared" si="0"/>
        <v>702.2157778102121</v>
      </c>
      <c r="S46" s="62">
        <f ca="1">AVERAGE(OFFSET($R$3,0,0,'Données projet'!$E$9+1,1))-AVERAGE(OFFSET($H$3,0,0,'Données projet'!$E$9+1,1))</f>
        <v>409.45931633551902</v>
      </c>
      <c r="T46" s="62">
        <f t="shared" si="34"/>
        <v>375.18886653687389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4.0976129167273081</v>
      </c>
      <c r="AA46" s="23">
        <f>EXP(-LN(2)/25)*AA45+(1-EXP(-LN(2)/25))/(LN(2)/25)*Calculateur!V46*Calculateur!X46*VLOOKUP('Données projet'!$B$9,Paramètres!$A$1:$I$89,3,0)*0.475*44/12</f>
        <v>13.470082429178829</v>
      </c>
      <c r="AB46" s="23">
        <f>EXP(-LN(2)/2)*AB45+(1-EXP(-LN(2)/2))/(LN(2)/2)*V46*Y46*VLOOKUP('Données projet'!$B$9,Paramètres!$A$1:$I$89,3,0)*0.475*44/12</f>
        <v>0.12817511073808185</v>
      </c>
      <c r="AC46" s="24">
        <f t="shared" si="3"/>
        <v>17.695870456644219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5.6843418860808015E-14</v>
      </c>
      <c r="AJ46" s="14">
        <f>AI46*VLOOKUP('Données projet'!$B$10,Paramètres!$A$1:$I$89,3,0)*VLOOKUP('Données projet'!$B$10,Paramètres!$A$1:$I$89,5,0)</f>
        <v>3.3992364478763198E-14</v>
      </c>
      <c r="AK46" s="14">
        <f t="shared" si="35"/>
        <v>5.790027782444094E-13</v>
      </c>
      <c r="AL46" s="22">
        <f t="shared" si="4"/>
        <v>1.0676332069095257E-12</v>
      </c>
      <c r="AM46" s="62">
        <f t="shared" si="5"/>
        <v>250.14118146643312</v>
      </c>
      <c r="AN46" s="62">
        <f ca="1">AVERAGE(OFFSET($AM$3,0,0,'Données projet'!$E$10+1,1))-AVERAGE(OFFSET($H$3,0,0,'Données projet'!$E$10+1,1))</f>
        <v>212.90262675152454</v>
      </c>
      <c r="AO46" s="62">
        <f t="shared" si="36"/>
        <v>366.51899340890498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84.560211734998092</v>
      </c>
      <c r="AV46" s="23">
        <f>EXP(-LN(2)/25)*AV45+(1-EXP(-LN(2)/25))/(LN(2)/25)*Calculateur!AQ46*Calculateur!AS46*VLOOKUP('Données projet'!$B$10,Paramètres!$A$1:$I$89,3,0)*0.475*44/12</f>
        <v>2.3313681264220723</v>
      </c>
      <c r="AW46" s="23">
        <f>EXP(-LN(2)/2)*AW45+(1-EXP(-LN(2)/2))/(LN(2)/2)*AQ46*AT46*VLOOKUP('Données projet'!$B$10,Paramètres!$A$1:$I$89,3,0)*0.475*44/12</f>
        <v>12.170176547193662</v>
      </c>
      <c r="AX46" s="23">
        <f t="shared" si="6"/>
        <v>99.061756408613832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9.8000000000000007</v>
      </c>
      <c r="BD46" s="13">
        <f>IF('Données projet'!$A$88&gt;35,BD45+BC46-BL45,IF(A46&lt;'Données projet'!$A$88,$BA$205^A46,IF(A46='Données projet'!$A$88,'Données projet'!$B$88,BD45+BC46-BL45)))</f>
        <v>204.4</v>
      </c>
      <c r="BE46" s="14">
        <f>BD46*VLOOKUP('Données projet'!$B$11,Paramètres!$A$1:$I$89,3,0)*VLOOKUP('Données projet'!$B$11,Paramètres!$A$1:$I$89,5,0)</f>
        <v>178.56384000000003</v>
      </c>
      <c r="BF46" s="14">
        <f t="shared" si="37"/>
        <v>45.002518212442588</v>
      </c>
      <c r="BG46" s="22">
        <f t="shared" si="7"/>
        <v>389.37807388667096</v>
      </c>
      <c r="BH46" s="62">
        <f t="shared" si="8"/>
        <v>639.51925535310306</v>
      </c>
      <c r="BI46" s="62">
        <f ca="1">AVERAGE(OFFSET($BH$3,0,0,'Données projet'!$E$11+1,1))-AVERAGE(OFFSET($H$3,0,0,'Données projet'!$E$11+1,1))</f>
        <v>342.02279578180605</v>
      </c>
      <c r="BJ46" s="62">
        <f t="shared" si="38"/>
        <v>409.02379334777754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9.8000000000000007</v>
      </c>
      <c r="BY46" s="13">
        <f>IF('Données projet'!$A$114&gt;35,BY45+BX46-CG45,IF(A46&lt;'Données projet'!$A$114,$BV$205^A46,IF(A46='Données projet'!$A$114,'Données projet'!$B$114,BY45+BX46-CG45)))</f>
        <v>222.39999999999998</v>
      </c>
      <c r="BZ46" s="14">
        <f>BY46*VLOOKUP('Données projet'!$B$12,Paramètres!$A$1:$I$89,3,0)*VLOOKUP('Données projet'!$B$12,Paramètres!$A$1:$I$89,5,0)</f>
        <v>176.94144</v>
      </c>
      <c r="CA46" s="14">
        <f t="shared" si="39"/>
        <v>44.641035679901449</v>
      </c>
      <c r="CB46" s="22">
        <f t="shared" si="10"/>
        <v>385.92281180916166</v>
      </c>
      <c r="CC46" s="62">
        <f t="shared" si="11"/>
        <v>636.0639932755937</v>
      </c>
      <c r="CD46" s="62">
        <f ca="1">AVERAGE(OFFSET($CC$3,0,0,'Données projet'!$E$12+1,1))-AVERAGE(OFFSET($H$3,0,0,'Données projet'!$E$12+1,1))</f>
        <v>376.47942810265266</v>
      </c>
      <c r="CE46" s="62">
        <f t="shared" si="40"/>
        <v>362.87951024071265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12.944131319360224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12.944131319360224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9.8000000000000007</v>
      </c>
      <c r="CT46" s="13">
        <f>IF('Données projet'!$A$140&gt;35,CT45+CS46-DB45,IF(A46&lt;'Données projet'!$A$140,$CQ$205^A46,IF(A46='Données projet'!$A$140,'Données projet'!$B$140,CT45+CS46-DB45)))</f>
        <v>222.39999999999998</v>
      </c>
      <c r="CU46" s="18">
        <f>CT46*VLOOKUP('Données projet'!$B$13,Paramètres!$A$1:$I$89,3,0)*VLOOKUP('Données projet'!$B$13,Paramètres!$A$1:$I$89,5,0)</f>
        <v>163.06367999999998</v>
      </c>
      <c r="CV46" s="14">
        <f t="shared" si="41"/>
        <v>41.532772330984628</v>
      </c>
      <c r="CW46" s="22">
        <f t="shared" si="13"/>
        <v>356.33882114313155</v>
      </c>
      <c r="CX46" s="62">
        <f t="shared" si="14"/>
        <v>606.4800026095636</v>
      </c>
      <c r="CY46" s="62">
        <f ca="1">AVERAGE(OFFSET($CX$3,0,0,'Données projet'!$E$13+1,1))-AVERAGE(OFFSET($H$3,0,0,'Données projet'!$E$13+1,1))</f>
        <v>351.7223836693733</v>
      </c>
      <c r="CZ46" s="62">
        <f t="shared" si="42"/>
        <v>339.34942976598518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9.6781684781453983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9.6781684781453983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183.33333333333334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21.939999999999998</v>
      </c>
      <c r="N47" s="14">
        <f>IF('Données projet'!$A$36&gt;35,N46+M47-V46,IF(A47&lt;'Données projet'!$A$36,$K$205^A47,IF(A47='Données projet'!$A$36,'Données projet'!$B$36,N46+M47-V46)))</f>
        <v>394.13</v>
      </c>
      <c r="O47" s="14">
        <f>N47*VLOOKUP('Données projet'!$B$9,Paramètres!$A$1:$I$89,3,0)*VLOOKUP('Données projet'!$B$9,Paramètres!$A$1:$I$89,5,0)</f>
        <v>220.31867</v>
      </c>
      <c r="P47" s="14">
        <f t="shared" si="33"/>
        <v>54.184141234835565</v>
      </c>
      <c r="Q47" s="22">
        <f t="shared" si="53"/>
        <v>478.09239623400526</v>
      </c>
      <c r="R47" s="62">
        <f t="shared" si="0"/>
        <v>728.98286497214269</v>
      </c>
      <c r="S47" s="62">
        <f ca="1">AVERAGE(OFFSET($R$3,0,0,'Données projet'!$E$9+1,1))-AVERAGE(OFFSET($H$3,0,0,'Données projet'!$E$9+1,1))</f>
        <v>409.45931633551902</v>
      </c>
      <c r="T47" s="62">
        <f t="shared" si="34"/>
        <v>375.18886653687389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4.0172612267273795</v>
      </c>
      <c r="AA47" s="23">
        <f>EXP(-LN(2)/25)*AA46+(1-EXP(-LN(2)/25))/(LN(2)/25)*Calculateur!V47*Calculateur!X47*VLOOKUP('Données projet'!$B$9,Paramètres!$A$1:$I$89,3,0)*0.475*44/12</f>
        <v>13.101742316792086</v>
      </c>
      <c r="AB47" s="23">
        <f>EXP(-LN(2)/2)*AB46+(1-EXP(-LN(2)/2))/(LN(2)/2)*V47*Y47*VLOOKUP('Données projet'!$B$9,Paramètres!$A$1:$I$89,3,0)*0.475*44/12</f>
        <v>9.0633489982234347E-2</v>
      </c>
      <c r="AC47" s="24">
        <f t="shared" si="3"/>
        <v>17.2096370335017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5.6843418860808015E-14</v>
      </c>
      <c r="AJ47" s="14">
        <f>AI47*VLOOKUP('Données projet'!$B$10,Paramètres!$A$1:$I$89,3,0)*VLOOKUP('Données projet'!$B$10,Paramètres!$A$1:$I$89,5,0)</f>
        <v>3.3992364478763198E-14</v>
      </c>
      <c r="AK47" s="14">
        <f t="shared" si="35"/>
        <v>5.790027782444094E-13</v>
      </c>
      <c r="AL47" s="22">
        <f t="shared" si="4"/>
        <v>1.0676332069095257E-12</v>
      </c>
      <c r="AM47" s="62">
        <f t="shared" si="5"/>
        <v>250.89046873813851</v>
      </c>
      <c r="AN47" s="62">
        <f ca="1">AVERAGE(OFFSET($AM$3,0,0,'Données projet'!$E$10+1,1))-AVERAGE(OFFSET($H$3,0,0,'Données projet'!$E$10+1,1))</f>
        <v>212.90262675152454</v>
      </c>
      <c r="AO47" s="62">
        <f t="shared" si="36"/>
        <v>366.51899340890498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82.902037559511172</v>
      </c>
      <c r="AV47" s="23">
        <f>EXP(-LN(2)/25)*AV46+(1-EXP(-LN(2)/25))/(LN(2)/25)*Calculateur!AQ47*Calculateur!AS47*VLOOKUP('Données projet'!$B$10,Paramètres!$A$1:$I$89,3,0)*0.475*44/12</f>
        <v>2.2676167424037392</v>
      </c>
      <c r="AW47" s="23">
        <f>EXP(-LN(2)/2)*AW46+(1-EXP(-LN(2)/2))/(LN(2)/2)*AQ47*AT47*VLOOKUP('Données projet'!$B$10,Paramètres!$A$1:$I$89,3,0)*0.475*44/12</f>
        <v>8.6056143647581216</v>
      </c>
      <c r="AX47" s="23">
        <f t="shared" si="6"/>
        <v>93.775268666673043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9.8000000000000007</v>
      </c>
      <c r="BD47" s="13">
        <f>IF('Données projet'!$A$88&gt;35,BD46+BC47-BL46,IF(A47&lt;'Données projet'!$A$88,$BA$205^A47,IF(A47='Données projet'!$A$88,'Données projet'!$B$88,BD46+BC47-BL46)))</f>
        <v>214.20000000000002</v>
      </c>
      <c r="BE47" s="14">
        <f>BD47*VLOOKUP('Données projet'!$B$11,Paramètres!$A$1:$I$89,3,0)*VLOOKUP('Données projet'!$B$11,Paramètres!$A$1:$I$89,5,0)</f>
        <v>187.12512000000004</v>
      </c>
      <c r="BF47" s="14">
        <f t="shared" si="37"/>
        <v>46.903794805770545</v>
      </c>
      <c r="BG47" s="22">
        <f t="shared" si="7"/>
        <v>407.60035995338376</v>
      </c>
      <c r="BH47" s="62">
        <f t="shared" si="8"/>
        <v>658.49082869152119</v>
      </c>
      <c r="BI47" s="62">
        <f ca="1">AVERAGE(OFFSET($BH$3,0,0,'Données projet'!$E$11+1,1))-AVERAGE(OFFSET($H$3,0,0,'Données projet'!$E$11+1,1))</f>
        <v>342.02279578180605</v>
      </c>
      <c r="BJ47" s="62">
        <f t="shared" si="38"/>
        <v>409.02379334777754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9.8000000000000007</v>
      </c>
      <c r="BY47" s="13">
        <f>IF('Données projet'!$A$114&gt;35,BY46+BX47-CG46,IF(A47&lt;'Données projet'!$A$114,$BV$205^A47,IF(A47='Données projet'!$A$114,'Données projet'!$B$114,BY46+BX47-CG46)))</f>
        <v>232.2</v>
      </c>
      <c r="BZ47" s="14">
        <f>BY47*VLOOKUP('Données projet'!$B$12,Paramètres!$A$1:$I$89,3,0)*VLOOKUP('Données projet'!$B$12,Paramètres!$A$1:$I$89,5,0)</f>
        <v>184.73832000000002</v>
      </c>
      <c r="CA47" s="14">
        <f t="shared" si="39"/>
        <v>46.374775595471988</v>
      </c>
      <c r="CB47" s="22">
        <f t="shared" si="10"/>
        <v>402.5219748287804</v>
      </c>
      <c r="CC47" s="62">
        <f t="shared" si="11"/>
        <v>653.41244356691777</v>
      </c>
      <c r="CD47" s="62">
        <f ca="1">AVERAGE(OFFSET($CC$3,0,0,'Données projet'!$E$12+1,1))-AVERAGE(OFFSET($H$3,0,0,'Données projet'!$E$12+1,1))</f>
        <v>376.47942810265266</v>
      </c>
      <c r="CE47" s="62">
        <f t="shared" si="40"/>
        <v>362.87951024071265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12.690304799328095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12.690304799328095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9.8000000000000007</v>
      </c>
      <c r="CT47" s="13">
        <f>IF('Données projet'!$A$140&gt;35,CT46+CS47-DB46,IF(A47&lt;'Données projet'!$A$140,$CQ$205^A47,IF(A47='Données projet'!$A$140,'Données projet'!$B$140,CT46+CS47-DB46)))</f>
        <v>232.2</v>
      </c>
      <c r="CU47" s="18">
        <f>CT47*VLOOKUP('Données projet'!$B$13,Paramètres!$A$1:$I$89,3,0)*VLOOKUP('Données projet'!$B$13,Paramètres!$A$1:$I$89,5,0)</f>
        <v>170.24903999999998</v>
      </c>
      <c r="CV47" s="14">
        <f t="shared" si="41"/>
        <v>43.145795507930117</v>
      </c>
      <c r="CW47" s="22">
        <f t="shared" si="13"/>
        <v>371.66267184297823</v>
      </c>
      <c r="CX47" s="62">
        <f t="shared" si="14"/>
        <v>622.55314058111571</v>
      </c>
      <c r="CY47" s="62">
        <f ca="1">AVERAGE(OFFSET($CX$3,0,0,'Données projet'!$E$13+1,1))-AVERAGE(OFFSET($H$3,0,0,'Données projet'!$E$13+1,1))</f>
        <v>351.7223836693733</v>
      </c>
      <c r="CZ47" s="62">
        <f t="shared" si="42"/>
        <v>339.34942976598518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9.4883854973888564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9.4883854973888564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183.33333333333334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21.939999999999998</v>
      </c>
      <c r="N48" s="14">
        <f>IF('Données projet'!$A$36&gt;35,N47+M48-V47,IF(A48&lt;'Données projet'!$A$36,$K$205^A48,IF(A48='Données projet'!$A$36,'Données projet'!$B$36,N47+M48-V47)))</f>
        <v>416.07</v>
      </c>
      <c r="O48" s="14">
        <f>N48*VLOOKUP('Données projet'!$B$9,Paramètres!$A$1:$I$89,3,0)*VLOOKUP('Données projet'!$B$9,Paramètres!$A$1:$I$89,5,0)</f>
        <v>232.58313000000001</v>
      </c>
      <c r="P48" s="14">
        <f t="shared" si="33"/>
        <v>56.840851065639789</v>
      </c>
      <c r="Q48" s="22">
        <f t="shared" si="53"/>
        <v>504.08010035598926</v>
      </c>
      <c r="R48" s="62">
        <f t="shared" si="0"/>
        <v>755.70685790682342</v>
      </c>
      <c r="S48" s="62">
        <f ca="1">AVERAGE(OFFSET($R$3,0,0,'Données projet'!$E$9+1,1))-AVERAGE(OFFSET($H$3,0,0,'Données projet'!$E$9+1,1))</f>
        <v>409.45931633551902</v>
      </c>
      <c r="T48" s="62">
        <f t="shared" si="34"/>
        <v>375.18886653687389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3.9384851843586581</v>
      </c>
      <c r="AA48" s="23">
        <f>EXP(-LN(2)/25)*AA47+(1-EXP(-LN(2)/25))/(LN(2)/25)*Calculateur!V48*Calculateur!X48*VLOOKUP('Données projet'!$B$9,Paramètres!$A$1:$I$89,3,0)*0.475*44/12</f>
        <v>12.743474484148722</v>
      </c>
      <c r="AB48" s="23">
        <f>EXP(-LN(2)/2)*AB47+(1-EXP(-LN(2)/2))/(LN(2)/2)*V48*Y48*VLOOKUP('Données projet'!$B$9,Paramètres!$A$1:$I$89,3,0)*0.475*44/12</f>
        <v>6.4087555369040927E-2</v>
      </c>
      <c r="AC48" s="24">
        <f t="shared" si="3"/>
        <v>16.746047223876424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5.6843418860808015E-14</v>
      </c>
      <c r="AJ48" s="14">
        <f>AI48*VLOOKUP('Données projet'!$B$10,Paramètres!$A$1:$I$89,3,0)*VLOOKUP('Données projet'!$B$10,Paramètres!$A$1:$I$89,5,0)</f>
        <v>3.3992364478763198E-14</v>
      </c>
      <c r="AK48" s="14">
        <f t="shared" si="35"/>
        <v>5.790027782444094E-13</v>
      </c>
      <c r="AL48" s="22">
        <f t="shared" si="4"/>
        <v>1.0676332069095257E-12</v>
      </c>
      <c r="AM48" s="62">
        <f t="shared" si="5"/>
        <v>251.62675755083521</v>
      </c>
      <c r="AN48" s="62">
        <f ca="1">AVERAGE(OFFSET($AM$3,0,0,'Données projet'!$E$10+1,1))-AVERAGE(OFFSET($H$3,0,0,'Données projet'!$E$10+1,1))</f>
        <v>212.90262675152454</v>
      </c>
      <c r="AO48" s="62">
        <f t="shared" si="36"/>
        <v>366.51899340890498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81.276379168219165</v>
      </c>
      <c r="AV48" s="23">
        <f>EXP(-LN(2)/25)*AV47+(1-EXP(-LN(2)/25))/(LN(2)/25)*Calculateur!AQ48*Calculateur!AS48*VLOOKUP('Données projet'!$B$10,Paramètres!$A$1:$I$89,3,0)*0.475*44/12</f>
        <v>2.2056086433339273</v>
      </c>
      <c r="AW48" s="23">
        <f>EXP(-LN(2)/2)*AW47+(1-EXP(-LN(2)/2))/(LN(2)/2)*AQ48*AT48*VLOOKUP('Données projet'!$B$10,Paramètres!$A$1:$I$89,3,0)*0.475*44/12</f>
        <v>6.0850882735968312</v>
      </c>
      <c r="AX48" s="23">
        <f t="shared" si="6"/>
        <v>89.567076085149921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224</v>
      </c>
      <c r="BB48" s="13">
        <f>VLOOKUP(A48,'Données projet'!$A$87:$I$107,9,0)</f>
        <v>9.8000000000000007</v>
      </c>
      <c r="BC48" s="13">
        <f t="array" ref="BC48">INDEX(BB:BB,MIN(IF(ISNUMBER(BB48:BB244),ROW(BB48:BB244),"")))</f>
        <v>9.8000000000000007</v>
      </c>
      <c r="BD48" s="13">
        <f>IF('Données projet'!$A$88&gt;35,BD47+BC48-BL47,IF(A48&lt;'Données projet'!$A$88,$BA$205^A48,IF(A48='Données projet'!$A$88,'Données projet'!$B$88,BD47+BC48-BL47)))</f>
        <v>224.00000000000003</v>
      </c>
      <c r="BE48" s="14">
        <f>BD48*VLOOKUP('Données projet'!$B$11,Paramètres!$A$1:$I$89,3,0)*VLOOKUP('Données projet'!$B$11,Paramètres!$A$1:$I$89,5,0)</f>
        <v>195.68640000000005</v>
      </c>
      <c r="BF48" s="14">
        <f t="shared" si="37"/>
        <v>48.794969360985156</v>
      </c>
      <c r="BG48" s="22">
        <f t="shared" si="7"/>
        <v>425.80505163704925</v>
      </c>
      <c r="BH48" s="62">
        <f t="shared" si="8"/>
        <v>677.43180918788335</v>
      </c>
      <c r="BI48" s="62">
        <f ca="1">AVERAGE(OFFSET($BH$3,0,0,'Données projet'!$E$11+1,1))-AVERAGE(OFFSET($H$3,0,0,'Données projet'!$E$11+1,1))</f>
        <v>342.02279578180605</v>
      </c>
      <c r="BJ48" s="62">
        <f t="shared" si="38"/>
        <v>409.02379334777754</v>
      </c>
      <c r="BK48" s="16">
        <f>IF(ISNA(VLOOKUP(A48,'Données projet'!$A$87:$I$107,3,0)),0,VLOOKUP(A48,'Données projet'!$A$87:$I$107,3,0))</f>
        <v>7</v>
      </c>
      <c r="BL48" s="16">
        <f>IF(ISNA(VLOOKUP(A48,'Données projet'!$A$87:$I$107,4,0)),0,VLOOKUP(A48,'Données projet'!$A$87:$I$107,4,0))</f>
        <v>36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242</v>
      </c>
      <c r="BW48" s="13">
        <f>VLOOKUP(A48,'Données projet'!$A$113:$I$133,9,0)</f>
        <v>9.8000000000000007</v>
      </c>
      <c r="BX48" s="13">
        <f t="array" ref="BX48">INDEX(BW:BW,MIN(IF(ISNUMBER(BW48:BW244),ROW(BW48:BW244),"")))</f>
        <v>9.8000000000000007</v>
      </c>
      <c r="BY48" s="13">
        <f>IF('Données projet'!$A$114&gt;35,BY47+BX48-CG47,IF(A48&lt;'Données projet'!$A$114,$BV$205^A48,IF(A48='Données projet'!$A$114,'Données projet'!$B$114,BY47+BX48-CG47)))</f>
        <v>242</v>
      </c>
      <c r="BZ48" s="14">
        <f>BY48*VLOOKUP('Données projet'!$B$12,Paramètres!$A$1:$I$89,3,0)*VLOOKUP('Données projet'!$B$12,Paramètres!$A$1:$I$89,5,0)</f>
        <v>192.5352</v>
      </c>
      <c r="CA48" s="14">
        <f t="shared" si="39"/>
        <v>48.100016456123079</v>
      </c>
      <c r="CB48" s="22">
        <f t="shared" si="10"/>
        <v>419.10633532774767</v>
      </c>
      <c r="CC48" s="62">
        <f t="shared" si="11"/>
        <v>670.73309287858183</v>
      </c>
      <c r="CD48" s="62">
        <f ca="1">AVERAGE(OFFSET($CC$3,0,0,'Données projet'!$E$12+1,1))-AVERAGE(OFFSET($H$3,0,0,'Données projet'!$E$12+1,1))</f>
        <v>376.47942810265266</v>
      </c>
      <c r="CE48" s="62">
        <f t="shared" si="40"/>
        <v>362.87951024071265</v>
      </c>
      <c r="CF48" s="16">
        <f>IF(ISNA(VLOOKUP(A48,'Données projet'!$A$113:$I$133,3,0)),0,VLOOKUP(A48,'Données projet'!$A$113:$I$133,3,0))</f>
        <v>8</v>
      </c>
      <c r="CG48" s="16">
        <f>IF(ISNA(VLOOKUP(A48,'Données projet'!$A$113:$I$133,4,0)),0,VLOOKUP(A48,'Données projet'!$A$113:$I$133,4,0))</f>
        <v>24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12.441455662534905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12.441455662534905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242</v>
      </c>
      <c r="CR48" s="13">
        <f>VLOOKUP(A48,'Données projet'!$A$139:$I$159,9,0)</f>
        <v>9.8000000000000007</v>
      </c>
      <c r="CS48" s="13">
        <f t="array" ref="CS48">INDEX(CR:CR,MIN(IF(ISNUMBER(CR48:CR244),ROW(CR48:CR244),"")))</f>
        <v>9.8000000000000007</v>
      </c>
      <c r="CT48" s="13">
        <f>IF('Données projet'!$A$140&gt;35,CT47+CS48-DB47,IF(A48&lt;'Données projet'!$A$140,$CQ$205^A48,IF(A48='Données projet'!$A$140,'Données projet'!$B$140,CT47+CS48-DB47)))</f>
        <v>242</v>
      </c>
      <c r="CU48" s="18">
        <f>CT48*VLOOKUP('Données projet'!$B$13,Paramètres!$A$1:$I$89,3,0)*VLOOKUP('Données projet'!$B$13,Paramètres!$A$1:$I$89,5,0)</f>
        <v>177.43440000000001</v>
      </c>
      <c r="CV48" s="14">
        <f t="shared" si="41"/>
        <v>44.750911401641211</v>
      </c>
      <c r="CW48" s="22">
        <f t="shared" si="13"/>
        <v>386.97275069119178</v>
      </c>
      <c r="CX48" s="62">
        <f t="shared" si="14"/>
        <v>638.59950824202588</v>
      </c>
      <c r="CY48" s="62">
        <f ca="1">AVERAGE(OFFSET($CX$3,0,0,'Données projet'!$E$13+1,1))-AVERAGE(OFFSET($H$3,0,0,'Données projet'!$E$13+1,1))</f>
        <v>351.7223836693733</v>
      </c>
      <c r="CZ48" s="62">
        <f t="shared" si="42"/>
        <v>339.34942976598518</v>
      </c>
      <c r="DA48" s="16">
        <f>IF(ISNA(VLOOKUP(A48,'Données projet'!$A$139:$I$159,3,0)),0,VLOOKUP(A48,'Données projet'!$A$139:$I$159,3,0))</f>
        <v>8</v>
      </c>
      <c r="DB48" s="16">
        <f>IF(ISNA(VLOOKUP(A48,'Données projet'!$A$139:$I$159,4,0)),0,VLOOKUP(A48,'Données projet'!$A$139:$I$159,4,0))</f>
        <v>24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9.3023240451287617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9.3023240451287617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183.33333333333334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21.939999999999998</v>
      </c>
      <c r="N49" s="14">
        <f>IF('Données projet'!$A$36&gt;35,N48+M49-V48,IF(A49&lt;'Données projet'!$A$36,$K$205^A49,IF(A49='Données projet'!$A$36,'Données projet'!$B$36,N48+M49-V48)))</f>
        <v>438.01</v>
      </c>
      <c r="O49" s="14">
        <f>N49*VLOOKUP('Données projet'!$B$9,Paramètres!$A$1:$I$89,3,0)*VLOOKUP('Données projet'!$B$9,Paramètres!$A$1:$I$89,5,0)</f>
        <v>244.84759000000003</v>
      </c>
      <c r="P49" s="14">
        <f t="shared" si="33"/>
        <v>59.481296135283444</v>
      </c>
      <c r="Q49" s="22">
        <f t="shared" si="53"/>
        <v>530.03947668561875</v>
      </c>
      <c r="R49" s="62">
        <f t="shared" si="0"/>
        <v>782.38975008434443</v>
      </c>
      <c r="S49" s="62">
        <f ca="1">AVERAGE(OFFSET($R$3,0,0,'Données projet'!$E$9+1,1))-AVERAGE(OFFSET($H$3,0,0,'Données projet'!$E$9+1,1))</f>
        <v>409.45931633551902</v>
      </c>
      <c r="T49" s="62">
        <f t="shared" si="34"/>
        <v>375.18886653687389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3.861253892132146</v>
      </c>
      <c r="AA49" s="23">
        <f>EXP(-LN(2)/25)*AA48+(1-EXP(-LN(2)/25))/(LN(2)/25)*Calculateur!V49*Calculateur!X49*VLOOKUP('Données projet'!$B$9,Paramètres!$A$1:$I$89,3,0)*0.475*44/12</f>
        <v>12.395003504229477</v>
      </c>
      <c r="AB49" s="23">
        <f>EXP(-LN(2)/2)*AB48+(1-EXP(-LN(2)/2))/(LN(2)/2)*V49*Y49*VLOOKUP('Données projet'!$B$9,Paramètres!$A$1:$I$89,3,0)*0.475*44/12</f>
        <v>4.5316744991117174E-2</v>
      </c>
      <c r="AC49" s="24">
        <f t="shared" si="3"/>
        <v>16.301574141352738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5.6843418860808015E-14</v>
      </c>
      <c r="AJ49" s="14">
        <f>AI49*VLOOKUP('Données projet'!$B$10,Paramètres!$A$1:$I$89,3,0)*VLOOKUP('Données projet'!$B$10,Paramètres!$A$1:$I$89,5,0)</f>
        <v>3.3992364478763198E-14</v>
      </c>
      <c r="AK49" s="14">
        <f t="shared" si="35"/>
        <v>5.790027782444094E-13</v>
      </c>
      <c r="AL49" s="22">
        <f t="shared" si="4"/>
        <v>1.0676332069095257E-12</v>
      </c>
      <c r="AM49" s="62">
        <f t="shared" si="5"/>
        <v>252.35027339872673</v>
      </c>
      <c r="AN49" s="62">
        <f ca="1">AVERAGE(OFFSET($AM$3,0,0,'Données projet'!$E$10+1,1))-AVERAGE(OFFSET($H$3,0,0,'Données projet'!$E$10+1,1))</f>
        <v>212.90262675152454</v>
      </c>
      <c r="AO49" s="62">
        <f t="shared" si="36"/>
        <v>366.51899340890498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79.68259894642668</v>
      </c>
      <c r="AV49" s="23">
        <f>EXP(-LN(2)/25)*AV48+(1-EXP(-LN(2)/25))/(LN(2)/25)*Calculateur!AQ49*Calculateur!AS49*VLOOKUP('Données projet'!$B$10,Paramètres!$A$1:$I$89,3,0)*0.475*44/12</f>
        <v>2.1452961589940434</v>
      </c>
      <c r="AW49" s="23">
        <f>EXP(-LN(2)/2)*AW48+(1-EXP(-LN(2)/2))/(LN(2)/2)*AQ49*AT49*VLOOKUP('Données projet'!$B$10,Paramètres!$A$1:$I$89,3,0)*0.475*44/12</f>
        <v>4.3028071823790608</v>
      </c>
      <c r="AX49" s="23">
        <f t="shared" si="6"/>
        <v>86.130702287799778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8.6</v>
      </c>
      <c r="BD49" s="13">
        <f>IF('Données projet'!$A$88&gt;35,BD48+BC49-BL48,IF(A49&lt;'Données projet'!$A$88,$BA$205^A49,IF(A49='Données projet'!$A$88,'Données projet'!$B$88,BD48+BC49-BL48)))</f>
        <v>196.60000000000002</v>
      </c>
      <c r="BE49" s="14">
        <f>BD49*VLOOKUP('Données projet'!$B$11,Paramètres!$A$1:$I$89,3,0)*VLOOKUP('Données projet'!$B$11,Paramètres!$A$1:$I$89,5,0)</f>
        <v>171.74976000000004</v>
      </c>
      <c r="BF49" s="14">
        <f t="shared" si="37"/>
        <v>43.481677757882629</v>
      </c>
      <c r="BG49" s="22">
        <f t="shared" si="7"/>
        <v>374.8614207616456</v>
      </c>
      <c r="BH49" s="62">
        <f t="shared" si="8"/>
        <v>627.21169416037128</v>
      </c>
      <c r="BI49" s="62">
        <f ca="1">AVERAGE(OFFSET($BH$3,0,0,'Données projet'!$E$11+1,1))-AVERAGE(OFFSET($H$3,0,0,'Données projet'!$E$11+1,1))</f>
        <v>342.02279578180605</v>
      </c>
      <c r="BJ49" s="62">
        <f t="shared" si="38"/>
        <v>409.02379334777754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8.4</v>
      </c>
      <c r="BY49" s="13">
        <f>IF('Données projet'!$A$114&gt;35,BY48+BX49-CG48,IF(A49&lt;'Données projet'!$A$114,$BV$205^A49,IF(A49='Données projet'!$A$114,'Données projet'!$B$114,BY48+BX49-CG48)))</f>
        <v>226.4</v>
      </c>
      <c r="BZ49" s="14">
        <f>BY49*VLOOKUP('Données projet'!$B$12,Paramètres!$A$1:$I$89,3,0)*VLOOKUP('Données projet'!$B$12,Paramètres!$A$1:$I$89,5,0)</f>
        <v>180.12384</v>
      </c>
      <c r="CA49" s="14">
        <f t="shared" si="39"/>
        <v>45.349737181998847</v>
      </c>
      <c r="CB49" s="22">
        <f t="shared" si="10"/>
        <v>392.69981359198135</v>
      </c>
      <c r="CC49" s="62">
        <f t="shared" si="11"/>
        <v>645.05008699070697</v>
      </c>
      <c r="CD49" s="62">
        <f ca="1">AVERAGE(OFFSET($CC$3,0,0,'Données projet'!$E$12+1,1))-AVERAGE(OFFSET($H$3,0,0,'Données projet'!$E$12+1,1))</f>
        <v>376.47942810265266</v>
      </c>
      <c r="CE49" s="62">
        <f t="shared" si="40"/>
        <v>362.87951024071265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12.197486305531243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12.197486305531243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8.4</v>
      </c>
      <c r="CT49" s="13">
        <f>IF('Données projet'!$A$140&gt;35,CT48+CS49-DB48,IF(A49&lt;'Données projet'!$A$140,$CQ$205^A49,IF(A49='Données projet'!$A$140,'Données projet'!$B$140,CT48+CS49-DB48)))</f>
        <v>226.4</v>
      </c>
      <c r="CU49" s="18">
        <f>CT49*VLOOKUP('Données projet'!$B$13,Paramètres!$A$1:$I$89,3,0)*VLOOKUP('Données projet'!$B$13,Paramètres!$A$1:$I$89,5,0)</f>
        <v>165.99648000000002</v>
      </c>
      <c r="CV49" s="14">
        <f t="shared" si="41"/>
        <v>42.192128407494515</v>
      </c>
      <c r="CW49" s="22">
        <f t="shared" si="13"/>
        <v>362.59515964305297</v>
      </c>
      <c r="CX49" s="62">
        <f t="shared" si="14"/>
        <v>614.94543304177864</v>
      </c>
      <c r="CY49" s="62">
        <f ca="1">AVERAGE(OFFSET($CX$3,0,0,'Données projet'!$E$13+1,1))-AVERAGE(OFFSET($H$3,0,0,'Données projet'!$E$13+1,1))</f>
        <v>351.7223836693733</v>
      </c>
      <c r="CZ49" s="62">
        <f t="shared" si="42"/>
        <v>339.34942976598518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9.1199111444612075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9.1199111444612075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183.33333333333334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21.939999999999998</v>
      </c>
      <c r="N50" s="14">
        <f>IF('Données projet'!$A$36&gt;35,N49+M50-V49,IF(A50&lt;'Données projet'!$A$36,$K$205^A50,IF(A50='Données projet'!$A$36,'Données projet'!$B$36,N49+M50-V49)))</f>
        <v>459.95</v>
      </c>
      <c r="O50" s="14">
        <f>N50*VLOOKUP('Données projet'!$B$9,Paramètres!$A$1:$I$89,3,0)*VLOOKUP('Données projet'!$B$9,Paramètres!$A$1:$I$89,5,0)</f>
        <v>257.11205000000001</v>
      </c>
      <c r="P50" s="14">
        <f t="shared" si="33"/>
        <v>62.106384111300585</v>
      </c>
      <c r="Q50" s="22">
        <f t="shared" si="53"/>
        <v>555.97210607718182</v>
      </c>
      <c r="R50" s="62">
        <f t="shared" si="0"/>
        <v>809.03334394137721</v>
      </c>
      <c r="S50" s="62">
        <f ca="1">AVERAGE(OFFSET($R$3,0,0,'Données projet'!$E$9+1,1))-AVERAGE(OFFSET($H$3,0,0,'Données projet'!$E$9+1,1))</f>
        <v>409.45931633551902</v>
      </c>
      <c r="T50" s="62">
        <f t="shared" si="34"/>
        <v>375.18886653687389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3.785537058439759</v>
      </c>
      <c r="AA50" s="23">
        <f>EXP(-LN(2)/25)*AA49+(1-EXP(-LN(2)/25))/(LN(2)/25)*Calculateur!V50*Calculateur!X50*VLOOKUP('Données projet'!$B$9,Paramètres!$A$1:$I$89,3,0)*0.475*44/12</f>
        <v>12.056061481581416</v>
      </c>
      <c r="AB50" s="23">
        <f>EXP(-LN(2)/2)*AB49+(1-EXP(-LN(2)/2))/(LN(2)/2)*V50*Y50*VLOOKUP('Données projet'!$B$9,Paramètres!$A$1:$I$89,3,0)*0.475*44/12</f>
        <v>3.2043777684520464E-2</v>
      </c>
      <c r="AC50" s="24">
        <f t="shared" si="3"/>
        <v>15.873642317705697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5.6843418860808015E-14</v>
      </c>
      <c r="AJ50" s="14">
        <f>AI50*VLOOKUP('Données projet'!$B$10,Paramètres!$A$1:$I$89,3,0)*VLOOKUP('Données projet'!$B$10,Paramètres!$A$1:$I$89,5,0)</f>
        <v>3.3992364478763198E-14</v>
      </c>
      <c r="AK50" s="14">
        <f t="shared" si="35"/>
        <v>5.790027782444094E-13</v>
      </c>
      <c r="AL50" s="22">
        <f t="shared" si="4"/>
        <v>1.0676332069095257E-12</v>
      </c>
      <c r="AM50" s="62">
        <f t="shared" si="5"/>
        <v>253.06123786419647</v>
      </c>
      <c r="AN50" s="62">
        <f ca="1">AVERAGE(OFFSET($AM$3,0,0,'Données projet'!$E$10+1,1))-AVERAGE(OFFSET($H$3,0,0,'Données projet'!$E$10+1,1))</f>
        <v>212.90262675152454</v>
      </c>
      <c r="AO50" s="62">
        <f t="shared" si="36"/>
        <v>366.51899340890498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78.120071782673605</v>
      </c>
      <c r="AV50" s="23">
        <f>EXP(-LN(2)/25)*AV49+(1-EXP(-LN(2)/25))/(LN(2)/25)*Calculateur!AQ50*Calculateur!AS50*VLOOKUP('Données projet'!$B$10,Paramètres!$A$1:$I$89,3,0)*0.475*44/12</f>
        <v>2.0866329227101295</v>
      </c>
      <c r="AW50" s="23">
        <f>EXP(-LN(2)/2)*AW49+(1-EXP(-LN(2)/2))/(LN(2)/2)*AQ50*AT50*VLOOKUP('Données projet'!$B$10,Paramètres!$A$1:$I$89,3,0)*0.475*44/12</f>
        <v>3.0425441367984156</v>
      </c>
      <c r="AX50" s="23">
        <f t="shared" si="6"/>
        <v>83.249248842182141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8.6</v>
      </c>
      <c r="BD50" s="13">
        <f>IF('Données projet'!$A$88&gt;35,BD49+BC50-BL49,IF(A50&lt;'Données projet'!$A$88,$BA$205^A50,IF(A50='Données projet'!$A$88,'Données projet'!$B$88,BD49+BC50-BL49)))</f>
        <v>205.20000000000002</v>
      </c>
      <c r="BE50" s="14">
        <f>BD50*VLOOKUP('Données projet'!$B$11,Paramètres!$A$1:$I$89,3,0)*VLOOKUP('Données projet'!$B$11,Paramètres!$A$1:$I$89,5,0)</f>
        <v>179.26272000000003</v>
      </c>
      <c r="BF50" s="14">
        <f t="shared" si="37"/>
        <v>45.158115787467153</v>
      </c>
      <c r="BG50" s="22">
        <f t="shared" si="7"/>
        <v>390.86628899650532</v>
      </c>
      <c r="BH50" s="62">
        <f t="shared" si="8"/>
        <v>643.92752686070071</v>
      </c>
      <c r="BI50" s="62">
        <f ca="1">AVERAGE(OFFSET($BH$3,0,0,'Données projet'!$E$11+1,1))-AVERAGE(OFFSET($H$3,0,0,'Données projet'!$E$11+1,1))</f>
        <v>342.02279578180605</v>
      </c>
      <c r="BJ50" s="62">
        <f t="shared" si="38"/>
        <v>409.02379334777754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8.4</v>
      </c>
      <c r="BY50" s="13">
        <f>IF('Données projet'!$A$114&gt;35,BY49+BX50-CG49,IF(A50&lt;'Données projet'!$A$114,$BV$205^A50,IF(A50='Données projet'!$A$114,'Données projet'!$B$114,BY49+BX50-CG49)))</f>
        <v>234.8</v>
      </c>
      <c r="BZ50" s="14">
        <f>BY50*VLOOKUP('Données projet'!$B$12,Paramètres!$A$1:$I$89,3,0)*VLOOKUP('Données projet'!$B$12,Paramètres!$A$1:$I$89,5,0)</f>
        <v>186.80688000000001</v>
      </c>
      <c r="CA50" s="14">
        <f t="shared" si="39"/>
        <v>46.833304503358612</v>
      </c>
      <c r="CB50" s="22">
        <f t="shared" si="10"/>
        <v>406.92332134334953</v>
      </c>
      <c r="CC50" s="62">
        <f t="shared" si="11"/>
        <v>659.98455920754486</v>
      </c>
      <c r="CD50" s="62">
        <f ca="1">AVERAGE(OFFSET($CC$3,0,0,'Données projet'!$E$12+1,1))-AVERAGE(OFFSET($H$3,0,0,'Données projet'!$E$12+1,1))</f>
        <v>376.47942810265266</v>
      </c>
      <c r="CE50" s="62">
        <f t="shared" si="40"/>
        <v>362.87951024071265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11.958301038811809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11.958301038811809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8.4</v>
      </c>
      <c r="CT50" s="13">
        <f>IF('Données projet'!$A$140&gt;35,CT49+CS50-DB49,IF(A50&lt;'Données projet'!$A$140,$CQ$205^A50,IF(A50='Données projet'!$A$140,'Données projet'!$B$140,CT49+CS50-DB49)))</f>
        <v>234.8</v>
      </c>
      <c r="CU50" s="18">
        <f>CT50*VLOOKUP('Données projet'!$B$13,Paramètres!$A$1:$I$89,3,0)*VLOOKUP('Données projet'!$B$13,Paramètres!$A$1:$I$89,5,0)</f>
        <v>172.15536</v>
      </c>
      <c r="CV50" s="14">
        <f t="shared" si="41"/>
        <v>43.572397992580903</v>
      </c>
      <c r="CW50" s="22">
        <f t="shared" si="13"/>
        <v>375.72584517041173</v>
      </c>
      <c r="CX50" s="62">
        <f t="shared" si="14"/>
        <v>628.78708303460712</v>
      </c>
      <c r="CY50" s="62">
        <f ca="1">AVERAGE(OFFSET($CX$3,0,0,'Données projet'!$E$13+1,1))-AVERAGE(OFFSET($H$3,0,0,'Données projet'!$E$13+1,1))</f>
        <v>351.7223836693733</v>
      </c>
      <c r="CZ50" s="62">
        <f t="shared" si="42"/>
        <v>339.34942976598518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8.94107524951486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8.94107524951486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183.33333333333334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21.939999999999998</v>
      </c>
      <c r="N51" s="14">
        <f>IF('Données projet'!$A$36&gt;35,N50+M51-V50,IF(A51&lt;'Données projet'!$A$36,$K$205^A51,IF(A51='Données projet'!$A$36,'Données projet'!$B$36,N50+M51-V50)))</f>
        <v>481.89</v>
      </c>
      <c r="O51" s="14">
        <f>N51*VLOOKUP('Données projet'!$B$9,Paramètres!$A$1:$I$89,3,0)*VLOOKUP('Données projet'!$B$9,Paramètres!$A$1:$I$89,5,0)</f>
        <v>269.37651</v>
      </c>
      <c r="P51" s="14">
        <f t="shared" si="33"/>
        <v>64.716931175288423</v>
      </c>
      <c r="Q51" s="22">
        <f t="shared" si="53"/>
        <v>581.87941004696063</v>
      </c>
      <c r="R51" s="62">
        <f t="shared" si="0"/>
        <v>835.63927873262833</v>
      </c>
      <c r="S51" s="62">
        <f ca="1">AVERAGE(OFFSET($R$3,0,0,'Données projet'!$E$9+1,1))-AVERAGE(OFFSET($H$3,0,0,'Données projet'!$E$9+1,1))</f>
        <v>409.45931633551902</v>
      </c>
      <c r="T51" s="62">
        <f t="shared" si="34"/>
        <v>375.18886653687389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3.7113049856733711</v>
      </c>
      <c r="AA51" s="23">
        <f>EXP(-LN(2)/25)*AA50+(1-EXP(-LN(2)/25))/(LN(2)/25)*Calculateur!V51*Calculateur!X51*VLOOKUP('Données projet'!$B$9,Paramètres!$A$1:$I$89,3,0)*0.475*44/12</f>
        <v>11.726387846366853</v>
      </c>
      <c r="AB51" s="23">
        <f>EXP(-LN(2)/2)*AB50+(1-EXP(-LN(2)/2))/(LN(2)/2)*V51*Y51*VLOOKUP('Données projet'!$B$9,Paramètres!$A$1:$I$89,3,0)*0.475*44/12</f>
        <v>2.2658372495558587E-2</v>
      </c>
      <c r="AC51" s="24">
        <f t="shared" si="3"/>
        <v>15.460351204535781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5.6843418860808015E-14</v>
      </c>
      <c r="AJ51" s="14">
        <f>AI51*VLOOKUP('Données projet'!$B$10,Paramètres!$A$1:$I$89,3,0)*VLOOKUP('Données projet'!$B$10,Paramètres!$A$1:$I$89,5,0)</f>
        <v>3.3992364478763198E-14</v>
      </c>
      <c r="AK51" s="14">
        <f t="shared" si="35"/>
        <v>5.790027782444094E-13</v>
      </c>
      <c r="AL51" s="22">
        <f t="shared" si="4"/>
        <v>1.0676332069095257E-12</v>
      </c>
      <c r="AM51" s="62">
        <f t="shared" si="5"/>
        <v>253.75986868566878</v>
      </c>
      <c r="AN51" s="62">
        <f ca="1">AVERAGE(OFFSET($AM$3,0,0,'Données projet'!$E$10+1,1))-AVERAGE(OFFSET($H$3,0,0,'Données projet'!$E$10+1,1))</f>
        <v>212.90262675152454</v>
      </c>
      <c r="AO51" s="62">
        <f t="shared" si="36"/>
        <v>366.51899340890498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76.588184823554258</v>
      </c>
      <c r="AV51" s="23">
        <f>EXP(-LN(2)/25)*AV50+(1-EXP(-LN(2)/25))/(LN(2)/25)*Calculateur!AQ51*Calculateur!AS51*VLOOKUP('Données projet'!$B$10,Paramètres!$A$1:$I$89,3,0)*0.475*44/12</f>
        <v>2.0295738357073647</v>
      </c>
      <c r="AW51" s="23">
        <f>EXP(-LN(2)/2)*AW50+(1-EXP(-LN(2)/2))/(LN(2)/2)*AQ51*AT51*VLOOKUP('Données projet'!$B$10,Paramètres!$A$1:$I$89,3,0)*0.475*44/12</f>
        <v>2.1514035911895304</v>
      </c>
      <c r="AX51" s="23">
        <f t="shared" si="6"/>
        <v>80.76916225045116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8.6</v>
      </c>
      <c r="BD51" s="13">
        <f>IF('Données projet'!$A$88&gt;35,BD50+BC51-BL50,IF(A51&lt;'Données projet'!$A$88,$BA$205^A51,IF(A51='Données projet'!$A$88,'Données projet'!$B$88,BD50+BC51-BL50)))</f>
        <v>213.8</v>
      </c>
      <c r="BE51" s="14">
        <f>BD51*VLOOKUP('Données projet'!$B$11,Paramètres!$A$1:$I$89,3,0)*VLOOKUP('Données projet'!$B$11,Paramètres!$A$1:$I$89,5,0)</f>
        <v>186.77568000000005</v>
      </c>
      <c r="BF51" s="14">
        <f t="shared" si="37"/>
        <v>46.826392937381165</v>
      </c>
      <c r="BG51" s="22">
        <f t="shared" si="7"/>
        <v>406.85694369927228</v>
      </c>
      <c r="BH51" s="62">
        <f t="shared" si="8"/>
        <v>660.61681238493998</v>
      </c>
      <c r="BI51" s="62">
        <f ca="1">AVERAGE(OFFSET($BH$3,0,0,'Données projet'!$E$11+1,1))-AVERAGE(OFFSET($H$3,0,0,'Données projet'!$E$11+1,1))</f>
        <v>342.02279578180605</v>
      </c>
      <c r="BJ51" s="62">
        <f t="shared" si="38"/>
        <v>409.02379334777754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8.4</v>
      </c>
      <c r="BY51" s="13">
        <f>IF('Données projet'!$A$114&gt;35,BY50+BX51-CG50,IF(A51&lt;'Données projet'!$A$114,$BV$205^A51,IF(A51='Données projet'!$A$114,'Données projet'!$B$114,BY50+BX51-CG50)))</f>
        <v>243.20000000000002</v>
      </c>
      <c r="BZ51" s="14">
        <f>BY51*VLOOKUP('Données projet'!$B$12,Paramètres!$A$1:$I$89,3,0)*VLOOKUP('Données projet'!$B$12,Paramètres!$A$1:$I$89,5,0)</f>
        <v>193.48992000000001</v>
      </c>
      <c r="CA51" s="14">
        <f t="shared" si="39"/>
        <v>48.310705372586774</v>
      </c>
      <c r="CB51" s="22">
        <f t="shared" si="10"/>
        <v>421.13608919058862</v>
      </c>
      <c r="CC51" s="62">
        <f t="shared" si="11"/>
        <v>674.89595787625626</v>
      </c>
      <c r="CD51" s="62">
        <f ca="1">AVERAGE(OFFSET($CC$3,0,0,'Données projet'!$E$12+1,1))-AVERAGE(OFFSET($H$3,0,0,'Données projet'!$E$12+1,1))</f>
        <v>376.47942810265266</v>
      </c>
      <c r="CE51" s="62">
        <f t="shared" si="40"/>
        <v>362.87951024071265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11.723806049284136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11.723806049284136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8.4</v>
      </c>
      <c r="CT51" s="13">
        <f>IF('Données projet'!$A$140&gt;35,CT50+CS51-DB50,IF(A51&lt;'Données projet'!$A$140,$CQ$205^A51,IF(A51='Données projet'!$A$140,'Données projet'!$B$140,CT50+CS51-DB50)))</f>
        <v>243.20000000000002</v>
      </c>
      <c r="CU51" s="18">
        <f>CT51*VLOOKUP('Données projet'!$B$13,Paramètres!$A$1:$I$89,3,0)*VLOOKUP('Données projet'!$B$13,Paramètres!$A$1:$I$89,5,0)</f>
        <v>178.31424000000001</v>
      </c>
      <c r="CV51" s="14">
        <f t="shared" si="41"/>
        <v>44.946930482894025</v>
      </c>
      <c r="CW51" s="22">
        <f t="shared" si="13"/>
        <v>388.84653859104043</v>
      </c>
      <c r="CX51" s="62">
        <f t="shared" si="14"/>
        <v>642.60640727670807</v>
      </c>
      <c r="CY51" s="62">
        <f ca="1">AVERAGE(OFFSET($CX$3,0,0,'Données projet'!$E$13+1,1))-AVERAGE(OFFSET($H$3,0,0,'Données projet'!$E$13+1,1))</f>
        <v>351.7223836693733</v>
      </c>
      <c r="CZ51" s="62">
        <f t="shared" si="42"/>
        <v>339.34942976598518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8.7657462173892853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8.7657462173892853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183.33333333333334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>
        <f>VLOOKUP(A52,'Données projet'!$A$35:$I$55,2,0)</f>
        <v>503.83</v>
      </c>
      <c r="L52" s="13">
        <f>VLOOKUP(A52,'Données projet'!$A$35:$I$55,9,0)</f>
        <v>21.939999999999998</v>
      </c>
      <c r="M52" s="13">
        <f t="array" ref="M52">INDEX(L:L,MIN(IF(ISNUMBER(L52:L248),ROW(L52:L248),"")))</f>
        <v>21.939999999999998</v>
      </c>
      <c r="N52" s="14">
        <f>IF('Données projet'!$A$36&gt;35,N51+M52-V51,IF(A52&lt;'Données projet'!$A$36,$K$205^A52,IF(A52='Données projet'!$A$36,'Données projet'!$B$36,N51+M52-V51)))</f>
        <v>503.83</v>
      </c>
      <c r="O52" s="14">
        <f>N52*VLOOKUP('Données projet'!$B$9,Paramètres!$A$1:$I$89,3,0)*VLOOKUP('Données projet'!$B$9,Paramètres!$A$1:$I$89,5,0)</f>
        <v>281.64096999999998</v>
      </c>
      <c r="P52" s="14">
        <f t="shared" si="33"/>
        <v>67.313674987907362</v>
      </c>
      <c r="Q52" s="22">
        <f t="shared" si="53"/>
        <v>607.76267335393857</v>
      </c>
      <c r="R52" s="62">
        <f t="shared" si="0"/>
        <v>862.20905317823053</v>
      </c>
      <c r="S52" s="62">
        <f ca="1">AVERAGE(OFFSET($R$3,0,0,'Données projet'!$E$9+1,1))-AVERAGE(OFFSET($H$3,0,0,'Données projet'!$E$9+1,1))</f>
        <v>409.45931633551902</v>
      </c>
      <c r="T52" s="62">
        <f t="shared" si="34"/>
        <v>375.18886653687389</v>
      </c>
      <c r="U52" s="16">
        <f>IF(ISNA(VLOOKUP(A52,'Données projet'!$A$35:$I$55,3,0)),0,VLOOKUP(A52,'Données projet'!$A$35:$I$55,3,0))</f>
        <v>6</v>
      </c>
      <c r="V52" s="16">
        <f>IF(ISNA(VLOOKUP(A52,'Données projet'!$A$35:$I$55,4,0)),0,VLOOKUP(A52,'Données projet'!$A$35:$I$55,4,0))</f>
        <v>112.61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3.6385285585768385</v>
      </c>
      <c r="AA52" s="23">
        <f>EXP(-LN(2)/25)*AA51+(1-EXP(-LN(2)/25))/(LN(2)/25)*Calculateur!V52*Calculateur!X52*VLOOKUP('Données projet'!$B$9,Paramètres!$A$1:$I$89,3,0)*0.475*44/12</f>
        <v>11.405729154044016</v>
      </c>
      <c r="AB52" s="23">
        <f>EXP(-LN(2)/2)*AB51+(1-EXP(-LN(2)/2))/(LN(2)/2)*V52*Y52*VLOOKUP('Données projet'!$B$9,Paramètres!$A$1:$I$89,3,0)*0.475*44/12</f>
        <v>1.6021888842260232E-2</v>
      </c>
      <c r="AC52" s="24">
        <f t="shared" si="3"/>
        <v>15.060279601463115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5.6843418860808015E-14</v>
      </c>
      <c r="AJ52" s="14">
        <f>AI52*VLOOKUP('Données projet'!$B$10,Paramètres!$A$1:$I$89,3,0)*VLOOKUP('Données projet'!$B$10,Paramètres!$A$1:$I$89,5,0)</f>
        <v>3.3992364478763198E-14</v>
      </c>
      <c r="AK52" s="14">
        <f t="shared" si="35"/>
        <v>5.790027782444094E-13</v>
      </c>
      <c r="AL52" s="22">
        <f t="shared" si="4"/>
        <v>1.0676332069095257E-12</v>
      </c>
      <c r="AM52" s="62">
        <f t="shared" si="5"/>
        <v>254.44637982429305</v>
      </c>
      <c r="AN52" s="62">
        <f ca="1">AVERAGE(OFFSET($AM$3,0,0,'Données projet'!$E$10+1,1))-AVERAGE(OFFSET($H$3,0,0,'Données projet'!$E$10+1,1))</f>
        <v>212.90262675152454</v>
      </c>
      <c r="AO52" s="62">
        <f t="shared" si="36"/>
        <v>366.51899340890498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75.086337233344466</v>
      </c>
      <c r="AV52" s="23">
        <f>EXP(-LN(2)/25)*AV51+(1-EXP(-LN(2)/25))/(LN(2)/25)*Calculateur!AQ52*Calculateur!AS52*VLOOKUP('Données projet'!$B$10,Paramètres!$A$1:$I$89,3,0)*0.475*44/12</f>
        <v>1.9740750324392975</v>
      </c>
      <c r="AW52" s="23">
        <f>EXP(-LN(2)/2)*AW51+(1-EXP(-LN(2)/2))/(LN(2)/2)*AQ52*AT52*VLOOKUP('Données projet'!$B$10,Paramètres!$A$1:$I$89,3,0)*0.475*44/12</f>
        <v>1.5212720683992078</v>
      </c>
      <c r="AX52" s="23">
        <f t="shared" si="6"/>
        <v>78.581684334182981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8.6</v>
      </c>
      <c r="BD52" s="13">
        <f>IF('Données projet'!$A$88&gt;35,BD51+BC52-BL51,IF(A52&lt;'Données projet'!$A$88,$BA$205^A52,IF(A52='Données projet'!$A$88,'Données projet'!$B$88,BD51+BC52-BL51)))</f>
        <v>222.4</v>
      </c>
      <c r="BE52" s="14">
        <f>BD52*VLOOKUP('Données projet'!$B$11,Paramètres!$A$1:$I$89,3,0)*VLOOKUP('Données projet'!$B$11,Paramètres!$A$1:$I$89,5,0)</f>
        <v>194.28864000000002</v>
      </c>
      <c r="BF52" s="14">
        <f t="shared" si="37"/>
        <v>48.486875029770822</v>
      </c>
      <c r="BG52" s="22">
        <f t="shared" si="7"/>
        <v>422.83402201018413</v>
      </c>
      <c r="BH52" s="62">
        <f t="shared" si="8"/>
        <v>677.28040183447615</v>
      </c>
      <c r="BI52" s="62">
        <f ca="1">AVERAGE(OFFSET($BH$3,0,0,'Données projet'!$E$11+1,1))-AVERAGE(OFFSET($H$3,0,0,'Données projet'!$E$11+1,1))</f>
        <v>342.02279578180605</v>
      </c>
      <c r="BJ52" s="62">
        <f t="shared" si="38"/>
        <v>409.02379334777754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8.4</v>
      </c>
      <c r="BY52" s="13">
        <f>IF('Données projet'!$A$114&gt;35,BY51+BX52-CG51,IF(A52&lt;'Données projet'!$A$114,$BV$205^A52,IF(A52='Données projet'!$A$114,'Données projet'!$B$114,BY51+BX52-CG51)))</f>
        <v>251.60000000000002</v>
      </c>
      <c r="BZ52" s="14">
        <f>BY52*VLOOKUP('Données projet'!$B$12,Paramètres!$A$1:$I$89,3,0)*VLOOKUP('Données projet'!$B$12,Paramètres!$A$1:$I$89,5,0)</f>
        <v>200.17296000000002</v>
      </c>
      <c r="CA52" s="14">
        <f t="shared" si="39"/>
        <v>49.782177185856028</v>
      </c>
      <c r="CB52" s="22">
        <f t="shared" si="10"/>
        <v>435.33853059869926</v>
      </c>
      <c r="CC52" s="62">
        <f t="shared" si="11"/>
        <v>689.78491042299129</v>
      </c>
      <c r="CD52" s="62">
        <f ca="1">AVERAGE(OFFSET($CC$3,0,0,'Données projet'!$E$12+1,1))-AVERAGE(OFFSET($H$3,0,0,'Données projet'!$E$12+1,1))</f>
        <v>376.47942810265266</v>
      </c>
      <c r="CE52" s="62">
        <f t="shared" si="40"/>
        <v>362.87951024071265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11.493909363473279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11.493909363473279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8.4</v>
      </c>
      <c r="CT52" s="13">
        <f>IF('Données projet'!$A$140&gt;35,CT51+CS52-DB51,IF(A52&lt;'Données projet'!$A$140,$CQ$205^A52,IF(A52='Données projet'!$A$140,'Données projet'!$B$140,CT51+CS52-DB51)))</f>
        <v>251.60000000000002</v>
      </c>
      <c r="CU52" s="18">
        <f>CT52*VLOOKUP('Données projet'!$B$13,Paramètres!$A$1:$I$89,3,0)*VLOOKUP('Données projet'!$B$13,Paramètres!$A$1:$I$89,5,0)</f>
        <v>184.47312000000002</v>
      </c>
      <c r="CV52" s="14">
        <f t="shared" si="41"/>
        <v>46.315946745200151</v>
      </c>
      <c r="CW52" s="22">
        <f t="shared" si="13"/>
        <v>401.95762458122357</v>
      </c>
      <c r="CX52" s="62">
        <f t="shared" si="14"/>
        <v>656.40400440551548</v>
      </c>
      <c r="CY52" s="62">
        <f ca="1">AVERAGE(OFFSET($CX$3,0,0,'Données projet'!$E$13+1,1))-AVERAGE(OFFSET($H$3,0,0,'Données projet'!$E$13+1,1))</f>
        <v>351.7223836693733</v>
      </c>
      <c r="CZ52" s="62">
        <f t="shared" si="42"/>
        <v>339.34942976598518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8.5938552806435435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8.5938552806435435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183.33333333333334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20.324285714285718</v>
      </c>
      <c r="N53" s="14">
        <f>IF('Données projet'!$A$36&gt;35,N52+M53-V52,IF(A53&lt;'Données projet'!$A$36,$K$205^A53,IF(A53='Données projet'!$A$36,'Données projet'!$B$36,N52+M53-V52)))</f>
        <v>411.54428571428571</v>
      </c>
      <c r="O53" s="14">
        <f>N53*VLOOKUP('Données projet'!$B$9,Paramètres!$A$1:$I$89,3,0)*VLOOKUP('Données projet'!$B$9,Paramètres!$A$1:$I$89,5,0)</f>
        <v>230.05325571428571</v>
      </c>
      <c r="P53" s="14">
        <f t="shared" si="33"/>
        <v>56.294196506523747</v>
      </c>
      <c r="Q53" s="22">
        <f t="shared" si="53"/>
        <v>498.72181261790985</v>
      </c>
      <c r="R53" s="62">
        <f t="shared" si="0"/>
        <v>753.84279414737989</v>
      </c>
      <c r="S53" s="62">
        <f ca="1">AVERAGE(OFFSET($R$3,0,0,'Données projet'!$E$9+1,1))-AVERAGE(OFFSET($H$3,0,0,'Données projet'!$E$9+1,1))</f>
        <v>409.45931633551902</v>
      </c>
      <c r="T53" s="62">
        <f t="shared" si="34"/>
        <v>375.18886653687389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3.5671792328264313</v>
      </c>
      <c r="AA53" s="23">
        <f>EXP(-LN(2)/25)*AA52+(1-EXP(-LN(2)/25))/(LN(2)/25)*Calculateur!V53*Calculateur!X53*VLOOKUP('Données projet'!$B$9,Paramètres!$A$1:$I$89,3,0)*0.475*44/12</f>
        <v>11.093838890525454</v>
      </c>
      <c r="AB53" s="23">
        <f>EXP(-LN(2)/2)*AB52+(1-EXP(-LN(2)/2))/(LN(2)/2)*V53*Y53*VLOOKUP('Données projet'!$B$9,Paramètres!$A$1:$I$89,3,0)*0.475*44/12</f>
        <v>1.1329186247779293E-2</v>
      </c>
      <c r="AC53" s="24">
        <f t="shared" si="3"/>
        <v>14.672347309599665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5.6843418860808015E-14</v>
      </c>
      <c r="AJ53" s="14">
        <f>AI53*VLOOKUP('Données projet'!$B$10,Paramètres!$A$1:$I$89,3,0)*VLOOKUP('Données projet'!$B$10,Paramètres!$A$1:$I$89,5,0)</f>
        <v>3.3992364478763198E-14</v>
      </c>
      <c r="AK53" s="14">
        <f t="shared" si="35"/>
        <v>5.790027782444094E-13</v>
      </c>
      <c r="AL53" s="22">
        <f t="shared" si="4"/>
        <v>1.0676332069095257E-12</v>
      </c>
      <c r="AM53" s="62">
        <f t="shared" si="5"/>
        <v>255.12098152947118</v>
      </c>
      <c r="AN53" s="62">
        <f ca="1">AVERAGE(OFFSET($AM$3,0,0,'Données projet'!$E$10+1,1))-AVERAGE(OFFSET($H$3,0,0,'Données projet'!$E$10+1,1))</f>
        <v>212.90262675152454</v>
      </c>
      <c r="AO53" s="62">
        <f t="shared" si="36"/>
        <v>366.51899340890498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73.613939958342101</v>
      </c>
      <c r="AV53" s="23">
        <f>EXP(-LN(2)/25)*AV52+(1-EXP(-LN(2)/25))/(LN(2)/25)*Calculateur!AQ53*Calculateur!AS53*VLOOKUP('Données projet'!$B$10,Paramètres!$A$1:$I$89,3,0)*0.475*44/12</f>
        <v>1.9200938468651507</v>
      </c>
      <c r="AW53" s="23">
        <f>EXP(-LN(2)/2)*AW52+(1-EXP(-LN(2)/2))/(LN(2)/2)*AQ53*AT53*VLOOKUP('Données projet'!$B$10,Paramètres!$A$1:$I$89,3,0)*0.475*44/12</f>
        <v>1.0757017955947652</v>
      </c>
      <c r="AX53" s="23">
        <f t="shared" si="6"/>
        <v>76.609735600802026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231</v>
      </c>
      <c r="BB53" s="13">
        <f>VLOOKUP(A53,'Données projet'!$A$87:$I$107,9,0)</f>
        <v>8.6</v>
      </c>
      <c r="BC53" s="13">
        <f t="array" ref="BC53">INDEX(BB:BB,MIN(IF(ISNUMBER(BB53:BB249),ROW(BB53:BB249),"")))</f>
        <v>8.6</v>
      </c>
      <c r="BD53" s="13">
        <f>IF('Données projet'!$A$88&gt;35,BD52+BC53-BL52,IF(A53&lt;'Données projet'!$A$88,$BA$205^A53,IF(A53='Données projet'!$A$88,'Données projet'!$B$88,BD52+BC53-BL52)))</f>
        <v>231</v>
      </c>
      <c r="BE53" s="14">
        <f>BD53*VLOOKUP('Données projet'!$B$11,Paramètres!$A$1:$I$89,3,0)*VLOOKUP('Données projet'!$B$11,Paramètres!$A$1:$I$89,5,0)</f>
        <v>201.80160000000004</v>
      </c>
      <c r="BF53" s="14">
        <f t="shared" si="37"/>
        <v>50.139897992681668</v>
      </c>
      <c r="BG53" s="22">
        <f t="shared" si="7"/>
        <v>438.79810900392067</v>
      </c>
      <c r="BH53" s="62">
        <f t="shared" si="8"/>
        <v>693.91909053339077</v>
      </c>
      <c r="BI53" s="62">
        <f ca="1">AVERAGE(OFFSET($BH$3,0,0,'Données projet'!$E$11+1,1))-AVERAGE(OFFSET($H$3,0,0,'Données projet'!$E$11+1,1))</f>
        <v>342.02279578180605</v>
      </c>
      <c r="BJ53" s="62">
        <f t="shared" si="38"/>
        <v>409.02379334777754</v>
      </c>
      <c r="BK53" s="16">
        <f>IF(ISNA(VLOOKUP(A53,'Données projet'!$A$87:$I$107,3,0)),0,VLOOKUP(A53,'Données projet'!$A$87:$I$107,3,0))</f>
        <v>8</v>
      </c>
      <c r="BL53" s="16">
        <f>IF(ISNA(VLOOKUP(A53,'Données projet'!$A$87:$I$107,4,0)),0,VLOOKUP(A53,'Données projet'!$A$87:$I$107,4,0))</f>
        <v>33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260</v>
      </c>
      <c r="BW53" s="13">
        <f>VLOOKUP(A53,'Données projet'!$A$113:$I$133,9,0)</f>
        <v>8.4</v>
      </c>
      <c r="BX53" s="13">
        <f t="array" ref="BX53">INDEX(BW:BW,MIN(IF(ISNUMBER(BW53:BW249),ROW(BW53:BW249),"")))</f>
        <v>8.4</v>
      </c>
      <c r="BY53" s="13">
        <f>IF('Données projet'!$A$114&gt;35,BY52+BX53-CG52,IF(A53&lt;'Données projet'!$A$114,$BV$205^A53,IF(A53='Données projet'!$A$114,'Données projet'!$B$114,BY52+BX53-CG52)))</f>
        <v>260</v>
      </c>
      <c r="BZ53" s="14">
        <f>BY53*VLOOKUP('Données projet'!$B$12,Paramètres!$A$1:$I$89,3,0)*VLOOKUP('Données projet'!$B$12,Paramètres!$A$1:$I$89,5,0)</f>
        <v>206.85599999999999</v>
      </c>
      <c r="CA53" s="14">
        <f t="shared" si="39"/>
        <v>51.247940588293027</v>
      </c>
      <c r="CB53" s="22">
        <f t="shared" si="10"/>
        <v>449.53102985794368</v>
      </c>
      <c r="CC53" s="62">
        <f t="shared" si="11"/>
        <v>704.65201138741372</v>
      </c>
      <c r="CD53" s="62">
        <f ca="1">AVERAGE(OFFSET($CC$3,0,0,'Données projet'!$E$12+1,1))-AVERAGE(OFFSET($H$3,0,0,'Données projet'!$E$12+1,1))</f>
        <v>376.47942810265266</v>
      </c>
      <c r="CE53" s="62">
        <f t="shared" si="40"/>
        <v>362.87951024071265</v>
      </c>
      <c r="CF53" s="16">
        <f>IF(ISNA(VLOOKUP(A53,'Données projet'!$A$113:$I$133,3,0)),0,VLOOKUP(A53,'Données projet'!$A$113:$I$133,3,0))</f>
        <v>9</v>
      </c>
      <c r="CG53" s="16">
        <f>IF(ISNA(VLOOKUP(A53,'Données projet'!$A$113:$I$133,4,0)),0,VLOOKUP(A53,'Données projet'!$A$113:$I$133,4,0))</f>
        <v>19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11.26852081144804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11.26852081144804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260</v>
      </c>
      <c r="CR53" s="13">
        <f>VLOOKUP(A53,'Données projet'!$A$139:$I$159,9,0)</f>
        <v>8.4</v>
      </c>
      <c r="CS53" s="13">
        <f t="array" ref="CS53">INDEX(CR:CR,MIN(IF(ISNUMBER(CR53:CR249),ROW(CR53:CR249),"")))</f>
        <v>8.4</v>
      </c>
      <c r="CT53" s="13">
        <f>IF('Données projet'!$A$140&gt;35,CT52+CS53-DB52,IF(A53&lt;'Données projet'!$A$140,$CQ$205^A53,IF(A53='Données projet'!$A$140,'Données projet'!$B$140,CT52+CS53-DB52)))</f>
        <v>260</v>
      </c>
      <c r="CU53" s="18">
        <f>CT53*VLOOKUP('Données projet'!$B$13,Paramètres!$A$1:$I$89,3,0)*VLOOKUP('Données projet'!$B$13,Paramètres!$A$1:$I$89,5,0)</f>
        <v>190.63199999999998</v>
      </c>
      <c r="CV53" s="14">
        <f t="shared" si="41"/>
        <v>47.679652061560311</v>
      </c>
      <c r="CW53" s="22">
        <f t="shared" si="13"/>
        <v>415.05946067388413</v>
      </c>
      <c r="CX53" s="62">
        <f t="shared" si="14"/>
        <v>670.18044220335423</v>
      </c>
      <c r="CY53" s="62">
        <f ca="1">AVERAGE(OFFSET($CX$3,0,0,'Données projet'!$E$13+1,1))-AVERAGE(OFFSET($H$3,0,0,'Données projet'!$E$13+1,1))</f>
        <v>351.7223836693733</v>
      </c>
      <c r="CZ53" s="62">
        <f t="shared" si="42"/>
        <v>339.34942976598518</v>
      </c>
      <c r="DA53" s="16">
        <f>IF(ISNA(VLOOKUP(A53,'Données projet'!$A$139:$I$159,3,0)),0,VLOOKUP(A53,'Données projet'!$A$139:$I$159,3,0))</f>
        <v>9</v>
      </c>
      <c r="DB53" s="16">
        <f>IF(ISNA(VLOOKUP(A53,'Données projet'!$A$139:$I$159,4,0)),0,VLOOKUP(A53,'Données projet'!$A$139:$I$159,4,0))</f>
        <v>19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8.4253350203242672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8.4253350203242672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183.33333333333334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20.324285714285718</v>
      </c>
      <c r="N54" s="14">
        <f>IF('Données projet'!$A$36&gt;35,N53+M54-V53,IF(A54&lt;'Données projet'!$A$36,$K$205^A54,IF(A54='Données projet'!$A$36,'Données projet'!$B$36,N53+M54-V53)))</f>
        <v>431.86857142857144</v>
      </c>
      <c r="O54" s="14">
        <f>N54*VLOOKUP('Données projet'!$B$9,Paramètres!$A$1:$I$89,3,0)*VLOOKUP('Données projet'!$B$9,Paramètres!$A$1:$I$89,5,0)</f>
        <v>241.41453142857142</v>
      </c>
      <c r="P54" s="14">
        <f t="shared" si="33"/>
        <v>58.743769641045859</v>
      </c>
      <c r="Q54" s="22">
        <f t="shared" si="53"/>
        <v>522.77570769625004</v>
      </c>
      <c r="R54" s="62">
        <f t="shared" si="0"/>
        <v>778.55958809949686</v>
      </c>
      <c r="S54" s="62">
        <f ca="1">AVERAGE(OFFSET($R$3,0,0,'Données projet'!$E$9+1,1))-AVERAGE(OFFSET($H$3,0,0,'Données projet'!$E$9+1,1))</f>
        <v>409.45931633551902</v>
      </c>
      <c r="T54" s="62">
        <f t="shared" si="34"/>
        <v>375.18886653687389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3.4972290238351982</v>
      </c>
      <c r="AA54" s="23">
        <f>EXP(-LN(2)/25)*AA53+(1-EXP(-LN(2)/25))/(LN(2)/25)*Calculateur!V54*Calculateur!X54*VLOOKUP('Données projet'!$B$9,Paramètres!$A$1:$I$89,3,0)*0.475*44/12</f>
        <v>10.790477282664403</v>
      </c>
      <c r="AB54" s="23">
        <f>EXP(-LN(2)/2)*AB53+(1-EXP(-LN(2)/2))/(LN(2)/2)*V54*Y54*VLOOKUP('Données projet'!$B$9,Paramètres!$A$1:$I$89,3,0)*0.475*44/12</f>
        <v>8.0109444211301159E-3</v>
      </c>
      <c r="AC54" s="24">
        <f t="shared" si="3"/>
        <v>14.295717250920731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5.6843418860808015E-14</v>
      </c>
      <c r="AJ54" s="14">
        <f>AI54*VLOOKUP('Données projet'!$B$10,Paramètres!$A$1:$I$89,3,0)*VLOOKUP('Données projet'!$B$10,Paramètres!$A$1:$I$89,5,0)</f>
        <v>3.3992364478763198E-14</v>
      </c>
      <c r="AK54" s="14">
        <f t="shared" si="35"/>
        <v>5.790027782444094E-13</v>
      </c>
      <c r="AL54" s="22">
        <f t="shared" si="4"/>
        <v>1.0676332069095257E-12</v>
      </c>
      <c r="AM54" s="62">
        <f t="shared" si="5"/>
        <v>255.78388040324791</v>
      </c>
      <c r="AN54" s="62">
        <f ca="1">AVERAGE(OFFSET($AM$3,0,0,'Données projet'!$E$10+1,1))-AVERAGE(OFFSET($H$3,0,0,'Données projet'!$E$10+1,1))</f>
        <v>212.90262675152454</v>
      </c>
      <c r="AO54" s="62">
        <f t="shared" si="36"/>
        <v>366.51899340890498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72.170415495828877</v>
      </c>
      <c r="AV54" s="23">
        <f>EXP(-LN(2)/25)*AV53+(1-EXP(-LN(2)/25))/(LN(2)/25)*Calculateur!AQ54*Calculateur!AS54*VLOOKUP('Données projet'!$B$10,Paramètres!$A$1:$I$89,3,0)*0.475*44/12</f>
        <v>1.8675887796492763</v>
      </c>
      <c r="AW54" s="23">
        <f>EXP(-LN(2)/2)*AW53+(1-EXP(-LN(2)/2))/(LN(2)/2)*AQ54*AT54*VLOOKUP('Données projet'!$B$10,Paramètres!$A$1:$I$89,3,0)*0.475*44/12</f>
        <v>0.76063603419960391</v>
      </c>
      <c r="AX54" s="23">
        <f t="shared" si="6"/>
        <v>74.798640309677765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7.8</v>
      </c>
      <c r="BD54" s="13">
        <f>IF('Données projet'!$A$88&gt;35,BD53+BC54-BL53,IF(A54&lt;'Données projet'!$A$88,$BA$205^A54,IF(A54='Données projet'!$A$88,'Données projet'!$B$88,BD53+BC54-BL53)))</f>
        <v>205.8</v>
      </c>
      <c r="BE54" s="14">
        <f>BD54*VLOOKUP('Données projet'!$B$11,Paramètres!$A$1:$I$89,3,0)*VLOOKUP('Données projet'!$B$11,Paramètres!$A$1:$I$89,5,0)</f>
        <v>179.78688000000002</v>
      </c>
      <c r="BF54" s="14">
        <f t="shared" si="37"/>
        <v>45.274767624296935</v>
      </c>
      <c r="BG54" s="22">
        <f t="shared" si="7"/>
        <v>391.9823696123172</v>
      </c>
      <c r="BH54" s="62">
        <f t="shared" si="8"/>
        <v>647.76625001556408</v>
      </c>
      <c r="BI54" s="62">
        <f ca="1">AVERAGE(OFFSET($BH$3,0,0,'Données projet'!$E$11+1,1))-AVERAGE(OFFSET($H$3,0,0,'Données projet'!$E$11+1,1))</f>
        <v>342.02279578180605</v>
      </c>
      <c r="BJ54" s="62">
        <f t="shared" si="38"/>
        <v>409.02379334777754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7.4</v>
      </c>
      <c r="BY54" s="13">
        <f>IF('Données projet'!$A$114&gt;35,BY53+BX54-CG53,IF(A54&lt;'Données projet'!$A$114,$BV$205^A54,IF(A54='Données projet'!$A$114,'Données projet'!$B$114,BY53+BX54-CG53)))</f>
        <v>248.39999999999998</v>
      </c>
      <c r="BZ54" s="14">
        <f>BY54*VLOOKUP('Données projet'!$B$12,Paramètres!$A$1:$I$89,3,0)*VLOOKUP('Données projet'!$B$12,Paramètres!$A$1:$I$89,5,0)</f>
        <v>197.62703999999999</v>
      </c>
      <c r="CA54" s="14">
        <f t="shared" si="39"/>
        <v>49.222301224260015</v>
      </c>
      <c r="CB54" s="22">
        <f t="shared" si="10"/>
        <v>429.92926929891951</v>
      </c>
      <c r="CC54" s="62">
        <f t="shared" si="11"/>
        <v>685.71314970216633</v>
      </c>
      <c r="CD54" s="62">
        <f ca="1">AVERAGE(OFFSET($CC$3,0,0,'Données projet'!$E$12+1,1))-AVERAGE(OFFSET($H$3,0,0,'Données projet'!$E$12+1,1))</f>
        <v>376.47942810265266</v>
      </c>
      <c r="CE54" s="62">
        <f t="shared" si="40"/>
        <v>362.87951024071265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11.047551991454574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11.047551991454574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7.4</v>
      </c>
      <c r="CT54" s="13">
        <f>IF('Données projet'!$A$140&gt;35,CT53+CS54-DB53,IF(A54&lt;'Données projet'!$A$140,$CQ$205^A54,IF(A54='Données projet'!$A$140,'Données projet'!$B$140,CT53+CS54-DB53)))</f>
        <v>248.39999999999998</v>
      </c>
      <c r="CU54" s="18">
        <f>CT54*VLOOKUP('Données projet'!$B$13,Paramètres!$A$1:$I$89,3,0)*VLOOKUP('Données projet'!$B$13,Paramètres!$A$1:$I$89,5,0)</f>
        <v>182.12687999999997</v>
      </c>
      <c r="CV54" s="14">
        <f t="shared" si="41"/>
        <v>45.795053793403618</v>
      </c>
      <c r="CW54" s="22">
        <f t="shared" si="13"/>
        <v>396.96403469017787</v>
      </c>
      <c r="CX54" s="62">
        <f t="shared" si="14"/>
        <v>652.74791509342469</v>
      </c>
      <c r="CY54" s="62">
        <f ca="1">AVERAGE(OFFSET($CX$3,0,0,'Données projet'!$E$13+1,1))-AVERAGE(OFFSET($H$3,0,0,'Données projet'!$E$13+1,1))</f>
        <v>351.7223836693733</v>
      </c>
      <c r="CZ54" s="62">
        <f t="shared" si="42"/>
        <v>339.34942976598518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8.2601193395226424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8.2601193395226424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183.33333333333334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20.324285714285718</v>
      </c>
      <c r="N55" s="14">
        <f>IF('Données projet'!$A$36&gt;35,N54+M55-V54,IF(A55&lt;'Données projet'!$A$36,$K$205^A55,IF(A55='Données projet'!$A$36,'Données projet'!$B$36,N54+M55-V54)))</f>
        <v>452.19285714285718</v>
      </c>
      <c r="O55" s="14">
        <f>N55*VLOOKUP('Données projet'!$B$9,Paramètres!$A$1:$I$89,3,0)*VLOOKUP('Données projet'!$B$9,Paramètres!$A$1:$I$89,5,0)</f>
        <v>252.77580714285716</v>
      </c>
      <c r="P55" s="14">
        <f t="shared" si="33"/>
        <v>61.179955647848509</v>
      </c>
      <c r="Q55" s="22">
        <f t="shared" si="53"/>
        <v>546.80628686047896</v>
      </c>
      <c r="R55" s="62">
        <f t="shared" si="0"/>
        <v>803.24156632406232</v>
      </c>
      <c r="S55" s="62">
        <f ca="1">AVERAGE(OFFSET($R$3,0,0,'Données projet'!$E$9+1,1))-AVERAGE(OFFSET($H$3,0,0,'Données projet'!$E$9+1,1))</f>
        <v>409.45931633551902</v>
      </c>
      <c r="T55" s="62">
        <f t="shared" si="34"/>
        <v>375.18886653687389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3.4286504957768686</v>
      </c>
      <c r="AA55" s="23">
        <f>EXP(-LN(2)/25)*AA54+(1-EXP(-LN(2)/25))/(LN(2)/25)*Calculateur!V55*Calculateur!X55*VLOOKUP('Données projet'!$B$9,Paramètres!$A$1:$I$89,3,0)*0.475*44/12</f>
        <v>10.495411113923407</v>
      </c>
      <c r="AB55" s="23">
        <f>EXP(-LN(2)/2)*AB54+(1-EXP(-LN(2)/2))/(LN(2)/2)*V55*Y55*VLOOKUP('Données projet'!$B$9,Paramètres!$A$1:$I$89,3,0)*0.475*44/12</f>
        <v>5.6645931238896467E-3</v>
      </c>
      <c r="AC55" s="24">
        <f t="shared" si="3"/>
        <v>13.929726202824163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5.6843418860808015E-14</v>
      </c>
      <c r="AJ55" s="14">
        <f>AI55*VLOOKUP('Données projet'!$B$10,Paramètres!$A$1:$I$89,3,0)*VLOOKUP('Données projet'!$B$10,Paramètres!$A$1:$I$89,5,0)</f>
        <v>3.3992364478763198E-14</v>
      </c>
      <c r="AK55" s="14">
        <f t="shared" si="35"/>
        <v>5.790027782444094E-13</v>
      </c>
      <c r="AL55" s="22">
        <f t="shared" si="4"/>
        <v>1.0676332069095257E-12</v>
      </c>
      <c r="AM55" s="62">
        <f t="shared" si="5"/>
        <v>256.43527946358444</v>
      </c>
      <c r="AN55" s="62">
        <f ca="1">AVERAGE(OFFSET($AM$3,0,0,'Données projet'!$E$10+1,1))-AVERAGE(OFFSET($H$3,0,0,'Données projet'!$E$10+1,1))</f>
        <v>212.90262675152454</v>
      </c>
      <c r="AO55" s="62">
        <f t="shared" si="36"/>
        <v>366.51899340890498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70.755197667562555</v>
      </c>
      <c r="AV55" s="23">
        <f>EXP(-LN(2)/25)*AV54+(1-EXP(-LN(2)/25))/(LN(2)/25)*Calculateur!AQ55*Calculateur!AS55*VLOOKUP('Données projet'!$B$10,Paramètres!$A$1:$I$89,3,0)*0.475*44/12</f>
        <v>1.8165194662575412</v>
      </c>
      <c r="AW55" s="23">
        <f>EXP(-LN(2)/2)*AW54+(1-EXP(-LN(2)/2))/(LN(2)/2)*AQ55*AT55*VLOOKUP('Données projet'!$B$10,Paramètres!$A$1:$I$89,3,0)*0.475*44/12</f>
        <v>0.5378508977973826</v>
      </c>
      <c r="AX55" s="23">
        <f t="shared" si="6"/>
        <v>73.109568031617485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7.8</v>
      </c>
      <c r="BD55" s="13">
        <f>IF('Données projet'!$A$88&gt;35,BD54+BC55-BL54,IF(A55&lt;'Données projet'!$A$88,$BA$205^A55,IF(A55='Données projet'!$A$88,'Données projet'!$B$88,BD54+BC55-BL54)))</f>
        <v>213.60000000000002</v>
      </c>
      <c r="BE55" s="14">
        <f>BD55*VLOOKUP('Données projet'!$B$11,Paramètres!$A$1:$I$89,3,0)*VLOOKUP('Données projet'!$B$11,Paramètres!$A$1:$I$89,5,0)</f>
        <v>186.60096000000004</v>
      </c>
      <c r="BF55" s="14">
        <f t="shared" si="37"/>
        <v>46.787685683664144</v>
      </c>
      <c r="BG55" s="22">
        <f t="shared" si="7"/>
        <v>406.4852245657151</v>
      </c>
      <c r="BH55" s="62">
        <f t="shared" si="8"/>
        <v>662.9205040292984</v>
      </c>
      <c r="BI55" s="62">
        <f ca="1">AVERAGE(OFFSET($BH$3,0,0,'Données projet'!$E$11+1,1))-AVERAGE(OFFSET($H$3,0,0,'Données projet'!$E$11+1,1))</f>
        <v>342.02279578180605</v>
      </c>
      <c r="BJ55" s="62">
        <f t="shared" si="38"/>
        <v>409.02379334777754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7.4</v>
      </c>
      <c r="BY55" s="13">
        <f>IF('Données projet'!$A$114&gt;35,BY54+BX55-CG54,IF(A55&lt;'Données projet'!$A$114,$BV$205^A55,IF(A55='Données projet'!$A$114,'Données projet'!$B$114,BY54+BX55-CG54)))</f>
        <v>255.79999999999998</v>
      </c>
      <c r="BZ55" s="14">
        <f>BY55*VLOOKUP('Données projet'!$B$12,Paramètres!$A$1:$I$89,3,0)*VLOOKUP('Données projet'!$B$12,Paramètres!$A$1:$I$89,5,0)</f>
        <v>203.51447999999999</v>
      </c>
      <c r="CA55" s="14">
        <f t="shared" si="39"/>
        <v>50.515759254811513</v>
      </c>
      <c r="CB55" s="22">
        <f t="shared" si="10"/>
        <v>442.43600003546334</v>
      </c>
      <c r="CC55" s="62">
        <f t="shared" si="11"/>
        <v>698.87127949904675</v>
      </c>
      <c r="CD55" s="62">
        <f ca="1">AVERAGE(OFFSET($CC$3,0,0,'Données projet'!$E$12+1,1))-AVERAGE(OFFSET($H$3,0,0,'Données projet'!$E$12+1,1))</f>
        <v>376.47942810265266</v>
      </c>
      <c r="CE55" s="62">
        <f t="shared" si="40"/>
        <v>362.87951024071265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10.830916235243508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10.830916235243508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7.4</v>
      </c>
      <c r="CT55" s="13">
        <f>IF('Données projet'!$A$140&gt;35,CT54+CS55-DB54,IF(A55&lt;'Données projet'!$A$140,$CQ$205^A55,IF(A55='Données projet'!$A$140,'Données projet'!$B$140,CT54+CS55-DB54)))</f>
        <v>255.79999999999998</v>
      </c>
      <c r="CU55" s="18">
        <f>CT55*VLOOKUP('Données projet'!$B$13,Paramètres!$A$1:$I$89,3,0)*VLOOKUP('Données projet'!$B$13,Paramètres!$A$1:$I$89,5,0)</f>
        <v>187.55255999999997</v>
      </c>
      <c r="CV55" s="14">
        <f t="shared" si="41"/>
        <v>46.998451005954564</v>
      </c>
      <c r="CW55" s="22">
        <f t="shared" si="13"/>
        <v>408.50967750203745</v>
      </c>
      <c r="CX55" s="62">
        <f t="shared" si="14"/>
        <v>664.9449569656208</v>
      </c>
      <c r="CY55" s="62">
        <f ca="1">AVERAGE(OFFSET($CX$3,0,0,'Données projet'!$E$13+1,1))-AVERAGE(OFFSET($H$3,0,0,'Données projet'!$E$13+1,1))</f>
        <v>351.7223836693733</v>
      </c>
      <c r="CZ55" s="62">
        <f t="shared" si="42"/>
        <v>339.34942976598518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8.0981434374499219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8.0981434374499219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183.33333333333334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20.324285714285718</v>
      </c>
      <c r="N56" s="14">
        <f>IF('Données projet'!$A$36&gt;35,N55+M56-V55,IF(A56&lt;'Données projet'!$A$36,$K$205^A56,IF(A56='Données projet'!$A$36,'Données projet'!$B$36,N55+M56-V55)))</f>
        <v>472.51714285714291</v>
      </c>
      <c r="O56" s="14">
        <f>N56*VLOOKUP('Données projet'!$B$9,Paramètres!$A$1:$I$89,3,0)*VLOOKUP('Données projet'!$B$9,Paramètres!$A$1:$I$89,5,0)</f>
        <v>264.1370828571429</v>
      </c>
      <c r="P56" s="14">
        <f t="shared" si="33"/>
        <v>63.60342497029243</v>
      </c>
      <c r="Q56" s="22">
        <f t="shared" si="53"/>
        <v>570.81471779944991</v>
      </c>
      <c r="R56" s="62">
        <f t="shared" si="0"/>
        <v>827.8900960059832</v>
      </c>
      <c r="S56" s="62">
        <f ca="1">AVERAGE(OFFSET($R$3,0,0,'Données projet'!$E$9+1,1))-AVERAGE(OFFSET($H$3,0,0,'Données projet'!$E$9+1,1))</f>
        <v>409.45931633551902</v>
      </c>
      <c r="T56" s="62">
        <f t="shared" si="34"/>
        <v>375.18886653687389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3.3614167508249908</v>
      </c>
      <c r="AA56" s="23">
        <f>EXP(-LN(2)/25)*AA55+(1-EXP(-LN(2)/25))/(LN(2)/25)*Calculateur!V56*Calculateur!X56*VLOOKUP('Données projet'!$B$9,Paramètres!$A$1:$I$89,3,0)*0.475*44/12</f>
        <v>10.208413545083488</v>
      </c>
      <c r="AB56" s="23">
        <f>EXP(-LN(2)/2)*AB55+(1-EXP(-LN(2)/2))/(LN(2)/2)*V56*Y56*VLOOKUP('Données projet'!$B$9,Paramètres!$A$1:$I$89,3,0)*0.475*44/12</f>
        <v>4.005472210565058E-3</v>
      </c>
      <c r="AC56" s="24">
        <f t="shared" si="3"/>
        <v>13.573835768119043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5.6843418860808015E-14</v>
      </c>
      <c r="AJ56" s="14">
        <f>AI56*VLOOKUP('Données projet'!$B$10,Paramètres!$A$1:$I$89,3,0)*VLOOKUP('Données projet'!$B$10,Paramètres!$A$1:$I$89,5,0)</f>
        <v>3.3992364478763198E-14</v>
      </c>
      <c r="AK56" s="14">
        <f t="shared" si="35"/>
        <v>5.790027782444094E-13</v>
      </c>
      <c r="AL56" s="22">
        <f t="shared" si="4"/>
        <v>1.0676332069095257E-12</v>
      </c>
      <c r="AM56" s="62">
        <f t="shared" si="5"/>
        <v>257.07537820653431</v>
      </c>
      <c r="AN56" s="62">
        <f ca="1">AVERAGE(OFFSET($AM$3,0,0,'Données projet'!$E$10+1,1))-AVERAGE(OFFSET($H$3,0,0,'Données projet'!$E$10+1,1))</f>
        <v>212.90262675152454</v>
      </c>
      <c r="AO56" s="62">
        <f t="shared" si="36"/>
        <v>366.51899340890498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69.367731397710884</v>
      </c>
      <c r="AV56" s="23">
        <f>EXP(-LN(2)/25)*AV55+(1-EXP(-LN(2)/25))/(LN(2)/25)*Calculateur!AQ56*Calculateur!AS56*VLOOKUP('Données projet'!$B$10,Paramètres!$A$1:$I$89,3,0)*0.475*44/12</f>
        <v>1.7668466459261218</v>
      </c>
      <c r="AW56" s="23">
        <f>EXP(-LN(2)/2)*AW55+(1-EXP(-LN(2)/2))/(LN(2)/2)*AQ56*AT56*VLOOKUP('Données projet'!$B$10,Paramètres!$A$1:$I$89,3,0)*0.475*44/12</f>
        <v>0.38031801709980195</v>
      </c>
      <c r="AX56" s="23">
        <f t="shared" si="6"/>
        <v>71.514896060736802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7.8</v>
      </c>
      <c r="BD56" s="13">
        <f>IF('Données projet'!$A$88&gt;35,BD55+BC56-BL55,IF(A56&lt;'Données projet'!$A$88,$BA$205^A56,IF(A56='Données projet'!$A$88,'Données projet'!$B$88,BD55+BC56-BL55)))</f>
        <v>221.40000000000003</v>
      </c>
      <c r="BE56" s="14">
        <f>BD56*VLOOKUP('Données projet'!$B$11,Paramètres!$A$1:$I$89,3,0)*VLOOKUP('Données projet'!$B$11,Paramètres!$A$1:$I$89,5,0)</f>
        <v>193.41504000000006</v>
      </c>
      <c r="BF56" s="14">
        <f t="shared" si="37"/>
        <v>48.294185132315114</v>
      </c>
      <c r="BG56" s="22">
        <f t="shared" si="7"/>
        <v>420.97690043878225</v>
      </c>
      <c r="BH56" s="62">
        <f t="shared" si="8"/>
        <v>678.05227864531548</v>
      </c>
      <c r="BI56" s="62">
        <f ca="1">AVERAGE(OFFSET($BH$3,0,0,'Données projet'!$E$11+1,1))-AVERAGE(OFFSET($H$3,0,0,'Données projet'!$E$11+1,1))</f>
        <v>342.02279578180605</v>
      </c>
      <c r="BJ56" s="62">
        <f t="shared" si="38"/>
        <v>409.02379334777754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7.4</v>
      </c>
      <c r="BY56" s="13">
        <f>IF('Données projet'!$A$114&gt;35,BY55+BX56-CG55,IF(A56&lt;'Données projet'!$A$114,$BV$205^A56,IF(A56='Données projet'!$A$114,'Données projet'!$B$114,BY55+BX56-CG55)))</f>
        <v>263.2</v>
      </c>
      <c r="BZ56" s="14">
        <f>BY56*VLOOKUP('Données projet'!$B$12,Paramètres!$A$1:$I$89,3,0)*VLOOKUP('Données projet'!$B$12,Paramètres!$A$1:$I$89,5,0)</f>
        <v>209.40192000000002</v>
      </c>
      <c r="CA56" s="14">
        <f t="shared" si="39"/>
        <v>51.804868484579089</v>
      </c>
      <c r="CB56" s="22">
        <f t="shared" si="10"/>
        <v>454.93515661064185</v>
      </c>
      <c r="CC56" s="62">
        <f t="shared" si="11"/>
        <v>712.01053481717508</v>
      </c>
      <c r="CD56" s="62">
        <f ca="1">AVERAGE(OFFSET($CC$3,0,0,'Données projet'!$E$12+1,1))-AVERAGE(OFFSET($H$3,0,0,'Données projet'!$E$12+1,1))</f>
        <v>376.47942810265266</v>
      </c>
      <c r="CE56" s="62">
        <f t="shared" si="40"/>
        <v>362.87951024071265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10.618528574076977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10.618528574076977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7.4</v>
      </c>
      <c r="CT56" s="13">
        <f>IF('Données projet'!$A$140&gt;35,CT55+CS56-DB55,IF(A56&lt;'Données projet'!$A$140,$CQ$205^A56,IF(A56='Données projet'!$A$140,'Données projet'!$B$140,CT55+CS56-DB55)))</f>
        <v>263.2</v>
      </c>
      <c r="CU56" s="18">
        <f>CT56*VLOOKUP('Données projet'!$B$13,Paramètres!$A$1:$I$89,3,0)*VLOOKUP('Données projet'!$B$13,Paramètres!$A$1:$I$89,5,0)</f>
        <v>192.97824</v>
      </c>
      <c r="CV56" s="14">
        <f t="shared" si="41"/>
        <v>48.197802215761044</v>
      </c>
      <c r="CW56" s="22">
        <f t="shared" si="13"/>
        <v>420.04827352578377</v>
      </c>
      <c r="CX56" s="62">
        <f t="shared" si="14"/>
        <v>677.12365173231706</v>
      </c>
      <c r="CY56" s="62">
        <f ca="1">AVERAGE(OFFSET($CX$3,0,0,'Données projet'!$E$13+1,1))-AVERAGE(OFFSET($H$3,0,0,'Données projet'!$E$13+1,1))</f>
        <v>351.7223836693733</v>
      </c>
      <c r="CZ56" s="62">
        <f t="shared" si="42"/>
        <v>339.34942976598518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7.9393437840213021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7.9393437840213021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183.33333333333334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20.324285714285718</v>
      </c>
      <c r="N57" s="14">
        <f>IF('Données projet'!$A$36&gt;35,N56+M57-V56,IF(A57&lt;'Données projet'!$A$36,$K$205^A57,IF(A57='Données projet'!$A$36,'Données projet'!$B$36,N56+M57-V56)))</f>
        <v>492.84142857142865</v>
      </c>
      <c r="O57" s="14">
        <f>N57*VLOOKUP('Données projet'!$B$9,Paramètres!$A$1:$I$89,3,0)*VLOOKUP('Données projet'!$B$9,Paramètres!$A$1:$I$89,5,0)</f>
        <v>275.49835857142858</v>
      </c>
      <c r="P57" s="14">
        <f t="shared" si="33"/>
        <v>66.0147871145425</v>
      </c>
      <c r="Q57" s="22">
        <f t="shared" si="53"/>
        <v>594.80206206973287</v>
      </c>
      <c r="R57" s="62">
        <f t="shared" si="0"/>
        <v>852.50643473707214</v>
      </c>
      <c r="S57" s="62">
        <f ca="1">AVERAGE(OFFSET($R$3,0,0,'Données projet'!$E$9+1,1))-AVERAGE(OFFSET($H$3,0,0,'Données projet'!$E$9+1,1))</f>
        <v>409.45931633551902</v>
      </c>
      <c r="T57" s="62">
        <f t="shared" si="34"/>
        <v>375.18886653687389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3.295501418603084</v>
      </c>
      <c r="AA57" s="23">
        <f>EXP(-LN(2)/25)*AA56+(1-EXP(-LN(2)/25))/(LN(2)/25)*Calculateur!V57*Calculateur!X57*VLOOKUP('Données projet'!$B$9,Paramètres!$A$1:$I$89,3,0)*0.475*44/12</f>
        <v>9.9292639398560425</v>
      </c>
      <c r="AB57" s="23">
        <f>EXP(-LN(2)/2)*AB56+(1-EXP(-LN(2)/2))/(LN(2)/2)*V57*Y57*VLOOKUP('Données projet'!$B$9,Paramètres!$A$1:$I$89,3,0)*0.475*44/12</f>
        <v>2.8322965619448233E-3</v>
      </c>
      <c r="AC57" s="24">
        <f t="shared" si="3"/>
        <v>13.227597655021071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5.6843418860808015E-14</v>
      </c>
      <c r="AJ57" s="14">
        <f>AI57*VLOOKUP('Données projet'!$B$10,Paramètres!$A$1:$I$89,3,0)*VLOOKUP('Données projet'!$B$10,Paramètres!$A$1:$I$89,5,0)</f>
        <v>3.3992364478763198E-14</v>
      </c>
      <c r="AK57" s="14">
        <f t="shared" si="35"/>
        <v>5.790027782444094E-13</v>
      </c>
      <c r="AL57" s="22">
        <f t="shared" si="4"/>
        <v>1.0676332069095257E-12</v>
      </c>
      <c r="AM57" s="62">
        <f t="shared" si="5"/>
        <v>257.70437266734041</v>
      </c>
      <c r="AN57" s="62">
        <f ca="1">AVERAGE(OFFSET($AM$3,0,0,'Données projet'!$E$10+1,1))-AVERAGE(OFFSET($H$3,0,0,'Données projet'!$E$10+1,1))</f>
        <v>212.90262675152454</v>
      </c>
      <c r="AO57" s="62">
        <f t="shared" si="36"/>
        <v>366.51899340890498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68.007472495140149</v>
      </c>
      <c r="AV57" s="23">
        <f>EXP(-LN(2)/25)*AV56+(1-EXP(-LN(2)/25))/(LN(2)/25)*Calculateur!AQ57*Calculateur!AS57*VLOOKUP('Données projet'!$B$10,Paramètres!$A$1:$I$89,3,0)*0.475*44/12</f>
        <v>1.7185321314788451</v>
      </c>
      <c r="AW57" s="23">
        <f>EXP(-LN(2)/2)*AW56+(1-EXP(-LN(2)/2))/(LN(2)/2)*AQ57*AT57*VLOOKUP('Données projet'!$B$10,Paramètres!$A$1:$I$89,3,0)*0.475*44/12</f>
        <v>0.2689254488986913</v>
      </c>
      <c r="AX57" s="23">
        <f t="shared" si="6"/>
        <v>69.994930075517672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7.8</v>
      </c>
      <c r="BD57" s="13">
        <f>IF('Données projet'!$A$88&gt;35,BD56+BC57-BL56,IF(A57&lt;'Données projet'!$A$88,$BA$205^A57,IF(A57='Données projet'!$A$88,'Données projet'!$B$88,BD56+BC57-BL56)))</f>
        <v>229.20000000000005</v>
      </c>
      <c r="BE57" s="14">
        <f>BD57*VLOOKUP('Données projet'!$B$11,Paramètres!$A$1:$I$89,3,0)*VLOOKUP('Données projet'!$B$11,Paramètres!$A$1:$I$89,5,0)</f>
        <v>200.22912000000005</v>
      </c>
      <c r="BF57" s="14">
        <f t="shared" si="37"/>
        <v>49.794518010766353</v>
      </c>
      <c r="BG57" s="22">
        <f t="shared" si="7"/>
        <v>435.45783620208476</v>
      </c>
      <c r="BH57" s="62">
        <f t="shared" si="8"/>
        <v>693.16220886942415</v>
      </c>
      <c r="BI57" s="62">
        <f ca="1">AVERAGE(OFFSET($BH$3,0,0,'Données projet'!$E$11+1,1))-AVERAGE(OFFSET($H$3,0,0,'Données projet'!$E$11+1,1))</f>
        <v>342.02279578180605</v>
      </c>
      <c r="BJ57" s="62">
        <f t="shared" si="38"/>
        <v>409.02379334777754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7.4</v>
      </c>
      <c r="BY57" s="13">
        <f>IF('Données projet'!$A$114&gt;35,BY56+BX57-CG56,IF(A57&lt;'Données projet'!$A$114,$BV$205^A57,IF(A57='Données projet'!$A$114,'Données projet'!$B$114,BY56+BX57-CG56)))</f>
        <v>270.59999999999997</v>
      </c>
      <c r="BZ57" s="14">
        <f>BY57*VLOOKUP('Données projet'!$B$12,Paramètres!$A$1:$I$89,3,0)*VLOOKUP('Données projet'!$B$12,Paramètres!$A$1:$I$89,5,0)</f>
        <v>215.28935999999996</v>
      </c>
      <c r="CA57" s="14">
        <f t="shared" si="39"/>
        <v>53.089765227625676</v>
      </c>
      <c r="CB57" s="22">
        <f t="shared" si="10"/>
        <v>467.42697643811471</v>
      </c>
      <c r="CC57" s="62">
        <f t="shared" si="11"/>
        <v>725.13134910545409</v>
      </c>
      <c r="CD57" s="62">
        <f ca="1">AVERAGE(OFFSET($CC$3,0,0,'Données projet'!$E$12+1,1))-AVERAGE(OFFSET($H$3,0,0,'Données projet'!$E$12+1,1))</f>
        <v>376.47942810265266</v>
      </c>
      <c r="CE57" s="62">
        <f t="shared" si="40"/>
        <v>362.87951024071265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10.410305705402241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10.410305705402241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7.4</v>
      </c>
      <c r="CT57" s="13">
        <f>IF('Données projet'!$A$140&gt;35,CT56+CS57-DB56,IF(A57&lt;'Données projet'!$A$140,$CQ$205^A57,IF(A57='Données projet'!$A$140,'Données projet'!$B$140,CT56+CS57-DB56)))</f>
        <v>270.59999999999997</v>
      </c>
      <c r="CU57" s="18">
        <f>CT57*VLOOKUP('Données projet'!$B$13,Paramètres!$A$1:$I$89,3,0)*VLOOKUP('Données projet'!$B$13,Paramètres!$A$1:$I$89,5,0)</f>
        <v>198.40391999999997</v>
      </c>
      <c r="CV57" s="14">
        <f t="shared" si="41"/>
        <v>49.393234245618814</v>
      </c>
      <c r="CW57" s="22">
        <f t="shared" si="13"/>
        <v>431.5800436444527</v>
      </c>
      <c r="CX57" s="62">
        <f t="shared" si="14"/>
        <v>689.28441631179203</v>
      </c>
      <c r="CY57" s="62">
        <f ca="1">AVERAGE(OFFSET($CX$3,0,0,'Données projet'!$E$13+1,1))-AVERAGE(OFFSET($H$3,0,0,'Données projet'!$E$13+1,1))</f>
        <v>351.7223836693733</v>
      </c>
      <c r="CZ57" s="62">
        <f t="shared" si="42"/>
        <v>339.34942976598518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7.7836580949381933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7.7836580949381933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183.33333333333334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20.324285714285718</v>
      </c>
      <c r="N58" s="14">
        <f>IF('Données projet'!$A$36&gt;35,N57+M58-V57,IF(A58&lt;'Données projet'!$A$36,$K$205^A58,IF(A58='Données projet'!$A$36,'Données projet'!$B$36,N57+M58-V57)))</f>
        <v>513.16571428571433</v>
      </c>
      <c r="O58" s="14">
        <f>N58*VLOOKUP('Données projet'!$B$9,Paramètres!$A$1:$I$89,3,0)*VLOOKUP('Données projet'!$B$9,Paramètres!$A$1:$I$89,5,0)</f>
        <v>286.85963428571432</v>
      </c>
      <c r="P58" s="14">
        <f t="shared" si="33"/>
        <v>68.414598471463037</v>
      </c>
      <c r="Q58" s="22">
        <f t="shared" si="53"/>
        <v>618.76928871875054</v>
      </c>
      <c r="R58" s="62">
        <f t="shared" si="0"/>
        <v>877.09174419922192</v>
      </c>
      <c r="S58" s="62">
        <f ca="1">AVERAGE(OFFSET($R$3,0,0,'Données projet'!$E$9+1,1))-AVERAGE(OFFSET($H$3,0,0,'Données projet'!$E$9+1,1))</f>
        <v>409.45931633551902</v>
      </c>
      <c r="T58" s="62">
        <f t="shared" si="34"/>
        <v>375.18886653687389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3.2308786458416661</v>
      </c>
      <c r="AA58" s="23">
        <f>EXP(-LN(2)/25)*AA57+(1-EXP(-LN(2)/25))/(LN(2)/25)*Calculateur!V58*Calculateur!X58*VLOOKUP('Données projet'!$B$9,Paramètres!$A$1:$I$89,3,0)*0.475*44/12</f>
        <v>9.6577476952633816</v>
      </c>
      <c r="AB58" s="23">
        <f>EXP(-LN(2)/2)*AB57+(1-EXP(-LN(2)/2))/(LN(2)/2)*V58*Y58*VLOOKUP('Données projet'!$B$9,Paramètres!$A$1:$I$89,3,0)*0.475*44/12</f>
        <v>2.002736105282529E-3</v>
      </c>
      <c r="AC58" s="24">
        <f t="shared" si="3"/>
        <v>12.890629077210331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5.6843418860808015E-14</v>
      </c>
      <c r="AJ58" s="14">
        <f>AI58*VLOOKUP('Données projet'!$B$10,Paramètres!$A$1:$I$89,3,0)*VLOOKUP('Données projet'!$B$10,Paramètres!$A$1:$I$89,5,0)</f>
        <v>3.3992364478763198E-14</v>
      </c>
      <c r="AK58" s="14">
        <f t="shared" si="35"/>
        <v>5.790027782444094E-13</v>
      </c>
      <c r="AL58" s="22">
        <f t="shared" si="4"/>
        <v>1.0676332069095257E-12</v>
      </c>
      <c r="AM58" s="62">
        <f t="shared" si="5"/>
        <v>258.32245548047246</v>
      </c>
      <c r="AN58" s="62">
        <f ca="1">AVERAGE(OFFSET($AM$3,0,0,'Données projet'!$E$10+1,1))-AVERAGE(OFFSET($H$3,0,0,'Données projet'!$E$10+1,1))</f>
        <v>212.90262675152454</v>
      </c>
      <c r="AO58" s="62">
        <f t="shared" si="36"/>
        <v>366.51899340890498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66.673887439972816</v>
      </c>
      <c r="AV58" s="23">
        <f>EXP(-LN(2)/25)*AV57+(1-EXP(-LN(2)/25))/(LN(2)/25)*Calculateur!AQ58*Calculateur!AS58*VLOOKUP('Données projet'!$B$10,Paramètres!$A$1:$I$89,3,0)*0.475*44/12</f>
        <v>1.6715387799698791</v>
      </c>
      <c r="AW58" s="23">
        <f>EXP(-LN(2)/2)*AW57+(1-EXP(-LN(2)/2))/(LN(2)/2)*AQ58*AT58*VLOOKUP('Données projet'!$B$10,Paramètres!$A$1:$I$89,3,0)*0.475*44/12</f>
        <v>0.19015900854990098</v>
      </c>
      <c r="AX58" s="23">
        <f t="shared" si="6"/>
        <v>68.535585228492593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237</v>
      </c>
      <c r="BB58" s="13">
        <f>VLOOKUP(A58,'Données projet'!$A$87:$I$107,9,0)</f>
        <v>7.8</v>
      </c>
      <c r="BC58" s="13">
        <f t="array" ref="BC58">INDEX(BB:BB,MIN(IF(ISNUMBER(BB58:BB254),ROW(BB58:BB254),"")))</f>
        <v>7.8</v>
      </c>
      <c r="BD58" s="13">
        <f>IF('Données projet'!$A$88&gt;35,BD57+BC58-BL57,IF(A58&lt;'Données projet'!$A$88,$BA$205^A58,IF(A58='Données projet'!$A$88,'Données projet'!$B$88,BD57+BC58-BL57)))</f>
        <v>237.00000000000006</v>
      </c>
      <c r="BE58" s="14">
        <f>BD58*VLOOKUP('Données projet'!$B$11,Paramètres!$A$1:$I$89,3,0)*VLOOKUP('Données projet'!$B$11,Paramètres!$A$1:$I$89,5,0)</f>
        <v>207.0432000000001</v>
      </c>
      <c r="BF58" s="14">
        <f t="shared" si="37"/>
        <v>51.28891823180637</v>
      </c>
      <c r="BG58" s="22">
        <f t="shared" si="7"/>
        <v>449.92843925372966</v>
      </c>
      <c r="BH58" s="62">
        <f t="shared" si="8"/>
        <v>708.25089473420098</v>
      </c>
      <c r="BI58" s="62">
        <f ca="1">AVERAGE(OFFSET($BH$3,0,0,'Données projet'!$E$11+1,1))-AVERAGE(OFFSET($H$3,0,0,'Données projet'!$E$11+1,1))</f>
        <v>342.02279578180605</v>
      </c>
      <c r="BJ58" s="62">
        <f t="shared" si="38"/>
        <v>409.02379334777754</v>
      </c>
      <c r="BK58" s="16">
        <f>IF(ISNA(VLOOKUP(A58,'Données projet'!$A$87:$I$107,3,0)),0,VLOOKUP(A58,'Données projet'!$A$87:$I$107,3,0))</f>
        <v>9</v>
      </c>
      <c r="BL58" s="16">
        <f>IF(ISNA(VLOOKUP(A58,'Données projet'!$A$87:$I$107,4,0)),0,VLOOKUP(A58,'Données projet'!$A$87:$I$107,4,0))</f>
        <v>29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278</v>
      </c>
      <c r="BW58" s="13">
        <f>VLOOKUP(A58,'Données projet'!$A$113:$I$133,9,0)</f>
        <v>7.4</v>
      </c>
      <c r="BX58" s="13">
        <f t="array" ref="BX58">INDEX(BW:BW,MIN(IF(ISNUMBER(BW58:BW254),ROW(BW58:BW254),"")))</f>
        <v>7.4</v>
      </c>
      <c r="BY58" s="13">
        <f>IF('Données projet'!$A$114&gt;35,BY57+BX58-CG57,IF(A58&lt;'Données projet'!$A$114,$BV$205^A58,IF(A58='Données projet'!$A$114,'Données projet'!$B$114,BY57+BX58-CG57)))</f>
        <v>277.99999999999994</v>
      </c>
      <c r="BZ58" s="14">
        <f>BY58*VLOOKUP('Données projet'!$B$12,Paramètres!$A$1:$I$89,3,0)*VLOOKUP('Données projet'!$B$12,Paramètres!$A$1:$I$89,5,0)</f>
        <v>221.17679999999996</v>
      </c>
      <c r="CA58" s="14">
        <f t="shared" si="39"/>
        <v>54.370577918219368</v>
      </c>
      <c r="CB58" s="22">
        <f t="shared" si="10"/>
        <v>479.91168320756537</v>
      </c>
      <c r="CC58" s="62">
        <f t="shared" si="11"/>
        <v>738.23413868803675</v>
      </c>
      <c r="CD58" s="62">
        <f ca="1">AVERAGE(OFFSET($CC$3,0,0,'Données projet'!$E$12+1,1))-AVERAGE(OFFSET($H$3,0,0,'Données projet'!$E$12+1,1))</f>
        <v>376.47942810265266</v>
      </c>
      <c r="CE58" s="62">
        <f t="shared" si="40"/>
        <v>362.87951024071265</v>
      </c>
      <c r="CF58" s="16">
        <f>IF(ISNA(VLOOKUP(A58,'Données projet'!$A$113:$I$133,3,0)),0,VLOOKUP(A58,'Données projet'!$A$113:$I$133,3,0))</f>
        <v>10</v>
      </c>
      <c r="CG58" s="16">
        <f>IF(ISNA(VLOOKUP(A58,'Données projet'!$A$113:$I$133,4,0)),0,VLOOKUP(A58,'Données projet'!$A$113:$I$133,4,0))</f>
        <v>16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10.206165960178806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10.206165960178806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278</v>
      </c>
      <c r="CR58" s="13">
        <f>VLOOKUP(A58,'Données projet'!$A$139:$I$159,9,0)</f>
        <v>7.4</v>
      </c>
      <c r="CS58" s="13">
        <f t="array" ref="CS58">INDEX(CR:CR,MIN(IF(ISNUMBER(CR58:CR254),ROW(CR58:CR254),"")))</f>
        <v>7.4</v>
      </c>
      <c r="CT58" s="13">
        <f>IF('Données projet'!$A$140&gt;35,CT57+CS58-DB57,IF(A58&lt;'Données projet'!$A$140,$CQ$205^A58,IF(A58='Données projet'!$A$140,'Données projet'!$B$140,CT57+CS58-DB57)))</f>
        <v>277.99999999999994</v>
      </c>
      <c r="CU58" s="18">
        <f>CT58*VLOOKUP('Données projet'!$B$13,Paramètres!$A$1:$I$89,3,0)*VLOOKUP('Données projet'!$B$13,Paramètres!$A$1:$I$89,5,0)</f>
        <v>203.82959999999997</v>
      </c>
      <c r="CV58" s="14">
        <f t="shared" si="41"/>
        <v>50.584866587182425</v>
      </c>
      <c r="CW58" s="22">
        <f t="shared" si="13"/>
        <v>443.10519597267603</v>
      </c>
      <c r="CX58" s="62">
        <f t="shared" si="14"/>
        <v>701.4276514531474</v>
      </c>
      <c r="CY58" s="62">
        <f ca="1">AVERAGE(OFFSET($CX$3,0,0,'Données projet'!$E$13+1,1))-AVERAGE(OFFSET($H$3,0,0,'Données projet'!$E$13+1,1))</f>
        <v>351.7223836693733</v>
      </c>
      <c r="CZ58" s="62">
        <f t="shared" si="42"/>
        <v>339.34942976598518</v>
      </c>
      <c r="DA58" s="16">
        <f>IF(ISNA(VLOOKUP(A58,'Données projet'!$A$139:$I$159,3,0)),0,VLOOKUP(A58,'Données projet'!$A$139:$I$159,3,0))</f>
        <v>10</v>
      </c>
      <c r="DB58" s="16">
        <f>IF(ISNA(VLOOKUP(A58,'Données projet'!$A$139:$I$159,4,0)),0,VLOOKUP(A58,'Données projet'!$A$139:$I$159,4,0))</f>
        <v>16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7.6310253072591108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7.6310253072591108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183.33333333333334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>
        <f>VLOOKUP(A59,'Données projet'!$A$35:$I$55,2,0)</f>
        <v>533.49</v>
      </c>
      <c r="L59" s="13">
        <f>VLOOKUP(A59,'Données projet'!$A$35:$I$55,9,0)</f>
        <v>20.324285714285718</v>
      </c>
      <c r="M59" s="13">
        <f t="array" ref="M59">INDEX(L:L,MIN(IF(ISNUMBER(L59:L255),ROW(L59:L255),"")))</f>
        <v>20.324285714285718</v>
      </c>
      <c r="N59" s="14">
        <f>IF('Données projet'!$A$36&gt;35,N58+M59-V58,IF(A59&lt;'Données projet'!$A$36,$K$205^A59,IF(A59='Données projet'!$A$36,'Données projet'!$B$36,N58+M59-V58)))</f>
        <v>533.49</v>
      </c>
      <c r="O59" s="14">
        <f>N59*VLOOKUP('Données projet'!$B$9,Paramètres!$A$1:$I$89,3,0)*VLOOKUP('Données projet'!$B$9,Paramètres!$A$1:$I$89,5,0)</f>
        <v>298.22091</v>
      </c>
      <c r="P59" s="14">
        <f t="shared" si="33"/>
        <v>70.803368864473384</v>
      </c>
      <c r="Q59" s="22">
        <f t="shared" si="53"/>
        <v>642.71728568895776</v>
      </c>
      <c r="R59" s="62">
        <f t="shared" si="0"/>
        <v>901.64710162757956</v>
      </c>
      <c r="S59" s="62">
        <f ca="1">AVERAGE(OFFSET($R$3,0,0,'Données projet'!$E$9+1,1))-AVERAGE(OFFSET($H$3,0,0,'Données projet'!$E$9+1,1))</f>
        <v>409.45931633551902</v>
      </c>
      <c r="T59" s="62">
        <f t="shared" si="34"/>
        <v>375.18886653687389</v>
      </c>
      <c r="U59" s="16">
        <f>IF(ISNA(VLOOKUP(A59,'Données projet'!$A$35:$I$55,3,0)),0,VLOOKUP(A59,'Données projet'!$A$35:$I$55,3,0))</f>
        <v>7</v>
      </c>
      <c r="V59" s="16">
        <f>IF(ISNA(VLOOKUP(A59,'Données projet'!$A$35:$I$55,4,0)),0,VLOOKUP(A59,'Données projet'!$A$35:$I$55,4,0))</f>
        <v>94.57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3.1675230862381003</v>
      </c>
      <c r="AA59" s="23">
        <f>EXP(-LN(2)/25)*AA58+(1-EXP(-LN(2)/25))/(LN(2)/25)*Calculateur!V59*Calculateur!X59*VLOOKUP('Données projet'!$B$9,Paramètres!$A$1:$I$89,3,0)*0.475*44/12</f>
        <v>9.3936560766575266</v>
      </c>
      <c r="AB59" s="23">
        <f>EXP(-LN(2)/2)*AB58+(1-EXP(-LN(2)/2))/(LN(2)/2)*V59*Y59*VLOOKUP('Données projet'!$B$9,Paramètres!$A$1:$I$89,3,0)*0.475*44/12</f>
        <v>1.4161482809724117E-3</v>
      </c>
      <c r="AC59" s="24">
        <f t="shared" si="3"/>
        <v>12.562595311176599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5.6843418860808015E-14</v>
      </c>
      <c r="AJ59" s="14">
        <f>AI59*VLOOKUP('Données projet'!$B$10,Paramètres!$A$1:$I$89,3,0)*VLOOKUP('Données projet'!$B$10,Paramètres!$A$1:$I$89,5,0)</f>
        <v>3.3992364478763198E-14</v>
      </c>
      <c r="AK59" s="14">
        <f t="shared" si="35"/>
        <v>5.790027782444094E-13</v>
      </c>
      <c r="AL59" s="22">
        <f t="shared" si="4"/>
        <v>1.0676332069095257E-12</v>
      </c>
      <c r="AM59" s="62">
        <f t="shared" si="5"/>
        <v>258.92981593862282</v>
      </c>
      <c r="AN59" s="62">
        <f ca="1">AVERAGE(OFFSET($AM$3,0,0,'Données projet'!$E$10+1,1))-AVERAGE(OFFSET($H$3,0,0,'Données projet'!$E$10+1,1))</f>
        <v>212.90262675152454</v>
      </c>
      <c r="AO59" s="62">
        <f t="shared" si="36"/>
        <v>366.51899340890498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65.366453174330744</v>
      </c>
      <c r="AV59" s="23">
        <f>EXP(-LN(2)/25)*AV58+(1-EXP(-LN(2)/25))/(LN(2)/25)*Calculateur!AQ59*Calculateur!AS59*VLOOKUP('Données projet'!$B$10,Paramètres!$A$1:$I$89,3,0)*0.475*44/12</f>
        <v>1.6258304641291987</v>
      </c>
      <c r="AW59" s="23">
        <f>EXP(-LN(2)/2)*AW58+(1-EXP(-LN(2)/2))/(LN(2)/2)*AQ59*AT59*VLOOKUP('Données projet'!$B$10,Paramètres!$A$1:$I$89,3,0)*0.475*44/12</f>
        <v>0.13446272444934565</v>
      </c>
      <c r="AX59" s="23">
        <f t="shared" si="6"/>
        <v>67.126746362909287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6.8</v>
      </c>
      <c r="BD59" s="13">
        <f>IF('Données projet'!$A$88&gt;35,BD58+BC59-BL58,IF(A59&lt;'Données projet'!$A$88,$BA$205^A59,IF(A59='Données projet'!$A$88,'Données projet'!$B$88,BD58+BC59-BL58)))</f>
        <v>214.80000000000007</v>
      </c>
      <c r="BE59" s="14">
        <f>BD59*VLOOKUP('Données projet'!$B$11,Paramètres!$A$1:$I$89,3,0)*VLOOKUP('Données projet'!$B$11,Paramètres!$A$1:$I$89,5,0)</f>
        <v>187.64928000000009</v>
      </c>
      <c r="BF59" s="14">
        <f t="shared" si="37"/>
        <v>47.019866076567546</v>
      </c>
      <c r="BG59" s="22">
        <f t="shared" si="7"/>
        <v>408.71542941668866</v>
      </c>
      <c r="BH59" s="62">
        <f t="shared" si="8"/>
        <v>667.64524535531041</v>
      </c>
      <c r="BI59" s="62">
        <f ca="1">AVERAGE(OFFSET($BH$3,0,0,'Données projet'!$E$11+1,1))-AVERAGE(OFFSET($H$3,0,0,'Données projet'!$E$11+1,1))</f>
        <v>342.02279578180605</v>
      </c>
      <c r="BJ59" s="62">
        <f t="shared" si="38"/>
        <v>409.02379334777754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6.4</v>
      </c>
      <c r="BY59" s="13">
        <f>IF('Données projet'!$A$114&gt;35,BY58+BX59-CG58,IF(A59&lt;'Données projet'!$A$114,$BV$205^A59,IF(A59='Données projet'!$A$114,'Données projet'!$B$114,BY58+BX59-CG58)))</f>
        <v>268.39999999999992</v>
      </c>
      <c r="BZ59" s="14">
        <f>BY59*VLOOKUP('Données projet'!$B$12,Paramètres!$A$1:$I$89,3,0)*VLOOKUP('Données projet'!$B$12,Paramètres!$A$1:$I$89,5,0)</f>
        <v>213.53903999999994</v>
      </c>
      <c r="CA59" s="14">
        <f t="shared" si="39"/>
        <v>52.708201158564101</v>
      </c>
      <c r="CB59" s="22">
        <f t="shared" si="10"/>
        <v>463.71394501783237</v>
      </c>
      <c r="CC59" s="62">
        <f t="shared" si="11"/>
        <v>722.64376095645412</v>
      </c>
      <c r="CD59" s="62">
        <f ca="1">AVERAGE(OFFSET($CC$3,0,0,'Données projet'!$E$12+1,1))-AVERAGE(OFFSET($H$3,0,0,'Données projet'!$E$12+1,1))</f>
        <v>376.47942810265266</v>
      </c>
      <c r="CE59" s="62">
        <f t="shared" si="40"/>
        <v>362.87951024071265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10.006029270846254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10.006029270846254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6.4</v>
      </c>
      <c r="CT59" s="13">
        <f>IF('Données projet'!$A$140&gt;35,CT58+CS59-DB58,IF(A59&lt;'Données projet'!$A$140,$CQ$205^A59,IF(A59='Données projet'!$A$140,'Données projet'!$B$140,CT58+CS59-DB58)))</f>
        <v>268.39999999999992</v>
      </c>
      <c r="CU59" s="18">
        <f>CT59*VLOOKUP('Données projet'!$B$13,Paramètres!$A$1:$I$89,3,0)*VLOOKUP('Données projet'!$B$13,Paramètres!$A$1:$I$89,5,0)</f>
        <v>196.79087999999993</v>
      </c>
      <c r="CV59" s="14">
        <f t="shared" si="41"/>
        <v>49.038237696621778</v>
      </c>
      <c r="CW59" s="22">
        <f t="shared" si="13"/>
        <v>428.1523799882828</v>
      </c>
      <c r="CX59" s="62">
        <f t="shared" si="14"/>
        <v>687.08219592690455</v>
      </c>
      <c r="CY59" s="62">
        <f ca="1">AVERAGE(OFFSET($CX$3,0,0,'Données projet'!$E$13+1,1))-AVERAGE(OFFSET($H$3,0,0,'Données projet'!$E$13+1,1))</f>
        <v>351.7223836693733</v>
      </c>
      <c r="CZ59" s="62">
        <f t="shared" si="42"/>
        <v>339.34942976598518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7.4813855554496067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7.4813855554496067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183.33333333333334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18.58285714285714</v>
      </c>
      <c r="N60" s="14">
        <f>IF('Données projet'!$A$36&gt;35,N59+M60-V59,IF(A60&lt;'Données projet'!$A$36,$K$205^A60,IF(A60='Données projet'!$A$36,'Données projet'!$B$36,N59+M60-V59)))</f>
        <v>457.50285714285718</v>
      </c>
      <c r="O60" s="14">
        <f>N60*VLOOKUP('Données projet'!$B$9,Paramètres!$A$1:$I$89,3,0)*VLOOKUP('Données projet'!$B$9,Paramètres!$A$1:$I$89,5,0)</f>
        <v>255.74409714285716</v>
      </c>
      <c r="P60" s="14">
        <f t="shared" si="33"/>
        <v>61.814321894325772</v>
      </c>
      <c r="Q60" s="22">
        <f t="shared" si="53"/>
        <v>553.08091315642696</v>
      </c>
      <c r="R60" s="62">
        <f t="shared" si="0"/>
        <v>812.60755320710473</v>
      </c>
      <c r="S60" s="62">
        <f ca="1">AVERAGE(OFFSET($R$3,0,0,'Données projet'!$E$9+1,1))-AVERAGE(OFFSET($H$3,0,0,'Données projet'!$E$9+1,1))</f>
        <v>409.45931633551902</v>
      </c>
      <c r="T60" s="62">
        <f t="shared" si="34"/>
        <v>375.18886653687389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3.1054098905152849</v>
      </c>
      <c r="AA60" s="23">
        <f>EXP(-LN(2)/25)*AA59+(1-EXP(-LN(2)/25))/(LN(2)/25)*Calculateur!V60*Calculateur!X60*VLOOKUP('Données projet'!$B$9,Paramètres!$A$1:$I$89,3,0)*0.475*44/12</f>
        <v>9.136786057250422</v>
      </c>
      <c r="AB60" s="23">
        <f>EXP(-LN(2)/2)*AB59+(1-EXP(-LN(2)/2))/(LN(2)/2)*V60*Y60*VLOOKUP('Données projet'!$B$9,Paramètres!$A$1:$I$89,3,0)*0.475*44/12</f>
        <v>1.0013680526412645E-3</v>
      </c>
      <c r="AC60" s="24">
        <f t="shared" si="3"/>
        <v>12.243197315818348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5.6843418860808015E-14</v>
      </c>
      <c r="AJ60" s="14">
        <f>AI60*VLOOKUP('Données projet'!$B$10,Paramètres!$A$1:$I$89,3,0)*VLOOKUP('Données projet'!$B$10,Paramètres!$A$1:$I$89,5,0)</f>
        <v>3.3992364478763198E-14</v>
      </c>
      <c r="AK60" s="14">
        <f t="shared" si="35"/>
        <v>5.790027782444094E-13</v>
      </c>
      <c r="AL60" s="22">
        <f t="shared" si="4"/>
        <v>1.0676332069095257E-12</v>
      </c>
      <c r="AM60" s="62">
        <f t="shared" si="5"/>
        <v>259.52664005067879</v>
      </c>
      <c r="AN60" s="62">
        <f ca="1">AVERAGE(OFFSET($AM$3,0,0,'Données projet'!$E$10+1,1))-AVERAGE(OFFSET($H$3,0,0,'Données projet'!$E$10+1,1))</f>
        <v>212.90262675152454</v>
      </c>
      <c r="AO60" s="62">
        <f t="shared" si="36"/>
        <v>366.51899340890498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64.084656897181759</v>
      </c>
      <c r="AV60" s="23">
        <f>EXP(-LN(2)/25)*AV59+(1-EXP(-LN(2)/25))/(LN(2)/25)*Calculateur!AQ60*Calculateur!AS60*VLOOKUP('Données projet'!$B$10,Paramètres!$A$1:$I$89,3,0)*0.475*44/12</f>
        <v>1.5813720445888775</v>
      </c>
      <c r="AW60" s="23">
        <f>EXP(-LN(2)/2)*AW59+(1-EXP(-LN(2)/2))/(LN(2)/2)*AQ60*AT60*VLOOKUP('Données projet'!$B$10,Paramètres!$A$1:$I$89,3,0)*0.475*44/12</f>
        <v>9.5079504274950488E-2</v>
      </c>
      <c r="AX60" s="23">
        <f t="shared" si="6"/>
        <v>65.761108446045583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6.8</v>
      </c>
      <c r="BD60" s="13">
        <f>IF('Données projet'!$A$88&gt;35,BD59+BC60-BL59,IF(A60&lt;'Données projet'!$A$88,$BA$205^A60,IF(A60='Données projet'!$A$88,'Données projet'!$B$88,BD59+BC60-BL59)))</f>
        <v>221.60000000000008</v>
      </c>
      <c r="BE60" s="14">
        <f>BD60*VLOOKUP('Données projet'!$B$11,Paramètres!$A$1:$I$89,3,0)*VLOOKUP('Données projet'!$B$11,Paramètres!$A$1:$I$89,5,0)</f>
        <v>193.5897600000001</v>
      </c>
      <c r="BF60" s="14">
        <f t="shared" si="37"/>
        <v>48.332731202087089</v>
      </c>
      <c r="BG60" s="22">
        <f t="shared" si="7"/>
        <v>421.34833884363525</v>
      </c>
      <c r="BH60" s="62">
        <f t="shared" si="8"/>
        <v>680.87497889431302</v>
      </c>
      <c r="BI60" s="62">
        <f ca="1">AVERAGE(OFFSET($BH$3,0,0,'Données projet'!$E$11+1,1))-AVERAGE(OFFSET($H$3,0,0,'Données projet'!$E$11+1,1))</f>
        <v>342.02279578180605</v>
      </c>
      <c r="BJ60" s="62">
        <f t="shared" si="38"/>
        <v>409.02379334777754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6.4</v>
      </c>
      <c r="BY60" s="13">
        <f>IF('Données projet'!$A$114&gt;35,BY59+BX60-CG59,IF(A60&lt;'Données projet'!$A$114,$BV$205^A60,IF(A60='Données projet'!$A$114,'Données projet'!$B$114,BY59+BX60-CG59)))</f>
        <v>274.7999999999999</v>
      </c>
      <c r="BZ60" s="14">
        <f>BY60*VLOOKUP('Données projet'!$B$12,Paramètres!$A$1:$I$89,3,0)*VLOOKUP('Données projet'!$B$12,Paramètres!$A$1:$I$89,5,0)</f>
        <v>218.63087999999991</v>
      </c>
      <c r="CA60" s="14">
        <f t="shared" si="39"/>
        <v>53.817206223982794</v>
      </c>
      <c r="CB60" s="22">
        <f t="shared" si="10"/>
        <v>474.51375017343656</v>
      </c>
      <c r="CC60" s="62">
        <f t="shared" si="11"/>
        <v>734.04039022411428</v>
      </c>
      <c r="CD60" s="62">
        <f ca="1">AVERAGE(OFFSET($CC$3,0,0,'Données projet'!$E$12+1,1))-AVERAGE(OFFSET($H$3,0,0,'Données projet'!$E$12+1,1))</f>
        <v>376.47942810265266</v>
      </c>
      <c r="CE60" s="62">
        <f t="shared" si="40"/>
        <v>362.87951024071265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9.8098171399201846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9.8098171399201846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6.4</v>
      </c>
      <c r="CT60" s="13">
        <f>IF('Données projet'!$A$140&gt;35,CT59+CS60-DB59,IF(A60&lt;'Données projet'!$A$140,$CQ$205^A60,IF(A60='Données projet'!$A$140,'Données projet'!$B$140,CT59+CS60-DB59)))</f>
        <v>274.7999999999999</v>
      </c>
      <c r="CU60" s="18">
        <f>CT60*VLOOKUP('Données projet'!$B$13,Paramètres!$A$1:$I$89,3,0)*VLOOKUP('Données projet'!$B$13,Paramètres!$A$1:$I$89,5,0)</f>
        <v>201.48335999999992</v>
      </c>
      <c r="CV60" s="14">
        <f t="shared" si="41"/>
        <v>50.070025024008594</v>
      </c>
      <c r="CW60" s="22">
        <f t="shared" si="13"/>
        <v>438.12214558348154</v>
      </c>
      <c r="CX60" s="62">
        <f t="shared" si="14"/>
        <v>697.64878563415925</v>
      </c>
      <c r="CY60" s="62">
        <f ca="1">AVERAGE(OFFSET($CX$3,0,0,'Données projet'!$E$13+1,1))-AVERAGE(OFFSET($H$3,0,0,'Données projet'!$E$13+1,1))</f>
        <v>351.7223836693733</v>
      </c>
      <c r="CZ60" s="62">
        <f t="shared" si="42"/>
        <v>339.34942976598518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7.3346801479018504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7.3346801479018504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183.33333333333334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18.58285714285714</v>
      </c>
      <c r="N61" s="14">
        <f>IF('Données projet'!$A$36&gt;35,N60+M61-V60,IF(A61&lt;'Données projet'!$A$36,$K$205^A61,IF(A61='Données projet'!$A$36,'Données projet'!$B$36,N60+M61-V60)))</f>
        <v>476.08571428571435</v>
      </c>
      <c r="O61" s="14">
        <f>N61*VLOOKUP('Données projet'!$B$9,Paramètres!$A$1:$I$89,3,0)*VLOOKUP('Données projet'!$B$9,Paramètres!$A$1:$I$89,5,0)</f>
        <v>266.13191428571434</v>
      </c>
      <c r="P61" s="14">
        <f t="shared" si="33"/>
        <v>64.027675737818782</v>
      </c>
      <c r="Q61" s="22">
        <f t="shared" si="53"/>
        <v>575.02795262432016</v>
      </c>
      <c r="R61" s="62">
        <f t="shared" si="0"/>
        <v>835.14106322300859</v>
      </c>
      <c r="S61" s="62">
        <f ca="1">AVERAGE(OFFSET($R$3,0,0,'Données projet'!$E$9+1,1))-AVERAGE(OFFSET($H$3,0,0,'Données projet'!$E$9+1,1))</f>
        <v>409.45931633551902</v>
      </c>
      <c r="T61" s="62">
        <f t="shared" si="34"/>
        <v>375.18886653687389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3.0445146966752854</v>
      </c>
      <c r="AA61" s="23">
        <f>EXP(-LN(2)/25)*AA60+(1-EXP(-LN(2)/25))/(LN(2)/25)*Calculateur!V61*Calculateur!X61*VLOOKUP('Données projet'!$B$9,Paramètres!$A$1:$I$89,3,0)*0.475*44/12</f>
        <v>8.8869401620322126</v>
      </c>
      <c r="AB61" s="23">
        <f>EXP(-LN(2)/2)*AB60+(1-EXP(-LN(2)/2))/(LN(2)/2)*V61*Y61*VLOOKUP('Données projet'!$B$9,Paramètres!$A$1:$I$89,3,0)*0.475*44/12</f>
        <v>7.0807414048620584E-4</v>
      </c>
      <c r="AC61" s="24">
        <f t="shared" si="3"/>
        <v>11.932162932847985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5.6843418860808015E-14</v>
      </c>
      <c r="AJ61" s="14">
        <f>AI61*VLOOKUP('Données projet'!$B$10,Paramètres!$A$1:$I$89,3,0)*VLOOKUP('Données projet'!$B$10,Paramètres!$A$1:$I$89,5,0)</f>
        <v>3.3992364478763198E-14</v>
      </c>
      <c r="AK61" s="14">
        <f t="shared" si="35"/>
        <v>5.790027782444094E-13</v>
      </c>
      <c r="AL61" s="22">
        <f t="shared" si="4"/>
        <v>1.0676332069095257E-12</v>
      </c>
      <c r="AM61" s="62">
        <f t="shared" si="5"/>
        <v>260.1131105986895</v>
      </c>
      <c r="AN61" s="62">
        <f ca="1">AVERAGE(OFFSET($AM$3,0,0,'Données projet'!$E$10+1,1))-AVERAGE(OFFSET($H$3,0,0,'Données projet'!$E$10+1,1))</f>
        <v>212.90262675152454</v>
      </c>
      <c r="AO61" s="62">
        <f t="shared" si="36"/>
        <v>366.51899340890498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62.827995863209132</v>
      </c>
      <c r="AV61" s="23">
        <f>EXP(-LN(2)/25)*AV60+(1-EXP(-LN(2)/25))/(LN(2)/25)*Calculateur!AQ61*Calculateur!AS61*VLOOKUP('Données projet'!$B$10,Paramètres!$A$1:$I$89,3,0)*0.475*44/12</f>
        <v>1.5381293428688532</v>
      </c>
      <c r="AW61" s="23">
        <f>EXP(-LN(2)/2)*AW60+(1-EXP(-LN(2)/2))/(LN(2)/2)*AQ61*AT61*VLOOKUP('Données projet'!$B$10,Paramètres!$A$1:$I$89,3,0)*0.475*44/12</f>
        <v>6.7231362224672825E-2</v>
      </c>
      <c r="AX61" s="23">
        <f t="shared" si="6"/>
        <v>64.433356568302656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6.8</v>
      </c>
      <c r="BD61" s="13">
        <f>IF('Données projet'!$A$88&gt;35,BD60+BC61-BL60,IF(A61&lt;'Données projet'!$A$88,$BA$205^A61,IF(A61='Données projet'!$A$88,'Données projet'!$B$88,BD60+BC61-BL60)))</f>
        <v>228.40000000000009</v>
      </c>
      <c r="BE61" s="14">
        <f>BD61*VLOOKUP('Données projet'!$B$11,Paramètres!$A$1:$I$89,3,0)*VLOOKUP('Données projet'!$B$11,Paramètres!$A$1:$I$89,5,0)</f>
        <v>199.53024000000011</v>
      </c>
      <c r="BF61" s="14">
        <f t="shared" si="37"/>
        <v>49.640914570461312</v>
      </c>
      <c r="BG61" s="22">
        <f t="shared" si="7"/>
        <v>433.97309421022027</v>
      </c>
      <c r="BH61" s="62">
        <f t="shared" si="8"/>
        <v>694.08620480890863</v>
      </c>
      <c r="BI61" s="62">
        <f ca="1">AVERAGE(OFFSET($BH$3,0,0,'Données projet'!$E$11+1,1))-AVERAGE(OFFSET($H$3,0,0,'Données projet'!$E$11+1,1))</f>
        <v>342.02279578180605</v>
      </c>
      <c r="BJ61" s="62">
        <f t="shared" si="38"/>
        <v>409.02379334777754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6.4</v>
      </c>
      <c r="BY61" s="13">
        <f>IF('Données projet'!$A$114&gt;35,BY60+BX61-CG60,IF(A61&lt;'Données projet'!$A$114,$BV$205^A61,IF(A61='Données projet'!$A$114,'Données projet'!$B$114,BY60+BX61-CG60)))</f>
        <v>281.19999999999987</v>
      </c>
      <c r="BZ61" s="14">
        <f>BY61*VLOOKUP('Données projet'!$B$12,Paramètres!$A$1:$I$89,3,0)*VLOOKUP('Données projet'!$B$12,Paramètres!$A$1:$I$89,5,0)</f>
        <v>223.72271999999992</v>
      </c>
      <c r="CA61" s="14">
        <f t="shared" si="39"/>
        <v>54.923208653192283</v>
      </c>
      <c r="CB61" s="22">
        <f t="shared" si="10"/>
        <v>485.30832573764309</v>
      </c>
      <c r="CC61" s="62">
        <f t="shared" si="11"/>
        <v>745.42143633633145</v>
      </c>
      <c r="CD61" s="62">
        <f ca="1">AVERAGE(OFFSET($CC$3,0,0,'Données projet'!$E$12+1,1))-AVERAGE(OFFSET($H$3,0,0,'Données projet'!$E$12+1,1))</f>
        <v>376.47942810265266</v>
      </c>
      <c r="CE61" s="62">
        <f t="shared" si="40"/>
        <v>362.87951024071265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9.617452609203994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9.617452609203994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6.4</v>
      </c>
      <c r="CT61" s="13">
        <f>IF('Données projet'!$A$140&gt;35,CT60+CS61-DB60,IF(A61&lt;'Données projet'!$A$140,$CQ$205^A61,IF(A61='Données projet'!$A$140,'Données projet'!$B$140,CT60+CS61-DB60)))</f>
        <v>281.19999999999987</v>
      </c>
      <c r="CU61" s="18">
        <f>CT61*VLOOKUP('Données projet'!$B$13,Paramètres!$A$1:$I$89,3,0)*VLOOKUP('Données projet'!$B$13,Paramètres!$A$1:$I$89,5,0)</f>
        <v>206.17583999999991</v>
      </c>
      <c r="CV61" s="14">
        <f t="shared" si="41"/>
        <v>51.099018782559604</v>
      </c>
      <c r="CW61" s="22">
        <f t="shared" si="13"/>
        <v>448.08704571295783</v>
      </c>
      <c r="CX61" s="62">
        <f t="shared" si="14"/>
        <v>708.2001563116462</v>
      </c>
      <c r="CY61" s="62">
        <f ca="1">AVERAGE(OFFSET($CX$3,0,0,'Données projet'!$E$13+1,1))-AVERAGE(OFFSET($H$3,0,0,'Données projet'!$E$13+1,1))</f>
        <v>351.7223836693733</v>
      </c>
      <c r="CZ61" s="62">
        <f t="shared" si="42"/>
        <v>339.34942976598518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7.1908515439146425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7.1908515439146425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183.33333333333334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18.58285714285714</v>
      </c>
      <c r="N62" s="14">
        <f>IF('Données projet'!$A$36&gt;35,N61+M62-V61,IF(A62&lt;'Données projet'!$A$36,$K$205^A62,IF(A62='Données projet'!$A$36,'Données projet'!$B$36,N61+M62-V61)))</f>
        <v>494.66857142857151</v>
      </c>
      <c r="O62" s="14">
        <f>N62*VLOOKUP('Données projet'!$B$9,Paramètres!$A$1:$I$89,3,0)*VLOOKUP('Données projet'!$B$9,Paramètres!$A$1:$I$89,5,0)</f>
        <v>276.5197314285715</v>
      </c>
      <c r="P62" s="14">
        <f t="shared" si="33"/>
        <v>66.230993562988985</v>
      </c>
      <c r="Q62" s="22">
        <f t="shared" si="53"/>
        <v>596.9575126936345</v>
      </c>
      <c r="R62" s="62">
        <f t="shared" si="0"/>
        <v>857.64691988747722</v>
      </c>
      <c r="S62" s="62">
        <f ca="1">AVERAGE(OFFSET($R$3,0,0,'Données projet'!$E$9+1,1))-AVERAGE(OFFSET($H$3,0,0,'Données projet'!$E$9+1,1))</f>
        <v>409.45931633551902</v>
      </c>
      <c r="T62" s="62">
        <f t="shared" si="34"/>
        <v>375.18886653687389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2.9848136204440876</v>
      </c>
      <c r="AA62" s="23">
        <f>EXP(-LN(2)/25)*AA61+(1-EXP(-LN(2)/25))/(LN(2)/25)*Calculateur!V62*Calculateur!X62*VLOOKUP('Données projet'!$B$9,Paramètres!$A$1:$I$89,3,0)*0.475*44/12</f>
        <v>8.6439263159575699</v>
      </c>
      <c r="AB62" s="23">
        <f>EXP(-LN(2)/2)*AB61+(1-EXP(-LN(2)/2))/(LN(2)/2)*V62*Y62*VLOOKUP('Données projet'!$B$9,Paramètres!$A$1:$I$89,3,0)*0.475*44/12</f>
        <v>5.0068402632063224E-4</v>
      </c>
      <c r="AC62" s="24">
        <f t="shared" si="3"/>
        <v>11.629240620427979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5.6843418860808015E-14</v>
      </c>
      <c r="AJ62" s="14">
        <f>AI62*VLOOKUP('Données projet'!$B$10,Paramètres!$A$1:$I$89,3,0)*VLOOKUP('Données projet'!$B$10,Paramètres!$A$1:$I$89,5,0)</f>
        <v>3.3992364478763198E-14</v>
      </c>
      <c r="AK62" s="14">
        <f t="shared" si="35"/>
        <v>5.790027782444094E-13</v>
      </c>
      <c r="AL62" s="22">
        <f t="shared" si="4"/>
        <v>1.0676332069095257E-12</v>
      </c>
      <c r="AM62" s="62">
        <f t="shared" si="5"/>
        <v>260.68940719384386</v>
      </c>
      <c r="AN62" s="62">
        <f ca="1">AVERAGE(OFFSET($AM$3,0,0,'Données projet'!$E$10+1,1))-AVERAGE(OFFSET($H$3,0,0,'Données projet'!$E$10+1,1))</f>
        <v>212.90262675152454</v>
      </c>
      <c r="AO62" s="62">
        <f t="shared" si="36"/>
        <v>366.51899340890498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61.595977185625166</v>
      </c>
      <c r="AV62" s="23">
        <f>EXP(-LN(2)/25)*AV61+(1-EXP(-LN(2)/25))/(LN(2)/25)*Calculateur!AQ62*Calculateur!AS62*VLOOKUP('Données projet'!$B$10,Paramètres!$A$1:$I$89,3,0)*0.475*44/12</f>
        <v>1.4960691151013976</v>
      </c>
      <c r="AW62" s="23">
        <f>EXP(-LN(2)/2)*AW61+(1-EXP(-LN(2)/2))/(LN(2)/2)*AQ62*AT62*VLOOKUP('Données projet'!$B$10,Paramètres!$A$1:$I$89,3,0)*0.475*44/12</f>
        <v>4.7539752137475244E-2</v>
      </c>
      <c r="AX62" s="23">
        <f t="shared" si="6"/>
        <v>63.13958605286404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6.8</v>
      </c>
      <c r="BD62" s="13">
        <f>IF('Données projet'!$A$88&gt;35,BD61+BC62-BL61,IF(A62&lt;'Données projet'!$A$88,$BA$205^A62,IF(A62='Données projet'!$A$88,'Données projet'!$B$88,BD61+BC62-BL61)))</f>
        <v>235.2000000000001</v>
      </c>
      <c r="BE62" s="14">
        <f>BD62*VLOOKUP('Données projet'!$B$11,Paramètres!$A$1:$I$89,3,0)*VLOOKUP('Données projet'!$B$11,Paramètres!$A$1:$I$89,5,0)</f>
        <v>205.47072000000011</v>
      </c>
      <c r="BF62" s="14">
        <f t="shared" si="37"/>
        <v>50.944571570352757</v>
      </c>
      <c r="BG62" s="22">
        <f t="shared" si="7"/>
        <v>446.58996615169781</v>
      </c>
      <c r="BH62" s="62">
        <f t="shared" si="8"/>
        <v>707.27937334554053</v>
      </c>
      <c r="BI62" s="62">
        <f ca="1">AVERAGE(OFFSET($BH$3,0,0,'Données projet'!$E$11+1,1))-AVERAGE(OFFSET($H$3,0,0,'Données projet'!$E$11+1,1))</f>
        <v>342.02279578180605</v>
      </c>
      <c r="BJ62" s="62">
        <f t="shared" si="38"/>
        <v>409.02379334777754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6.4</v>
      </c>
      <c r="BY62" s="13">
        <f>IF('Données projet'!$A$114&gt;35,BY61+BX62-CG61,IF(A62&lt;'Données projet'!$A$114,$BV$205^A62,IF(A62='Données projet'!$A$114,'Données projet'!$B$114,BY61+BX62-CG61)))</f>
        <v>287.59999999999985</v>
      </c>
      <c r="BZ62" s="14">
        <f>BY62*VLOOKUP('Données projet'!$B$12,Paramètres!$A$1:$I$89,3,0)*VLOOKUP('Données projet'!$B$12,Paramètres!$A$1:$I$89,5,0)</f>
        <v>228.81455999999989</v>
      </c>
      <c r="CA62" s="14">
        <f t="shared" si="39"/>
        <v>56.026284651959251</v>
      </c>
      <c r="CB62" s="22">
        <f t="shared" si="10"/>
        <v>496.09780443549545</v>
      </c>
      <c r="CC62" s="62">
        <f t="shared" si="11"/>
        <v>756.78721162933823</v>
      </c>
      <c r="CD62" s="62">
        <f ca="1">AVERAGE(OFFSET($CC$3,0,0,'Données projet'!$E$12+1,1))-AVERAGE(OFFSET($H$3,0,0,'Données projet'!$E$12+1,1))</f>
        <v>376.47942810265266</v>
      </c>
      <c r="CE62" s="62">
        <f t="shared" si="40"/>
        <v>362.87951024071265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9.4288602296043695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9.4288602296043695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6.4</v>
      </c>
      <c r="CT62" s="13">
        <f>IF('Données projet'!$A$140&gt;35,CT61+CS62-DB61,IF(A62&lt;'Données projet'!$A$140,$CQ$205^A62,IF(A62='Données projet'!$A$140,'Données projet'!$B$140,CT61+CS62-DB61)))</f>
        <v>287.59999999999985</v>
      </c>
      <c r="CU62" s="18">
        <f>CT62*VLOOKUP('Données projet'!$B$13,Paramètres!$A$1:$I$89,3,0)*VLOOKUP('Données projet'!$B$13,Paramètres!$A$1:$I$89,5,0)</f>
        <v>210.86831999999987</v>
      </c>
      <c r="CV62" s="14">
        <f t="shared" si="41"/>
        <v>52.125289871991086</v>
      </c>
      <c r="CW62" s="22">
        <f t="shared" si="13"/>
        <v>458.04720386038417</v>
      </c>
      <c r="CX62" s="62">
        <f t="shared" si="14"/>
        <v>718.73661105422696</v>
      </c>
      <c r="CY62" s="62">
        <f ca="1">AVERAGE(OFFSET($CX$3,0,0,'Données projet'!$E$13+1,1))-AVERAGE(OFFSET($H$3,0,0,'Données projet'!$E$13+1,1))</f>
        <v>351.7223836693733</v>
      </c>
      <c r="CZ62" s="62">
        <f t="shared" si="42"/>
        <v>339.34942976598518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7.0498433311248379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7.0498433311248379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183.33333333333334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18.58285714285714</v>
      </c>
      <c r="N63" s="14">
        <f>IF('Données projet'!$A$36&gt;35,N62+M63-V62,IF(A63&lt;'Données projet'!$A$36,$K$205^A63,IF(A63='Données projet'!$A$36,'Données projet'!$B$36,N62+M63-V62)))</f>
        <v>513.25142857142862</v>
      </c>
      <c r="O63" s="14">
        <f>N63*VLOOKUP('Données projet'!$B$9,Paramètres!$A$1:$I$89,3,0)*VLOOKUP('Données projet'!$B$9,Paramètres!$A$1:$I$89,5,0)</f>
        <v>286.90754857142861</v>
      </c>
      <c r="P63" s="14">
        <f t="shared" si="33"/>
        <v>68.424695552593661</v>
      </c>
      <c r="Q63" s="22">
        <f t="shared" si="53"/>
        <v>618.87032518267222</v>
      </c>
      <c r="R63" s="62">
        <f t="shared" si="0"/>
        <v>880.12603151414964</v>
      </c>
      <c r="S63" s="62">
        <f ca="1">AVERAGE(OFFSET($R$3,0,0,'Données projet'!$E$9+1,1))-AVERAGE(OFFSET($H$3,0,0,'Données projet'!$E$9+1,1))</f>
        <v>409.45931633551902</v>
      </c>
      <c r="T63" s="62">
        <f t="shared" si="34"/>
        <v>375.18886653687389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2.9262832459037225</v>
      </c>
      <c r="AA63" s="23">
        <f>EXP(-LN(2)/25)*AA62+(1-EXP(-LN(2)/25))/(LN(2)/25)*Calculateur!V63*Calculateur!X63*VLOOKUP('Données projet'!$B$9,Paramètres!$A$1:$I$89,3,0)*0.475*44/12</f>
        <v>8.4075576962833818</v>
      </c>
      <c r="AB63" s="23">
        <f>EXP(-LN(2)/2)*AB62+(1-EXP(-LN(2)/2))/(LN(2)/2)*V63*Y63*VLOOKUP('Données projet'!$B$9,Paramètres!$A$1:$I$89,3,0)*0.475*44/12</f>
        <v>3.5403707024310292E-4</v>
      </c>
      <c r="AC63" s="24">
        <f t="shared" si="3"/>
        <v>11.334194979257347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5.6843418860808015E-14</v>
      </c>
      <c r="AJ63" s="14">
        <f>AI63*VLOOKUP('Données projet'!$B$10,Paramètres!$A$1:$I$89,3,0)*VLOOKUP('Données projet'!$B$10,Paramètres!$A$1:$I$89,5,0)</f>
        <v>3.3992364478763198E-14</v>
      </c>
      <c r="AK63" s="14">
        <f t="shared" si="35"/>
        <v>5.790027782444094E-13</v>
      </c>
      <c r="AL63" s="22">
        <f t="shared" si="4"/>
        <v>1.0676332069095257E-12</v>
      </c>
      <c r="AM63" s="62">
        <f t="shared" si="5"/>
        <v>261.25570633147856</v>
      </c>
      <c r="AN63" s="62">
        <f ca="1">AVERAGE(OFFSET($AM$3,0,0,'Données projet'!$E$10+1,1))-AVERAGE(OFFSET($H$3,0,0,'Données projet'!$E$10+1,1))</f>
        <v>212.90262675152454</v>
      </c>
      <c r="AO63" s="62">
        <f t="shared" si="36"/>
        <v>366.51899340890498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60.388117642851427</v>
      </c>
      <c r="AV63" s="23">
        <f>EXP(-LN(2)/25)*AV62+(1-EXP(-LN(2)/25))/(LN(2)/25)*Calculateur!AQ63*Calculateur!AS63*VLOOKUP('Données projet'!$B$10,Paramètres!$A$1:$I$89,3,0)*0.475*44/12</f>
        <v>1.4551590264740943</v>
      </c>
      <c r="AW63" s="23">
        <f>EXP(-LN(2)/2)*AW62+(1-EXP(-LN(2)/2))/(LN(2)/2)*AQ63*AT63*VLOOKUP('Données projet'!$B$10,Paramètres!$A$1:$I$89,3,0)*0.475*44/12</f>
        <v>3.3615681112336412E-2</v>
      </c>
      <c r="AX63" s="23">
        <f t="shared" si="6"/>
        <v>61.876892350437856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242</v>
      </c>
      <c r="BB63" s="13">
        <f>VLOOKUP(A63,'Données projet'!$A$87:$I$107,9,0)</f>
        <v>6.8</v>
      </c>
      <c r="BC63" s="13">
        <f t="array" ref="BC63">INDEX(BB:BB,MIN(IF(ISNUMBER(BB63:BB259),ROW(BB63:BB259),"")))</f>
        <v>6.8</v>
      </c>
      <c r="BD63" s="13">
        <f>IF('Données projet'!$A$88&gt;35,BD62+BC63-BL62,IF(A63&lt;'Données projet'!$A$88,$BA$205^A63,IF(A63='Données projet'!$A$88,'Données projet'!$B$88,BD62+BC63-BL62)))</f>
        <v>242.00000000000011</v>
      </c>
      <c r="BE63" s="14">
        <f>BD63*VLOOKUP('Données projet'!$B$11,Paramètres!$A$1:$I$89,3,0)*VLOOKUP('Données projet'!$B$11,Paramètres!$A$1:$I$89,5,0)</f>
        <v>211.41120000000012</v>
      </c>
      <c r="BF63" s="14">
        <f t="shared" si="37"/>
        <v>52.243848094411206</v>
      </c>
      <c r="BG63" s="22">
        <f t="shared" si="7"/>
        <v>459.19920876443302</v>
      </c>
      <c r="BH63" s="62">
        <f t="shared" si="8"/>
        <v>720.45491509591056</v>
      </c>
      <c r="BI63" s="62">
        <f ca="1">AVERAGE(OFFSET($BH$3,0,0,'Données projet'!$E$11+1,1))-AVERAGE(OFFSET($H$3,0,0,'Données projet'!$E$11+1,1))</f>
        <v>342.02279578180605</v>
      </c>
      <c r="BJ63" s="62">
        <f t="shared" si="38"/>
        <v>409.02379334777754</v>
      </c>
      <c r="BK63" s="16">
        <f>IF(ISNA(VLOOKUP(A63,'Données projet'!$A$87:$I$107,3,0)),0,VLOOKUP(A63,'Données projet'!$A$87:$I$107,3,0))</f>
        <v>10</v>
      </c>
      <c r="BL63" s="16">
        <f>IF(ISNA(VLOOKUP(A63,'Données projet'!$A$87:$I$107,4,0)),0,VLOOKUP(A63,'Données projet'!$A$87:$I$107,4,0))</f>
        <v>26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294</v>
      </c>
      <c r="BW63" s="13">
        <f>VLOOKUP(A63,'Données projet'!$A$113:$I$133,9,0)</f>
        <v>6.4</v>
      </c>
      <c r="BX63" s="13">
        <f t="array" ref="BX63">INDEX(BW:BW,MIN(IF(ISNUMBER(BW63:BW259),ROW(BW63:BW259),"")))</f>
        <v>6.4</v>
      </c>
      <c r="BY63" s="13">
        <f>IF('Données projet'!$A$114&gt;35,BY62+BX63-CG62,IF(A63&lt;'Données projet'!$A$114,$BV$205^A63,IF(A63='Données projet'!$A$114,'Données projet'!$B$114,BY62+BX63-CG62)))</f>
        <v>293.99999999999983</v>
      </c>
      <c r="BZ63" s="14">
        <f>BY63*VLOOKUP('Données projet'!$B$12,Paramètres!$A$1:$I$89,3,0)*VLOOKUP('Données projet'!$B$12,Paramètres!$A$1:$I$89,5,0)</f>
        <v>233.90639999999988</v>
      </c>
      <c r="CA63" s="14">
        <f t="shared" si="39"/>
        <v>57.126506840778347</v>
      </c>
      <c r="CB63" s="22">
        <f t="shared" si="10"/>
        <v>506.88231274768867</v>
      </c>
      <c r="CC63" s="62">
        <f t="shared" si="11"/>
        <v>768.13801907916616</v>
      </c>
      <c r="CD63" s="62">
        <f ca="1">AVERAGE(OFFSET($CC$3,0,0,'Données projet'!$E$12+1,1))-AVERAGE(OFFSET($H$3,0,0,'Données projet'!$E$12+1,1))</f>
        <v>376.47942810265266</v>
      </c>
      <c r="CE63" s="62">
        <f t="shared" si="40"/>
        <v>362.87951024071265</v>
      </c>
      <c r="CF63" s="16">
        <f>IF(ISNA(VLOOKUP(A63,'Données projet'!$A$113:$I$133,3,0)),0,VLOOKUP(A63,'Données projet'!$A$113:$I$133,3,0))</f>
        <v>11</v>
      </c>
      <c r="CG63" s="16">
        <f>IF(ISNA(VLOOKUP(A63,'Données projet'!$A$113:$I$133,4,0)),0,VLOOKUP(A63,'Données projet'!$A$113:$I$133,4,0))</f>
        <v>14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9.2439660315387009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9.2439660315387009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294</v>
      </c>
      <c r="CR63" s="13">
        <f>VLOOKUP(A63,'Données projet'!$A$139:$I$159,9,0)</f>
        <v>6.4</v>
      </c>
      <c r="CS63" s="13">
        <f t="array" ref="CS63">INDEX(CR:CR,MIN(IF(ISNUMBER(CR63:CR259),ROW(CR63:CR259),"")))</f>
        <v>6.4</v>
      </c>
      <c r="CT63" s="13">
        <f>IF('Données projet'!$A$140&gt;35,CT62+CS63-DB62,IF(A63&lt;'Données projet'!$A$140,$CQ$205^A63,IF(A63='Données projet'!$A$140,'Données projet'!$B$140,CT62+CS63-DB62)))</f>
        <v>293.99999999999983</v>
      </c>
      <c r="CU63" s="18">
        <f>CT63*VLOOKUP('Données projet'!$B$13,Paramètres!$A$1:$I$89,3,0)*VLOOKUP('Données projet'!$B$13,Paramètres!$A$1:$I$89,5,0)</f>
        <v>215.56079999999989</v>
      </c>
      <c r="CV63" s="14">
        <f t="shared" si="41"/>
        <v>53.14890585638225</v>
      </c>
      <c r="CW63" s="22">
        <f t="shared" si="13"/>
        <v>468.00273769986552</v>
      </c>
      <c r="CX63" s="62">
        <f t="shared" si="14"/>
        <v>729.25844403134306</v>
      </c>
      <c r="CY63" s="62">
        <f ca="1">AVERAGE(OFFSET($CX$3,0,0,'Données projet'!$E$13+1,1))-AVERAGE(OFFSET($H$3,0,0,'Données projet'!$E$13+1,1))</f>
        <v>351.7223836693733</v>
      </c>
      <c r="CZ63" s="62">
        <f t="shared" si="42"/>
        <v>339.34942976598518</v>
      </c>
      <c r="DA63" s="16">
        <f>IF(ISNA(VLOOKUP(A63,'Données projet'!$A$139:$I$159,3,0)),0,VLOOKUP(A63,'Données projet'!$A$139:$I$159,3,0))</f>
        <v>11</v>
      </c>
      <c r="DB63" s="16">
        <f>IF(ISNA(VLOOKUP(A63,'Données projet'!$A$139:$I$159,4,0)),0,VLOOKUP(A63,'Données projet'!$A$139:$I$159,4,0))</f>
        <v>14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6.9116002033813242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6.9116002033813242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183.33333333333334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18.58285714285714</v>
      </c>
      <c r="N64" s="14">
        <f>IF('Données projet'!$A$36&gt;35,N63+M64-V63,IF(A64&lt;'Données projet'!$A$36,$K$205^A64,IF(A64='Données projet'!$A$36,'Données projet'!$B$36,N63+M64-V63)))</f>
        <v>531.83428571428578</v>
      </c>
      <c r="O64" s="14">
        <f>N64*VLOOKUP('Données projet'!$B$9,Paramètres!$A$1:$I$89,3,0)*VLOOKUP('Données projet'!$B$9,Paramètres!$A$1:$I$89,5,0)</f>
        <v>297.29536571428577</v>
      </c>
      <c r="P64" s="14">
        <f t="shared" si="33"/>
        <v>70.609169738501635</v>
      </c>
      <c r="Q64" s="22">
        <f t="shared" si="53"/>
        <v>640.76706591360471</v>
      </c>
      <c r="R64" s="62">
        <f t="shared" si="0"/>
        <v>902.57924735873405</v>
      </c>
      <c r="S64" s="62">
        <f ca="1">AVERAGE(OFFSET($R$3,0,0,'Données projet'!$E$9+1,1))-AVERAGE(OFFSET($H$3,0,0,'Données projet'!$E$9+1,1))</f>
        <v>409.45931633551902</v>
      </c>
      <c r="T64" s="62">
        <f t="shared" si="34"/>
        <v>375.18886653687389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2.8689006163080903</v>
      </c>
      <c r="AA64" s="23">
        <f>EXP(-LN(2)/25)*AA63+(1-EXP(-LN(2)/25))/(LN(2)/25)*Calculateur!V64*Calculateur!X64*VLOOKUP('Données projet'!$B$9,Paramètres!$A$1:$I$89,3,0)*0.475*44/12</f>
        <v>8.1776525889442695</v>
      </c>
      <c r="AB64" s="23">
        <f>EXP(-LN(2)/2)*AB63+(1-EXP(-LN(2)/2))/(LN(2)/2)*V64*Y64*VLOOKUP('Données projet'!$B$9,Paramètres!$A$1:$I$89,3,0)*0.475*44/12</f>
        <v>2.5034201316031612E-4</v>
      </c>
      <c r="AC64" s="24">
        <f t="shared" si="3"/>
        <v>11.046803547265521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5.6843418860808015E-14</v>
      </c>
      <c r="AJ64" s="14">
        <f>AI64*VLOOKUP('Données projet'!$B$10,Paramètres!$A$1:$I$89,3,0)*VLOOKUP('Données projet'!$B$10,Paramètres!$A$1:$I$89,5,0)</f>
        <v>3.3992364478763198E-14</v>
      </c>
      <c r="AK64" s="14">
        <f t="shared" si="35"/>
        <v>5.790027782444094E-13</v>
      </c>
      <c r="AL64" s="22">
        <f t="shared" si="4"/>
        <v>1.0676332069095257E-12</v>
      </c>
      <c r="AM64" s="62">
        <f t="shared" si="5"/>
        <v>261.81218144513042</v>
      </c>
      <c r="AN64" s="62">
        <f ca="1">AVERAGE(OFFSET($AM$3,0,0,'Données projet'!$E$10+1,1))-AVERAGE(OFFSET($H$3,0,0,'Données projet'!$E$10+1,1))</f>
        <v>212.90262675152454</v>
      </c>
      <c r="AO64" s="62">
        <f t="shared" si="36"/>
        <v>366.51899340890498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59.203943488989907</v>
      </c>
      <c r="AV64" s="23">
        <f>EXP(-LN(2)/25)*AV63+(1-EXP(-LN(2)/25))/(LN(2)/25)*Calculateur!AQ64*Calculateur!AS64*VLOOKUP('Données projet'!$B$10,Paramètres!$A$1:$I$89,3,0)*0.475*44/12</f>
        <v>1.4153676263716728</v>
      </c>
      <c r="AW64" s="23">
        <f>EXP(-LN(2)/2)*AW63+(1-EXP(-LN(2)/2))/(LN(2)/2)*AQ64*AT64*VLOOKUP('Données projet'!$B$10,Paramètres!$A$1:$I$89,3,0)*0.475*44/12</f>
        <v>2.3769876068737622E-2</v>
      </c>
      <c r="AX64" s="23">
        <f t="shared" si="6"/>
        <v>60.643080991430324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6</v>
      </c>
      <c r="BD64" s="13">
        <f>IF('Données projet'!$A$88&gt;35,BD63+BC64-BL63,IF(A64&lt;'Données projet'!$A$88,$BA$205^A64,IF(A64='Données projet'!$A$88,'Données projet'!$B$88,BD63+BC64-BL63)))</f>
        <v>222.00000000000011</v>
      </c>
      <c r="BE64" s="14">
        <f>BD64*VLOOKUP('Données projet'!$B$11,Paramètres!$A$1:$I$89,3,0)*VLOOKUP('Données projet'!$B$11,Paramètres!$A$1:$I$89,5,0)</f>
        <v>193.93920000000014</v>
      </c>
      <c r="BF64" s="14">
        <f t="shared" si="37"/>
        <v>48.409811198069384</v>
      </c>
      <c r="BG64" s="22">
        <f t="shared" si="7"/>
        <v>422.09119450330439</v>
      </c>
      <c r="BH64" s="62">
        <f t="shared" si="8"/>
        <v>683.90337594843368</v>
      </c>
      <c r="BI64" s="62">
        <f ca="1">AVERAGE(OFFSET($BH$3,0,0,'Données projet'!$E$11+1,1))-AVERAGE(OFFSET($H$3,0,0,'Données projet'!$E$11+1,1))</f>
        <v>342.02279578180605</v>
      </c>
      <c r="BJ64" s="62">
        <f t="shared" si="38"/>
        <v>409.02379334777754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5.2</v>
      </c>
      <c r="BY64" s="13">
        <f>IF('Données projet'!$A$114&gt;35,BY63+BX64-CG63,IF(A64&lt;'Données projet'!$A$114,$BV$205^A64,IF(A64='Données projet'!$A$114,'Données projet'!$B$114,BY63+BX64-CG63)))</f>
        <v>285.19999999999982</v>
      </c>
      <c r="BZ64" s="14">
        <f>BY64*VLOOKUP('Données projet'!$B$12,Paramètres!$A$1:$I$89,3,0)*VLOOKUP('Données projet'!$B$12,Paramètres!$A$1:$I$89,5,0)</f>
        <v>226.90511999999987</v>
      </c>
      <c r="CA64" s="14">
        <f t="shared" si="39"/>
        <v>55.612969408444364</v>
      </c>
      <c r="CB64" s="22">
        <f t="shared" si="10"/>
        <v>492.05233905304038</v>
      </c>
      <c r="CC64" s="62">
        <f t="shared" si="11"/>
        <v>753.86452049816967</v>
      </c>
      <c r="CD64" s="62">
        <f ca="1">AVERAGE(OFFSET($CC$3,0,0,'Données projet'!$E$12+1,1))-AVERAGE(OFFSET($H$3,0,0,'Données projet'!$E$12+1,1))</f>
        <v>376.47942810265266</v>
      </c>
      <c r="CE64" s="62">
        <f t="shared" si="40"/>
        <v>362.87951024071265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9.0626974959227748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9.0626974959227748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5.2</v>
      </c>
      <c r="CT64" s="13">
        <f>IF('Données projet'!$A$140&gt;35,CT63+CS64-DB63,IF(A64&lt;'Données projet'!$A$140,$CQ$205^A64,IF(A64='Données projet'!$A$140,'Données projet'!$B$140,CT63+CS64-DB63)))</f>
        <v>285.19999999999982</v>
      </c>
      <c r="CU64" s="18">
        <f>CT64*VLOOKUP('Données projet'!$B$13,Paramètres!$A$1:$I$89,3,0)*VLOOKUP('Données projet'!$B$13,Paramètres!$A$1:$I$89,5,0)</f>
        <v>209.10863999999984</v>
      </c>
      <c r="CV64" s="14">
        <f t="shared" si="41"/>
        <v>51.740752917406994</v>
      </c>
      <c r="CW64" s="22">
        <f t="shared" si="13"/>
        <v>454.31269266448356</v>
      </c>
      <c r="CX64" s="62">
        <f t="shared" si="14"/>
        <v>716.12487410961285</v>
      </c>
      <c r="CY64" s="62">
        <f ca="1">AVERAGE(OFFSET($CX$3,0,0,'Données projet'!$E$13+1,1))-AVERAGE(OFFSET($H$3,0,0,'Données projet'!$E$13+1,1))</f>
        <v>351.7223836693733</v>
      </c>
      <c r="CZ64" s="62">
        <f t="shared" si="42"/>
        <v>339.34942976598518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6.7760679390528784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6.7760679390528784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183.33333333333334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18.58285714285714</v>
      </c>
      <c r="N65" s="14">
        <f>IF('Données projet'!$A$36&gt;35,N64+M65-V64,IF(A65&lt;'Données projet'!$A$36,$K$205^A65,IF(A65='Données projet'!$A$36,'Données projet'!$B$36,N64+M65-V64)))</f>
        <v>550.41714285714295</v>
      </c>
      <c r="O65" s="14">
        <f>N65*VLOOKUP('Données projet'!$B$9,Paramètres!$A$1:$I$89,3,0)*VLOOKUP('Données projet'!$B$9,Paramètres!$A$1:$I$89,5,0)</f>
        <v>307.68318285714292</v>
      </c>
      <c r="P65" s="14">
        <f t="shared" si="33"/>
        <v>72.784775498421382</v>
      </c>
      <c r="Q65" s="22">
        <f t="shared" si="53"/>
        <v>662.64836080260773</v>
      </c>
      <c r="R65" s="62">
        <f t="shared" si="0"/>
        <v>925.00736376225905</v>
      </c>
      <c r="S65" s="62">
        <f ca="1">AVERAGE(OFFSET($R$3,0,0,'Données projet'!$E$9+1,1))-AVERAGE(OFFSET($H$3,0,0,'Données projet'!$E$9+1,1))</f>
        <v>409.45931633551902</v>
      </c>
      <c r="T65" s="62">
        <f t="shared" si="34"/>
        <v>375.18886653687389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2.8126432250788809</v>
      </c>
      <c r="AA65" s="23">
        <f>EXP(-LN(2)/25)*AA64+(1-EXP(-LN(2)/25))/(LN(2)/25)*Calculateur!V65*Calculateur!X65*VLOOKUP('Données projet'!$B$9,Paramètres!$A$1:$I$89,3,0)*0.475*44/12</f>
        <v>7.9540342488555291</v>
      </c>
      <c r="AB65" s="23">
        <f>EXP(-LN(2)/2)*AB64+(1-EXP(-LN(2)/2))/(LN(2)/2)*V65*Y65*VLOOKUP('Données projet'!$B$9,Paramètres!$A$1:$I$89,3,0)*0.475*44/12</f>
        <v>1.7701853512155146E-4</v>
      </c>
      <c r="AC65" s="24">
        <f t="shared" si="3"/>
        <v>10.76685449246953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5.6843418860808015E-14</v>
      </c>
      <c r="AJ65" s="14">
        <f>AI65*VLOOKUP('Données projet'!$B$10,Paramètres!$A$1:$I$89,3,0)*VLOOKUP('Données projet'!$B$10,Paramètres!$A$1:$I$89,5,0)</f>
        <v>3.3992364478763198E-14</v>
      </c>
      <c r="AK65" s="14">
        <f t="shared" si="35"/>
        <v>5.790027782444094E-13</v>
      </c>
      <c r="AL65" s="22">
        <f t="shared" si="4"/>
        <v>1.0676332069095257E-12</v>
      </c>
      <c r="AM65" s="62">
        <f t="shared" si="5"/>
        <v>262.3590029596524</v>
      </c>
      <c r="AN65" s="62">
        <f ca="1">AVERAGE(OFFSET($AM$3,0,0,'Données projet'!$E$10+1,1))-AVERAGE(OFFSET($H$3,0,0,'Données projet'!$E$10+1,1))</f>
        <v>212.90262675152454</v>
      </c>
      <c r="AO65" s="62">
        <f t="shared" si="36"/>
        <v>366.51899340890498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58.042990268010691</v>
      </c>
      <c r="AV65" s="23">
        <f>EXP(-LN(2)/25)*AV64+(1-EXP(-LN(2)/25))/(LN(2)/25)*Calculateur!AQ65*Calculateur!AS65*VLOOKUP('Données projet'!$B$10,Paramètres!$A$1:$I$89,3,0)*0.475*44/12</f>
        <v>1.3766643241975909</v>
      </c>
      <c r="AW65" s="23">
        <f>EXP(-LN(2)/2)*AW64+(1-EXP(-LN(2)/2))/(LN(2)/2)*AQ65*AT65*VLOOKUP('Données projet'!$B$10,Paramètres!$A$1:$I$89,3,0)*0.475*44/12</f>
        <v>1.6807840556168206E-2</v>
      </c>
      <c r="AX65" s="23">
        <f t="shared" si="6"/>
        <v>59.436462432764451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6</v>
      </c>
      <c r="BD65" s="13">
        <f>IF('Données projet'!$A$88&gt;35,BD64+BC65-BL64,IF(A65&lt;'Données projet'!$A$88,$BA$205^A65,IF(A65='Données projet'!$A$88,'Données projet'!$B$88,BD64+BC65-BL64)))</f>
        <v>228.00000000000011</v>
      </c>
      <c r="BE65" s="14">
        <f>BD65*VLOOKUP('Données projet'!$B$11,Paramètres!$A$1:$I$89,3,0)*VLOOKUP('Données projet'!$B$11,Paramètres!$A$1:$I$89,5,0)</f>
        <v>199.18080000000012</v>
      </c>
      <c r="BF65" s="14">
        <f t="shared" si="37"/>
        <v>49.564089376413726</v>
      </c>
      <c r="BG65" s="22">
        <f t="shared" si="7"/>
        <v>433.2306823305874</v>
      </c>
      <c r="BH65" s="62">
        <f t="shared" si="8"/>
        <v>695.58968529023878</v>
      </c>
      <c r="BI65" s="62">
        <f ca="1">AVERAGE(OFFSET($BH$3,0,0,'Données projet'!$E$11+1,1))-AVERAGE(OFFSET($H$3,0,0,'Données projet'!$E$11+1,1))</f>
        <v>342.02279578180605</v>
      </c>
      <c r="BJ65" s="62">
        <f t="shared" si="38"/>
        <v>409.02379334777754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5.2</v>
      </c>
      <c r="BY65" s="13">
        <f>IF('Données projet'!$A$114&gt;35,BY64+BX65-CG64,IF(A65&lt;'Données projet'!$A$114,$BV$205^A65,IF(A65='Données projet'!$A$114,'Données projet'!$B$114,BY64+BX65-CG64)))</f>
        <v>290.39999999999981</v>
      </c>
      <c r="BZ65" s="14">
        <f>BY65*VLOOKUP('Données projet'!$B$12,Paramètres!$A$1:$I$89,3,0)*VLOOKUP('Données projet'!$B$12,Paramètres!$A$1:$I$89,5,0)</f>
        <v>231.04223999999985</v>
      </c>
      <c r="CA65" s="14">
        <f t="shared" si="39"/>
        <v>56.507978852931409</v>
      </c>
      <c r="CB65" s="22">
        <f t="shared" si="10"/>
        <v>500.81663116885534</v>
      </c>
      <c r="CC65" s="62">
        <f t="shared" si="11"/>
        <v>763.17563412850666</v>
      </c>
      <c r="CD65" s="62">
        <f ca="1">AVERAGE(OFFSET($CC$3,0,0,'Données projet'!$E$12+1,1))-AVERAGE(OFFSET($H$3,0,0,'Données projet'!$E$12+1,1))</f>
        <v>376.47942810265266</v>
      </c>
      <c r="CE65" s="62">
        <f t="shared" si="40"/>
        <v>362.87951024071265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8.884983525727387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8.884983525727387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5.2</v>
      </c>
      <c r="CT65" s="13">
        <f>IF('Données projet'!$A$140&gt;35,CT64+CS65-DB64,IF(A65&lt;'Données projet'!$A$140,$CQ$205^A65,IF(A65='Données projet'!$A$140,'Données projet'!$B$140,CT64+CS65-DB64)))</f>
        <v>290.39999999999981</v>
      </c>
      <c r="CU65" s="18">
        <f>CT65*VLOOKUP('Données projet'!$B$13,Paramètres!$A$1:$I$89,3,0)*VLOOKUP('Données projet'!$B$13,Paramètres!$A$1:$I$89,5,0)</f>
        <v>212.92127999999988</v>
      </c>
      <c r="CV65" s="14">
        <f t="shared" si="41"/>
        <v>52.57344469809297</v>
      </c>
      <c r="CW65" s="22">
        <f t="shared" si="13"/>
        <v>462.40331218251168</v>
      </c>
      <c r="CX65" s="62">
        <f t="shared" si="14"/>
        <v>724.76231514216306</v>
      </c>
      <c r="CY65" s="62">
        <f ca="1">AVERAGE(OFFSET($CX$3,0,0,'Données projet'!$E$13+1,1))-AVERAGE(OFFSET($H$3,0,0,'Données projet'!$E$13+1,1))</f>
        <v>351.7223836693733</v>
      </c>
      <c r="CZ65" s="62">
        <f t="shared" si="42"/>
        <v>339.34942976598518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6.6431933797613949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6.6431933797613949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183.33333333333334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>
        <f>VLOOKUP(A66,'Données projet'!$A$35:$I$55,2,0)</f>
        <v>569</v>
      </c>
      <c r="L66" s="13">
        <f>VLOOKUP(A66,'Données projet'!$A$35:$I$55,9,0)</f>
        <v>18.58285714285714</v>
      </c>
      <c r="M66" s="13">
        <f t="array" ref="M66">INDEX(L:L,MIN(IF(ISNUMBER(L66:L262),ROW(L66:L262),"")))</f>
        <v>18.58285714285714</v>
      </c>
      <c r="N66" s="14">
        <f>IF('Données projet'!$A$36&gt;35,N65+M66-V65,IF(A66&lt;'Données projet'!$A$36,$K$205^A66,IF(A66='Données projet'!$A$36,'Données projet'!$B$36,N65+M66-V65)))</f>
        <v>569.00000000000011</v>
      </c>
      <c r="O66" s="14">
        <f>N66*VLOOKUP('Données projet'!$B$9,Paramètres!$A$1:$I$89,3,0)*VLOOKUP('Données projet'!$B$9,Paramètres!$A$1:$I$89,5,0)</f>
        <v>318.07100000000008</v>
      </c>
      <c r="P66" s="14">
        <f t="shared" si="33"/>
        <v>74.951846567144685</v>
      </c>
      <c r="Q66" s="22">
        <f t="shared" si="53"/>
        <v>684.51479110444382</v>
      </c>
      <c r="R66" s="62">
        <f t="shared" si="0"/>
        <v>947.41112944784993</v>
      </c>
      <c r="S66" s="62">
        <f ca="1">AVERAGE(OFFSET($R$3,0,0,'Données projet'!$E$9+1,1))-AVERAGE(OFFSET($H$3,0,0,'Données projet'!$E$9+1,1))</f>
        <v>409.45931633551902</v>
      </c>
      <c r="T66" s="62">
        <f t="shared" si="34"/>
        <v>375.18886653687389</v>
      </c>
      <c r="U66" s="16">
        <f>IF(ISNA(VLOOKUP(A66,'Données projet'!$A$35:$I$55,3,0)),0,VLOOKUP(A66,'Données projet'!$A$35:$I$55,3,0))</f>
        <v>8</v>
      </c>
      <c r="V66" s="16">
        <f>IF(ISNA(VLOOKUP(A66,'Données projet'!$A$35:$I$55,4,0)),0,VLOOKUP(A66,'Données projet'!$A$35:$I$55,4,0))</f>
        <v>99.49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2.7574890069780555</v>
      </c>
      <c r="AA66" s="23">
        <f>EXP(-LN(2)/25)*AA65+(1-EXP(-LN(2)/25))/(LN(2)/25)*Calculateur!V66*Calculateur!X66*VLOOKUP('Données projet'!$B$9,Paramètres!$A$1:$I$89,3,0)*0.475*44/12</f>
        <v>7.7365307640360923</v>
      </c>
      <c r="AB66" s="23">
        <f>EXP(-LN(2)/2)*AB65+(1-EXP(-LN(2)/2))/(LN(2)/2)*V66*Y66*VLOOKUP('Données projet'!$B$9,Paramètres!$A$1:$I$89,3,0)*0.475*44/12</f>
        <v>1.2517100658015806E-4</v>
      </c>
      <c r="AC66" s="24">
        <f t="shared" si="3"/>
        <v>10.494144942020728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5.6843418860808015E-14</v>
      </c>
      <c r="AJ66" s="14">
        <f>AI66*VLOOKUP('Données projet'!$B$10,Paramètres!$A$1:$I$89,3,0)*VLOOKUP('Données projet'!$B$10,Paramètres!$A$1:$I$89,5,0)</f>
        <v>3.3992364478763198E-14</v>
      </c>
      <c r="AK66" s="14">
        <f t="shared" si="35"/>
        <v>5.790027782444094E-13</v>
      </c>
      <c r="AL66" s="22">
        <f t="shared" si="4"/>
        <v>1.0676332069095257E-12</v>
      </c>
      <c r="AM66" s="62">
        <f t="shared" si="5"/>
        <v>262.89633834340719</v>
      </c>
      <c r="AN66" s="62">
        <f ca="1">AVERAGE(OFFSET($AM$3,0,0,'Données projet'!$E$10+1,1))-AVERAGE(OFFSET($H$3,0,0,'Données projet'!$E$10+1,1))</f>
        <v>212.90262675152454</v>
      </c>
      <c r="AO66" s="62">
        <f t="shared" si="36"/>
        <v>366.51899340890498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56.904802631583337</v>
      </c>
      <c r="AV66" s="23">
        <f>EXP(-LN(2)/25)*AV65+(1-EXP(-LN(2)/25))/(LN(2)/25)*Calculateur!AQ66*Calculateur!AS66*VLOOKUP('Données projet'!$B$10,Paramètres!$A$1:$I$89,3,0)*0.475*44/12</f>
        <v>1.3390193658567773</v>
      </c>
      <c r="AW66" s="23">
        <f>EXP(-LN(2)/2)*AW65+(1-EXP(-LN(2)/2))/(LN(2)/2)*AQ66*AT66*VLOOKUP('Données projet'!$B$10,Paramètres!$A$1:$I$89,3,0)*0.475*44/12</f>
        <v>1.1884938034368811E-2</v>
      </c>
      <c r="AX66" s="23">
        <f t="shared" si="6"/>
        <v>58.255706935474485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6</v>
      </c>
      <c r="BD66" s="13">
        <f>IF('Données projet'!$A$88&gt;35,BD65+BC66-BL65,IF(A66&lt;'Données projet'!$A$88,$BA$205^A66,IF(A66='Données projet'!$A$88,'Données projet'!$B$88,BD65+BC66-BL65)))</f>
        <v>234.00000000000011</v>
      </c>
      <c r="BE66" s="14">
        <f>BD66*VLOOKUP('Données projet'!$B$11,Paramètres!$A$1:$I$89,3,0)*VLOOKUP('Données projet'!$B$11,Paramètres!$A$1:$I$89,5,0)</f>
        <v>204.42240000000012</v>
      </c>
      <c r="BF66" s="14">
        <f t="shared" si="37"/>
        <v>50.714836797527312</v>
      </c>
      <c r="BG66" s="22">
        <f t="shared" si="7"/>
        <v>444.36402075569362</v>
      </c>
      <c r="BH66" s="62">
        <f t="shared" si="8"/>
        <v>707.26035909909979</v>
      </c>
      <c r="BI66" s="62">
        <f ca="1">AVERAGE(OFFSET($BH$3,0,0,'Données projet'!$E$11+1,1))-AVERAGE(OFFSET($H$3,0,0,'Données projet'!$E$11+1,1))</f>
        <v>342.02279578180605</v>
      </c>
      <c r="BJ66" s="62">
        <f t="shared" si="38"/>
        <v>409.02379334777754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5.2</v>
      </c>
      <c r="BY66" s="13">
        <f>IF('Données projet'!$A$114&gt;35,BY65+BX66-CG65,IF(A66&lt;'Données projet'!$A$114,$BV$205^A66,IF(A66='Données projet'!$A$114,'Données projet'!$B$114,BY65+BX66-CG65)))</f>
        <v>295.5999999999998</v>
      </c>
      <c r="BZ66" s="14">
        <f>BY66*VLOOKUP('Données projet'!$B$12,Paramètres!$A$1:$I$89,3,0)*VLOOKUP('Données projet'!$B$12,Paramètres!$A$1:$I$89,5,0)</f>
        <v>235.17935999999983</v>
      </c>
      <c r="CA66" s="14">
        <f t="shared" si="39"/>
        <v>57.401124668909425</v>
      </c>
      <c r="CB66" s="22">
        <f t="shared" si="10"/>
        <v>509.57767746501696</v>
      </c>
      <c r="CC66" s="62">
        <f t="shared" si="11"/>
        <v>772.47401580842302</v>
      </c>
      <c r="CD66" s="62">
        <f ca="1">AVERAGE(OFFSET($CC$3,0,0,'Données projet'!$E$12+1,1))-AVERAGE(OFFSET($H$3,0,0,'Données projet'!$E$12+1,1))</f>
        <v>376.47942810265266</v>
      </c>
      <c r="CE66" s="62">
        <f t="shared" si="40"/>
        <v>362.87951024071265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8.7107544180927121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8.7107544180927121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5.2</v>
      </c>
      <c r="CT66" s="13">
        <f>IF('Données projet'!$A$140&gt;35,CT65+CS66-DB65,IF(A66&lt;'Données projet'!$A$140,$CQ$205^A66,IF(A66='Données projet'!$A$140,'Données projet'!$B$140,CT65+CS66-DB65)))</f>
        <v>295.5999999999998</v>
      </c>
      <c r="CU66" s="18">
        <f>CT66*VLOOKUP('Données projet'!$B$13,Paramètres!$A$1:$I$89,3,0)*VLOOKUP('Données projet'!$B$13,Paramètres!$A$1:$I$89,5,0)</f>
        <v>216.73391999999987</v>
      </c>
      <c r="CV66" s="14">
        <f t="shared" si="41"/>
        <v>53.404402610883679</v>
      </c>
      <c r="CW66" s="22">
        <f t="shared" si="13"/>
        <v>470.49091188062221</v>
      </c>
      <c r="CX66" s="62">
        <f t="shared" si="14"/>
        <v>733.38725022402832</v>
      </c>
      <c r="CY66" s="62">
        <f ca="1">AVERAGE(OFFSET($CX$3,0,0,'Données projet'!$E$13+1,1))-AVERAGE(OFFSET($H$3,0,0,'Données projet'!$E$13+1,1))</f>
        <v>351.7223836693733</v>
      </c>
      <c r="CZ66" s="62">
        <f t="shared" si="42"/>
        <v>339.34942976598518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6.5129244095321388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6.5129244095321388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183.33333333333334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16.745000000000005</v>
      </c>
      <c r="N67" s="14">
        <f>IF('Données projet'!$A$36&gt;35,N66+M67-V66,IF(A67&lt;'Données projet'!$A$36,$K$205^A67,IF(A67='Données projet'!$A$36,'Données projet'!$B$36,N66+M67-V66)))</f>
        <v>486.25500000000011</v>
      </c>
      <c r="O67" s="14">
        <f>N67*VLOOKUP('Données projet'!$B$9,Paramètres!$A$1:$I$89,3,0)*VLOOKUP('Données projet'!$B$9,Paramètres!$A$1:$I$89,5,0)</f>
        <v>271.81654500000008</v>
      </c>
      <c r="P67" s="14">
        <f t="shared" si="33"/>
        <v>65.234635404592368</v>
      </c>
      <c r="Q67" s="22">
        <f t="shared" ref="Q67:Q98" si="54">(O67+P67)*0.475*44/12</f>
        <v>587.03080587133184</v>
      </c>
      <c r="R67" s="62">
        <f t="shared" ref="R67:R130" si="55">Q67+(I67+J67)*44/12</f>
        <v>850.45515803088665</v>
      </c>
      <c r="S67" s="62">
        <f ca="1">AVERAGE(OFFSET($R$3,0,0,'Données projet'!$E$9+1,1))-AVERAGE(OFFSET($H$3,0,0,'Données projet'!$E$9+1,1))</f>
        <v>409.45931633551902</v>
      </c>
      <c r="T67" s="62">
        <f t="shared" si="34"/>
        <v>375.18886653687389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2.7034163294534359</v>
      </c>
      <c r="AA67" s="23">
        <f>EXP(-LN(2)/25)*AA66+(1-EXP(-LN(2)/25))/(LN(2)/25)*Calculateur!V67*Calculateur!X67*VLOOKUP('Données projet'!$B$9,Paramètres!$A$1:$I$89,3,0)*0.475*44/12</f>
        <v>7.5249749234470542</v>
      </c>
      <c r="AB67" s="23">
        <f>EXP(-LN(2)/2)*AB66+(1-EXP(-LN(2)/2))/(LN(2)/2)*V67*Y67*VLOOKUP('Données projet'!$B$9,Paramètres!$A$1:$I$89,3,0)*0.475*44/12</f>
        <v>8.850926756077573E-5</v>
      </c>
      <c r="AC67" s="24">
        <f t="shared" si="3"/>
        <v>10.228479762168051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5.6843418860808015E-14</v>
      </c>
      <c r="AJ67" s="14">
        <f>AI67*VLOOKUP('Données projet'!$B$10,Paramètres!$A$1:$I$89,3,0)*VLOOKUP('Données projet'!$B$10,Paramètres!$A$1:$I$89,5,0)</f>
        <v>3.3992364478763198E-14</v>
      </c>
      <c r="AK67" s="14">
        <f t="shared" si="35"/>
        <v>5.790027782444094E-13</v>
      </c>
      <c r="AL67" s="22">
        <f t="shared" si="4"/>
        <v>1.0676332069095257E-12</v>
      </c>
      <c r="AM67" s="62">
        <f t="shared" si="5"/>
        <v>263.42435215955584</v>
      </c>
      <c r="AN67" s="62">
        <f ca="1">AVERAGE(OFFSET($AM$3,0,0,'Données projet'!$E$10+1,1))-AVERAGE(OFFSET($H$3,0,0,'Données projet'!$E$10+1,1))</f>
        <v>212.90262675152454</v>
      </c>
      <c r="AO67" s="62">
        <f t="shared" si="36"/>
        <v>366.51899340890498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55.788934160480416</v>
      </c>
      <c r="AV67" s="23">
        <f>EXP(-LN(2)/25)*AV66+(1-EXP(-LN(2)/25))/(LN(2)/25)*Calculateur!AQ67*Calculateur!AS67*VLOOKUP('Données projet'!$B$10,Paramètres!$A$1:$I$89,3,0)*0.475*44/12</f>
        <v>1.3024038108814555</v>
      </c>
      <c r="AW67" s="23">
        <f>EXP(-LN(2)/2)*AW66+(1-EXP(-LN(2)/2))/(LN(2)/2)*AQ67*AT67*VLOOKUP('Données projet'!$B$10,Paramètres!$A$1:$I$89,3,0)*0.475*44/12</f>
        <v>8.4039202780841031E-3</v>
      </c>
      <c r="AX67" s="23">
        <f t="shared" si="6"/>
        <v>57.099741891639958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6</v>
      </c>
      <c r="BD67" s="13">
        <f>IF('Données projet'!$A$88&gt;35,BD66+BC67-BL66,IF(A67&lt;'Données projet'!$A$88,$BA$205^A67,IF(A67='Données projet'!$A$88,'Données projet'!$B$88,BD66+BC67-BL66)))</f>
        <v>240.00000000000011</v>
      </c>
      <c r="BE67" s="14">
        <f>BD67*VLOOKUP('Données projet'!$B$11,Paramètres!$A$1:$I$89,3,0)*VLOOKUP('Données projet'!$B$11,Paramètres!$A$1:$I$89,5,0)</f>
        <v>209.6640000000001</v>
      </c>
      <c r="BF67" s="14">
        <f t="shared" si="37"/>
        <v>51.862154403304537</v>
      </c>
      <c r="BG67" s="22">
        <f t="shared" si="7"/>
        <v>455.49138558575561</v>
      </c>
      <c r="BH67" s="62">
        <f t="shared" si="8"/>
        <v>718.91573774531037</v>
      </c>
      <c r="BI67" s="62">
        <f ca="1">AVERAGE(OFFSET($BH$3,0,0,'Données projet'!$E$11+1,1))-AVERAGE(OFFSET($H$3,0,0,'Données projet'!$E$11+1,1))</f>
        <v>342.02279578180605</v>
      </c>
      <c r="BJ67" s="62">
        <f t="shared" si="38"/>
        <v>409.02379334777754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5.2</v>
      </c>
      <c r="BY67" s="13">
        <f>IF('Données projet'!$A$114&gt;35,BY66+BX67-CG66,IF(A67&lt;'Données projet'!$A$114,$BV$205^A67,IF(A67='Données projet'!$A$114,'Données projet'!$B$114,BY66+BX67-CG66)))</f>
        <v>300.79999999999978</v>
      </c>
      <c r="BZ67" s="14">
        <f>BY67*VLOOKUP('Données projet'!$B$12,Paramètres!$A$1:$I$89,3,0)*VLOOKUP('Données projet'!$B$12,Paramètres!$A$1:$I$89,5,0)</f>
        <v>239.31647999999984</v>
      </c>
      <c r="CA67" s="14">
        <f t="shared" si="39"/>
        <v>58.292443422481945</v>
      </c>
      <c r="CB67" s="22">
        <f t="shared" si="10"/>
        <v>518.33554162748908</v>
      </c>
      <c r="CC67" s="62">
        <f t="shared" si="11"/>
        <v>781.75989378704389</v>
      </c>
      <c r="CD67" s="62">
        <f ca="1">AVERAGE(OFFSET($CC$3,0,0,'Données projet'!$E$12+1,1))-AVERAGE(OFFSET($H$3,0,0,'Données projet'!$E$12+1,1))</f>
        <v>376.47942810265266</v>
      </c>
      <c r="CE67" s="62">
        <f t="shared" si="40"/>
        <v>362.87951024071265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8.5399418369894899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8.5399418369894899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5.2</v>
      </c>
      <c r="CT67" s="13">
        <f>IF('Données projet'!$A$140&gt;35,CT66+CS67-DB66,IF(A67&lt;'Données projet'!$A$140,$CQ$205^A67,IF(A67='Données projet'!$A$140,'Données projet'!$B$140,CT66+CS67-DB66)))</f>
        <v>300.79999999999978</v>
      </c>
      <c r="CU67" s="18">
        <f>CT67*VLOOKUP('Données projet'!$B$13,Paramètres!$A$1:$I$89,3,0)*VLOOKUP('Données projet'!$B$13,Paramètres!$A$1:$I$89,5,0)</f>
        <v>220.54655999999983</v>
      </c>
      <c r="CV67" s="14">
        <f t="shared" si="41"/>
        <v>54.233660675860236</v>
      </c>
      <c r="CW67" s="22">
        <f t="shared" si="13"/>
        <v>478.57555101045619</v>
      </c>
      <c r="CX67" s="62">
        <f t="shared" si="14"/>
        <v>741.99990317001095</v>
      </c>
      <c r="CY67" s="62">
        <f ca="1">AVERAGE(OFFSET($CX$3,0,0,'Données projet'!$E$13+1,1))-AVERAGE(OFFSET($H$3,0,0,'Données projet'!$E$13+1,1))</f>
        <v>351.7223836693733</v>
      </c>
      <c r="CZ67" s="62">
        <f t="shared" si="42"/>
        <v>339.34942976598518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6.3852099343528526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6.3852099343528526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183.33333333333334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16.745000000000005</v>
      </c>
      <c r="N68" s="14">
        <f>IF('Données projet'!$A$36&gt;35,N67+M68-V67,IF(A68&lt;'Données projet'!$A$36,$K$205^A68,IF(A68='Données projet'!$A$36,'Données projet'!$B$36,N67+M68-V67)))</f>
        <v>503.00000000000011</v>
      </c>
      <c r="O68" s="14">
        <f>N68*VLOOKUP('Données projet'!$B$9,Paramètres!$A$1:$I$89,3,0)*VLOOKUP('Données projet'!$B$9,Paramètres!$A$1:$I$89,5,0)</f>
        <v>281.17700000000008</v>
      </c>
      <c r="P68" s="14">
        <f t="shared" si="33"/>
        <v>67.215682058608678</v>
      </c>
      <c r="Q68" s="22">
        <f t="shared" si="54"/>
        <v>606.78392125207699</v>
      </c>
      <c r="R68" s="62">
        <f t="shared" si="55"/>
        <v>870.72712736853214</v>
      </c>
      <c r="S68" s="62">
        <f ca="1">AVERAGE(OFFSET($R$3,0,0,'Données projet'!$E$9+1,1))-AVERAGE(OFFSET($H$3,0,0,'Données projet'!$E$9+1,1))</f>
        <v>409.45931633551902</v>
      </c>
      <c r="T68" s="62">
        <f t="shared" si="34"/>
        <v>375.18886653687389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2.6504039841539977</v>
      </c>
      <c r="AA68" s="23">
        <f>EXP(-LN(2)/25)*AA67+(1-EXP(-LN(2)/25))/(LN(2)/25)*Calculateur!V68*Calculateur!X68*VLOOKUP('Données projet'!$B$9,Paramètres!$A$1:$I$89,3,0)*0.475*44/12</f>
        <v>7.3192040884441623</v>
      </c>
      <c r="AB68" s="23">
        <f>EXP(-LN(2)/2)*AB67+(1-EXP(-LN(2)/2))/(LN(2)/2)*V68*Y68*VLOOKUP('Données projet'!$B$9,Paramètres!$A$1:$I$89,3,0)*0.475*44/12</f>
        <v>6.258550329007903E-5</v>
      </c>
      <c r="AC68" s="24">
        <f t="shared" ref="AC68:AC131" si="57">SUM(Z68:AB68)</f>
        <v>9.9696706581014496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5.6843418860808015E-14</v>
      </c>
      <c r="AJ68" s="14">
        <f>AI68*VLOOKUP('Données projet'!$B$10,Paramètres!$A$1:$I$89,3,0)*VLOOKUP('Données projet'!$B$10,Paramètres!$A$1:$I$89,5,0)</f>
        <v>3.3992364478763198E-14</v>
      </c>
      <c r="AK68" s="14">
        <f t="shared" si="35"/>
        <v>5.790027782444094E-13</v>
      </c>
      <c r="AL68" s="22">
        <f t="shared" ref="AL68:AL131" si="58">(AJ68+AK68)*0.475*44/12</f>
        <v>1.0676332069095257E-12</v>
      </c>
      <c r="AM68" s="62">
        <f t="shared" ref="AM68:AM131" si="59">AL68+(AD68+AE68)*44/12</f>
        <v>263.94320611645628</v>
      </c>
      <c r="AN68" s="62">
        <f ca="1">AVERAGE(OFFSET($AM$3,0,0,'Données projet'!$E$10+1,1))-AVERAGE(OFFSET($H$3,0,0,'Données projet'!$E$10+1,1))</f>
        <v>212.90262675152454</v>
      </c>
      <c r="AO68" s="62">
        <f t="shared" si="36"/>
        <v>366.51899340890498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54.694947189483258</v>
      </c>
      <c r="AV68" s="23">
        <f>EXP(-LN(2)/25)*AV67+(1-EXP(-LN(2)/25))/(LN(2)/25)*Calculateur!AQ68*Calculateur!AS68*VLOOKUP('Données projet'!$B$10,Paramètres!$A$1:$I$89,3,0)*0.475*44/12</f>
        <v>1.2667895101824624</v>
      </c>
      <c r="AW68" s="23">
        <f>EXP(-LN(2)/2)*AW67+(1-EXP(-LN(2)/2))/(LN(2)/2)*AQ68*AT68*VLOOKUP('Données projet'!$B$10,Paramètres!$A$1:$I$89,3,0)*0.475*44/12</f>
        <v>5.9424690171844055E-3</v>
      </c>
      <c r="AX68" s="23">
        <f t="shared" ref="AX68:AX131" si="60">SUM(AU68:AW68)</f>
        <v>55.967679168682906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246</v>
      </c>
      <c r="BB68" s="13">
        <f>VLOOKUP(A68,'Données projet'!$A$87:$I$107,9,0)</f>
        <v>6</v>
      </c>
      <c r="BC68" s="13">
        <f t="array" ref="BC68">INDEX(BB:BB,MIN(IF(ISNUMBER(BB68:BB264),ROW(BB68:BB264),"")))</f>
        <v>6</v>
      </c>
      <c r="BD68" s="13">
        <f>IF('Données projet'!$A$88&gt;35,BD67+BC68-BL67,IF(A68&lt;'Données projet'!$A$88,$BA$205^A68,IF(A68='Données projet'!$A$88,'Données projet'!$B$88,BD67+BC68-BL67)))</f>
        <v>246.00000000000011</v>
      </c>
      <c r="BE68" s="14">
        <f>BD68*VLOOKUP('Données projet'!$B$11,Paramètres!$A$1:$I$89,3,0)*VLOOKUP('Données projet'!$B$11,Paramètres!$A$1:$I$89,5,0)</f>
        <v>214.90560000000013</v>
      </c>
      <c r="BF68" s="14">
        <f t="shared" si="37"/>
        <v>53.006137800892375</v>
      </c>
      <c r="BG68" s="22">
        <f t="shared" ref="BG68:BG131" si="61">(BE68+BF68)*0.475*44/12</f>
        <v>466.61294333655451</v>
      </c>
      <c r="BH68" s="62">
        <f t="shared" ref="BH68:BH131" si="62">BG68+(AY68+AZ68)*44/12</f>
        <v>730.55614945300977</v>
      </c>
      <c r="BI68" s="62">
        <f ca="1">AVERAGE(OFFSET($BH$3,0,0,'Données projet'!$E$11+1,1))-AVERAGE(OFFSET($H$3,0,0,'Données projet'!$E$11+1,1))</f>
        <v>342.02279578180605</v>
      </c>
      <c r="BJ68" s="62">
        <f t="shared" si="38"/>
        <v>409.02379334777754</v>
      </c>
      <c r="BK68" s="16">
        <f>IF(ISNA(VLOOKUP(A68,'Données projet'!$A$87:$I$107,3,0)),0,VLOOKUP(A68,'Données projet'!$A$87:$I$107,3,0))</f>
        <v>11</v>
      </c>
      <c r="BL68" s="16">
        <f>IF(ISNA(VLOOKUP(A68,'Données projet'!$A$87:$I$107,4,0)),0,VLOOKUP(A68,'Données projet'!$A$87:$I$107,4,0))</f>
        <v>23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306</v>
      </c>
      <c r="BW68" s="13">
        <f>VLOOKUP(A68,'Données projet'!$A$113:$I$133,9,0)</f>
        <v>5.2</v>
      </c>
      <c r="BX68" s="13">
        <f t="array" ref="BX68">INDEX(BW:BW,MIN(IF(ISNUMBER(BW68:BW264),ROW(BW68:BW264),"")))</f>
        <v>5.2</v>
      </c>
      <c r="BY68" s="13">
        <f>IF('Données projet'!$A$114&gt;35,BY67+BX68-CG67,IF(A68&lt;'Données projet'!$A$114,$BV$205^A68,IF(A68='Données projet'!$A$114,'Données projet'!$B$114,BY67+BX68-CG67)))</f>
        <v>305.99999999999977</v>
      </c>
      <c r="BZ68" s="14">
        <f>BY68*VLOOKUP('Données projet'!$B$12,Paramètres!$A$1:$I$89,3,0)*VLOOKUP('Données projet'!$B$12,Paramètres!$A$1:$I$89,5,0)</f>
        <v>243.45359999999982</v>
      </c>
      <c r="CA68" s="14">
        <f t="shared" si="39"/>
        <v>59.181970343065267</v>
      </c>
      <c r="CB68" s="22">
        <f t="shared" ref="CB68:CB131" si="64">(BZ68+CA68)*0.475*44/12</f>
        <v>527.09028501417163</v>
      </c>
      <c r="CC68" s="62">
        <f t="shared" ref="CC68:CC131" si="65">CB68+(BT68+BU68)*44/12</f>
        <v>791.03349113062677</v>
      </c>
      <c r="CD68" s="62">
        <f ca="1">AVERAGE(OFFSET($CC$3,0,0,'Données projet'!$E$12+1,1))-AVERAGE(OFFSET($H$3,0,0,'Données projet'!$E$12+1,1))</f>
        <v>376.47942810265266</v>
      </c>
      <c r="CE68" s="62">
        <f t="shared" si="40"/>
        <v>362.87951024071265</v>
      </c>
      <c r="CF68" s="16">
        <f>IF(ISNA(VLOOKUP(A68,'Données projet'!$A$113:$I$133,3,0)),0,VLOOKUP(A68,'Données projet'!$A$113:$I$133,3,0))</f>
        <v>12</v>
      </c>
      <c r="CG68" s="16">
        <f>IF(ISNA(VLOOKUP(A68,'Données projet'!$A$113:$I$133,4,0)),0,VLOOKUP(A68,'Données projet'!$A$113:$I$133,4,0))</f>
        <v>13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8.3724787864163162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8.3724787864163162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306</v>
      </c>
      <c r="CR68" s="13">
        <f>VLOOKUP(A68,'Données projet'!$A$139:$I$159,9,0)</f>
        <v>5.2</v>
      </c>
      <c r="CS68" s="13">
        <f t="array" ref="CS68">INDEX(CR:CR,MIN(IF(ISNUMBER(CR68:CR264),ROW(CR68:CR264),"")))</f>
        <v>5.2</v>
      </c>
      <c r="CT68" s="13">
        <f>IF('Données projet'!$A$140&gt;35,CT67+CS68-DB67,IF(A68&lt;'Données projet'!$A$140,$CQ$205^A68,IF(A68='Données projet'!$A$140,'Données projet'!$B$140,CT67+CS68-DB67)))</f>
        <v>305.99999999999977</v>
      </c>
      <c r="CU68" s="18">
        <f>CT68*VLOOKUP('Données projet'!$B$13,Paramètres!$A$1:$I$89,3,0)*VLOOKUP('Données projet'!$B$13,Paramètres!$A$1:$I$89,5,0)</f>
        <v>224.35919999999982</v>
      </c>
      <c r="CV68" s="14">
        <f t="shared" si="41"/>
        <v>55.061251669487206</v>
      </c>
      <c r="CW68" s="22">
        <f t="shared" ref="CW68:CW131" si="67">(CU68+CV68)*0.475*44/12</f>
        <v>486.65728665768989</v>
      </c>
      <c r="CX68" s="62">
        <f t="shared" ref="CX68:CX131" si="68">CW68+(CO68+CP68)*44/12</f>
        <v>750.6004927741451</v>
      </c>
      <c r="CY68" s="62">
        <f ca="1">AVERAGE(OFFSET($CX$3,0,0,'Données projet'!$E$13+1,1))-AVERAGE(OFFSET($H$3,0,0,'Données projet'!$E$13+1,1))</f>
        <v>351.7223836693733</v>
      </c>
      <c r="CZ68" s="62">
        <f t="shared" si="42"/>
        <v>339.34942976598518</v>
      </c>
      <c r="DA68" s="16">
        <f>IF(ISNA(VLOOKUP(A68,'Données projet'!$A$139:$I$159,3,0)),0,VLOOKUP(A68,'Données projet'!$A$139:$I$159,3,0))</f>
        <v>12</v>
      </c>
      <c r="DB68" s="16">
        <f>IF(ISNA(VLOOKUP(A68,'Données projet'!$A$139:$I$159,4,0)),0,VLOOKUP(A68,'Données projet'!$A$139:$I$159,4,0))</f>
        <v>13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6.2599998621336939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6.2599998621336939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183.33333333333334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16.745000000000005</v>
      </c>
      <c r="N69" s="14">
        <f>IF('Données projet'!$A$36&gt;35,N68+M69-V68,IF(A69&lt;'Données projet'!$A$36,$K$205^A69,IF(A69='Données projet'!$A$36,'Données projet'!$B$36,N68+M69-V68)))</f>
        <v>519.74500000000012</v>
      </c>
      <c r="O69" s="14">
        <f>N69*VLOOKUP('Données projet'!$B$9,Paramètres!$A$1:$I$89,3,0)*VLOOKUP('Données projet'!$B$9,Paramètres!$A$1:$I$89,5,0)</f>
        <v>290.53745500000008</v>
      </c>
      <c r="P69" s="14">
        <f t="shared" ref="P69:P132" si="87">EXP(-1.0587+0.8836*LN(O69)+0.284)</f>
        <v>69.189065543116882</v>
      </c>
      <c r="Q69" s="22">
        <f t="shared" si="54"/>
        <v>626.52368994592871</v>
      </c>
      <c r="R69" s="62">
        <f t="shared" si="55"/>
        <v>890.97674906311579</v>
      </c>
      <c r="S69" s="62">
        <f ca="1">AVERAGE(OFFSET($R$3,0,0,'Données projet'!$E$9+1,1))-AVERAGE(OFFSET($H$3,0,0,'Données projet'!$E$9+1,1))</f>
        <v>409.45931633551902</v>
      </c>
      <c r="T69" s="62">
        <f t="shared" ref="T69:T132" si="88">$T$3</f>
        <v>375.18886653687389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2.5984311786115435</v>
      </c>
      <c r="AA69" s="23">
        <f>EXP(-LN(2)/25)*AA68+(1-EXP(-LN(2)/25))/(LN(2)/25)*Calculateur!V69*Calculateur!X69*VLOOKUP('Données projet'!$B$9,Paramètres!$A$1:$I$89,3,0)*0.475*44/12</f>
        <v>7.1190600677454423</v>
      </c>
      <c r="AB69" s="23">
        <f>EXP(-LN(2)/2)*AB68+(1-EXP(-LN(2)/2))/(LN(2)/2)*V69*Y69*VLOOKUP('Données projet'!$B$9,Paramètres!$A$1:$I$89,3,0)*0.475*44/12</f>
        <v>4.4254633780387865E-5</v>
      </c>
      <c r="AC69" s="24">
        <f t="shared" si="57"/>
        <v>9.7175355009907651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5.6843418860808015E-14</v>
      </c>
      <c r="AJ69" s="14">
        <f>AI69*VLOOKUP('Données projet'!$B$10,Paramètres!$A$1:$I$89,3,0)*VLOOKUP('Données projet'!$B$10,Paramètres!$A$1:$I$89,5,0)</f>
        <v>3.3992364478763198E-14</v>
      </c>
      <c r="AK69" s="14">
        <f t="shared" ref="AK69:AK132" si="89">EXP(-1.0587+0.8836*LN(AJ69)+0.284)</f>
        <v>5.790027782444094E-13</v>
      </c>
      <c r="AL69" s="22">
        <f t="shared" si="58"/>
        <v>1.0676332069095257E-12</v>
      </c>
      <c r="AM69" s="62">
        <f t="shared" si="59"/>
        <v>264.45305911718816</v>
      </c>
      <c r="AN69" s="62">
        <f ca="1">AVERAGE(OFFSET($AM$3,0,0,'Données projet'!$E$10+1,1))-AVERAGE(OFFSET($H$3,0,0,'Données projet'!$E$10+1,1))</f>
        <v>212.90262675152454</v>
      </c>
      <c r="AO69" s="62">
        <f t="shared" ref="AO69:AO132" si="90">$AO$3</f>
        <v>366.51899340890498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53.62241263572119</v>
      </c>
      <c r="AV69" s="23">
        <f>EXP(-LN(2)/25)*AV68+(1-EXP(-LN(2)/25))/(LN(2)/25)*Calculateur!AQ69*Calculateur!AS69*VLOOKUP('Données projet'!$B$10,Paramètres!$A$1:$I$89,3,0)*0.475*44/12</f>
        <v>1.232149084408958</v>
      </c>
      <c r="AW69" s="23">
        <f>EXP(-LN(2)/2)*AW68+(1-EXP(-LN(2)/2))/(LN(2)/2)*AQ69*AT69*VLOOKUP('Données projet'!$B$10,Paramètres!$A$1:$I$89,3,0)*0.475*44/12</f>
        <v>4.2019601390420516E-3</v>
      </c>
      <c r="AX69" s="23">
        <f t="shared" si="60"/>
        <v>54.858763680269192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5.2</v>
      </c>
      <c r="BD69" s="13">
        <f>IF('Données projet'!$A$88&gt;35,BD68+BC69-BL68,IF(A69&lt;'Données projet'!$A$88,$BA$205^A69,IF(A69='Données projet'!$A$88,'Données projet'!$B$88,BD68+BC69-BL68)))</f>
        <v>228.2000000000001</v>
      </c>
      <c r="BE69" s="14">
        <f>BD69*VLOOKUP('Données projet'!$B$11,Paramètres!$A$1:$I$89,3,0)*VLOOKUP('Données projet'!$B$11,Paramètres!$A$1:$I$89,5,0)</f>
        <v>199.35552000000013</v>
      </c>
      <c r="BF69" s="14">
        <f t="shared" ref="BF69:BF132" si="91">EXP(-1.0587+0.8836*LN(BE69)+0.284)</f>
        <v>49.602503932783222</v>
      </c>
      <c r="BG69" s="22">
        <f t="shared" si="61"/>
        <v>433.60189168293101</v>
      </c>
      <c r="BH69" s="62">
        <f t="shared" si="62"/>
        <v>698.05495080011815</v>
      </c>
      <c r="BI69" s="62">
        <f ca="1">AVERAGE(OFFSET($BH$3,0,0,'Données projet'!$E$11+1,1))-AVERAGE(OFFSET($H$3,0,0,'Données projet'!$E$11+1,1))</f>
        <v>342.02279578180605</v>
      </c>
      <c r="BJ69" s="62">
        <f t="shared" ref="BJ69:BJ132" si="92">$BJ$3</f>
        <v>409.02379334777754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4.4000000000000004</v>
      </c>
      <c r="BY69" s="13">
        <f>IF('Données projet'!$A$114&gt;35,BY68+BX69-CG68,IF(A69&lt;'Données projet'!$A$114,$BV$205^A69,IF(A69='Données projet'!$A$114,'Données projet'!$B$114,BY68+BX69-CG68)))</f>
        <v>297.39999999999975</v>
      </c>
      <c r="BZ69" s="14">
        <f>BY69*VLOOKUP('Données projet'!$B$12,Paramètres!$A$1:$I$89,3,0)*VLOOKUP('Données projet'!$B$12,Paramètres!$A$1:$I$89,5,0)</f>
        <v>236.61143999999979</v>
      </c>
      <c r="CA69" s="14">
        <f t="shared" ref="CA69:CA132" si="93">EXP(-1.0587+0.8836*LN(BZ69)+0.284)</f>
        <v>57.70986302809164</v>
      </c>
      <c r="CB69" s="22">
        <f t="shared" si="64"/>
        <v>512.60960277392599</v>
      </c>
      <c r="CC69" s="62">
        <f t="shared" si="65"/>
        <v>777.06266189111307</v>
      </c>
      <c r="CD69" s="62">
        <f ca="1">AVERAGE(OFFSET($CC$3,0,0,'Données projet'!$E$12+1,1))-AVERAGE(OFFSET($H$3,0,0,'Données projet'!$E$12+1,1))</f>
        <v>376.47942810265266</v>
      </c>
      <c r="CE69" s="62">
        <f t="shared" ref="CE69:CE132" si="94">$CE$3</f>
        <v>362.87951024071265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8.208299584122507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8.208299584122507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4.4000000000000004</v>
      </c>
      <c r="CT69" s="13">
        <f>IF('Données projet'!$A$140&gt;35,CT68+CS69-DB68,IF(A69&lt;'Données projet'!$A$140,$CQ$205^A69,IF(A69='Données projet'!$A$140,'Données projet'!$B$140,CT68+CS69-DB68)))</f>
        <v>297.39999999999975</v>
      </c>
      <c r="CU69" s="18">
        <f>CT69*VLOOKUP('Données projet'!$B$13,Paramètres!$A$1:$I$89,3,0)*VLOOKUP('Données projet'!$B$13,Paramètres!$A$1:$I$89,5,0)</f>
        <v>218.05367999999982</v>
      </c>
      <c r="CV69" s="14">
        <f t="shared" ref="CV69:CV132" si="95">EXP(-1.0587+0.8836*LN(CU69)+0.284)</f>
        <v>53.691644154151177</v>
      </c>
      <c r="CW69" s="22">
        <f t="shared" si="67"/>
        <v>473.28977290181297</v>
      </c>
      <c r="CX69" s="62">
        <f t="shared" si="68"/>
        <v>737.74283201900005</v>
      </c>
      <c r="CY69" s="62">
        <f ca="1">AVERAGE(OFFSET($CX$3,0,0,'Données projet'!$E$13+1,1))-AVERAGE(OFFSET($H$3,0,0,'Données projet'!$E$13+1,1))</f>
        <v>351.7223836693733</v>
      </c>
      <c r="CZ69" s="62">
        <f t="shared" ref="CZ69:CZ132" si="96">$CZ$3</f>
        <v>339.34942976598518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6.1372450830601499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6.1372450830601499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183.33333333333334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16.745000000000005</v>
      </c>
      <c r="N70" s="14">
        <f>IF('Données projet'!$A$36&gt;35,N69+M70-V69,IF(A70&lt;'Données projet'!$A$36,$K$205^A70,IF(A70='Données projet'!$A$36,'Données projet'!$B$36,N69+M70-V69)))</f>
        <v>536.49000000000012</v>
      </c>
      <c r="O70" s="14">
        <f>N70*VLOOKUP('Données projet'!$B$9,Paramètres!$A$1:$I$89,3,0)*VLOOKUP('Données projet'!$B$9,Paramètres!$A$1:$I$89,5,0)</f>
        <v>299.89791000000008</v>
      </c>
      <c r="P70" s="14">
        <f t="shared" si="87"/>
        <v>71.155061066438293</v>
      </c>
      <c r="Q70" s="22">
        <f t="shared" si="54"/>
        <v>646.25059127404677</v>
      </c>
      <c r="R70" s="62">
        <f t="shared" si="55"/>
        <v>911.20465858226362</v>
      </c>
      <c r="S70" s="62">
        <f ca="1">AVERAGE(OFFSET($R$3,0,0,'Données projet'!$E$9+1,1))-AVERAGE(OFFSET($H$3,0,0,'Données projet'!$E$9+1,1))</f>
        <v>409.45931633551902</v>
      </c>
      <c r="T70" s="62">
        <f t="shared" si="88"/>
        <v>375.18886653687389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2.5474775280854955</v>
      </c>
      <c r="AA70" s="23">
        <f>EXP(-LN(2)/25)*AA69+(1-EXP(-LN(2)/25))/(LN(2)/25)*Calculateur!V70*Calculateur!X70*VLOOKUP('Données projet'!$B$9,Paramètres!$A$1:$I$89,3,0)*0.475*44/12</f>
        <v>6.9243889958178446</v>
      </c>
      <c r="AB70" s="23">
        <f>EXP(-LN(2)/2)*AB69+(1-EXP(-LN(2)/2))/(LN(2)/2)*V70*Y70*VLOOKUP('Données projet'!$B$9,Paramètres!$A$1:$I$89,3,0)*0.475*44/12</f>
        <v>3.1292751645039515E-5</v>
      </c>
      <c r="AC70" s="24">
        <f t="shared" si="57"/>
        <v>9.4718978166549856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5.6843418860808015E-14</v>
      </c>
      <c r="AJ70" s="14">
        <f>AI70*VLOOKUP('Données projet'!$B$10,Paramètres!$A$1:$I$89,3,0)*VLOOKUP('Données projet'!$B$10,Paramètres!$A$1:$I$89,5,0)</f>
        <v>3.3992364478763198E-14</v>
      </c>
      <c r="AK70" s="14">
        <f t="shared" si="89"/>
        <v>5.790027782444094E-13</v>
      </c>
      <c r="AL70" s="22">
        <f t="shared" si="58"/>
        <v>1.0676332069095257E-12</v>
      </c>
      <c r="AM70" s="62">
        <f t="shared" si="59"/>
        <v>264.95406730821799</v>
      </c>
      <c r="AN70" s="62">
        <f ca="1">AVERAGE(OFFSET($AM$3,0,0,'Données projet'!$E$10+1,1))-AVERAGE(OFFSET($H$3,0,0,'Données projet'!$E$10+1,1))</f>
        <v>212.90262675152454</v>
      </c>
      <c r="AO70" s="62">
        <f t="shared" si="90"/>
        <v>366.51899340890498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52.570909830376912</v>
      </c>
      <c r="AV70" s="23">
        <f>EXP(-LN(2)/25)*AV69+(1-EXP(-LN(2)/25))/(LN(2)/25)*Calculateur!AQ70*Calculateur!AS70*VLOOKUP('Données projet'!$B$10,Paramètres!$A$1:$I$89,3,0)*0.475*44/12</f>
        <v>1.1984559028998909</v>
      </c>
      <c r="AW70" s="23">
        <f>EXP(-LN(2)/2)*AW69+(1-EXP(-LN(2)/2))/(LN(2)/2)*AQ70*AT70*VLOOKUP('Données projet'!$B$10,Paramètres!$A$1:$I$89,3,0)*0.475*44/12</f>
        <v>2.9712345085922028E-3</v>
      </c>
      <c r="AX70" s="23">
        <f t="shared" si="60"/>
        <v>53.772336967785392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5.2</v>
      </c>
      <c r="BD70" s="13">
        <f>IF('Données projet'!$A$88&gt;35,BD69+BC70-BL69,IF(A70&lt;'Données projet'!$A$88,$BA$205^A70,IF(A70='Données projet'!$A$88,'Données projet'!$B$88,BD69+BC70-BL69)))</f>
        <v>233.40000000000009</v>
      </c>
      <c r="BE70" s="14">
        <f>BD70*VLOOKUP('Données projet'!$B$11,Paramètres!$A$1:$I$89,3,0)*VLOOKUP('Données projet'!$B$11,Paramètres!$A$1:$I$89,5,0)</f>
        <v>203.8982400000001</v>
      </c>
      <c r="BF70" s="14">
        <f t="shared" si="91"/>
        <v>50.599918019430213</v>
      </c>
      <c r="BG70" s="22">
        <f t="shared" si="61"/>
        <v>443.25095855050785</v>
      </c>
      <c r="BH70" s="62">
        <f t="shared" si="62"/>
        <v>708.20502585872475</v>
      </c>
      <c r="BI70" s="62">
        <f ca="1">AVERAGE(OFFSET($BH$3,0,0,'Données projet'!$E$11+1,1))-AVERAGE(OFFSET($H$3,0,0,'Données projet'!$E$11+1,1))</f>
        <v>342.02279578180605</v>
      </c>
      <c r="BJ70" s="62">
        <f t="shared" si="92"/>
        <v>409.02379334777754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4.4000000000000004</v>
      </c>
      <c r="BY70" s="13">
        <f>IF('Données projet'!$A$114&gt;35,BY69+BX70-CG69,IF(A70&lt;'Données projet'!$A$114,$BV$205^A70,IF(A70='Données projet'!$A$114,'Données projet'!$B$114,BY69+BX70-CG69)))</f>
        <v>301.79999999999973</v>
      </c>
      <c r="BZ70" s="14">
        <f>BY70*VLOOKUP('Données projet'!$B$12,Paramètres!$A$1:$I$89,3,0)*VLOOKUP('Données projet'!$B$12,Paramètres!$A$1:$I$89,5,0)</f>
        <v>240.11207999999979</v>
      </c>
      <c r="CA70" s="14">
        <f t="shared" si="93"/>
        <v>58.463644384894735</v>
      </c>
      <c r="CB70" s="22">
        <f t="shared" si="64"/>
        <v>520.0193866370247</v>
      </c>
      <c r="CC70" s="62">
        <f t="shared" si="65"/>
        <v>784.97345394524154</v>
      </c>
      <c r="CD70" s="62">
        <f ca="1">AVERAGE(OFFSET($CC$3,0,0,'Données projet'!$E$12+1,1))-AVERAGE(OFFSET($H$3,0,0,'Données projet'!$E$12+1,1))</f>
        <v>376.47942810265266</v>
      </c>
      <c r="CE70" s="62">
        <f t="shared" si="94"/>
        <v>362.87951024071265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8.0473398358462536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8.0473398358462536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4.4000000000000004</v>
      </c>
      <c r="CT70" s="13">
        <f>IF('Données projet'!$A$140&gt;35,CT69+CS70-DB69,IF(A70&lt;'Données projet'!$A$140,$CQ$205^A70,IF(A70='Données projet'!$A$140,'Données projet'!$B$140,CT69+CS70-DB69)))</f>
        <v>301.79999999999973</v>
      </c>
      <c r="CU70" s="18">
        <f>CT70*VLOOKUP('Données projet'!$B$13,Paramètres!$A$1:$I$89,3,0)*VLOOKUP('Données projet'!$B$13,Paramètres!$A$1:$I$89,5,0)</f>
        <v>221.27975999999978</v>
      </c>
      <c r="CV70" s="14">
        <f t="shared" si="95"/>
        <v>54.392941267953155</v>
      </c>
      <c r="CW70" s="22">
        <f t="shared" si="67"/>
        <v>480.12995470835148</v>
      </c>
      <c r="CX70" s="62">
        <f t="shared" si="68"/>
        <v>745.08402201656838</v>
      </c>
      <c r="CY70" s="62">
        <f ca="1">AVERAGE(OFFSET($CX$3,0,0,'Données projet'!$E$13+1,1))-AVERAGE(OFFSET($H$3,0,0,'Données projet'!$E$13+1,1))</f>
        <v>351.7223836693733</v>
      </c>
      <c r="CZ70" s="62">
        <f t="shared" si="96"/>
        <v>339.34942976598518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6.016897450331216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6.016897450331216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183.33333333333334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16.745000000000005</v>
      </c>
      <c r="N71" s="14">
        <f>IF('Données projet'!$A$36&gt;35,N70+M71-V70,IF(A71&lt;'Données projet'!$A$36,$K$205^A71,IF(A71='Données projet'!$A$36,'Données projet'!$B$36,N70+M71-V70)))</f>
        <v>553.23500000000013</v>
      </c>
      <c r="O71" s="14">
        <f>N71*VLOOKUP('Données projet'!$B$9,Paramètres!$A$1:$I$89,3,0)*VLOOKUP('Données projet'!$B$9,Paramètres!$A$1:$I$89,5,0)</f>
        <v>309.25836500000008</v>
      </c>
      <c r="P71" s="14">
        <f t="shared" si="87"/>
        <v>73.113925681396637</v>
      </c>
      <c r="Q71" s="22">
        <f t="shared" si="54"/>
        <v>665.96507293676598</v>
      </c>
      <c r="R71" s="62">
        <f t="shared" si="55"/>
        <v>931.41145706398481</v>
      </c>
      <c r="S71" s="62">
        <f ca="1">AVERAGE(OFFSET($R$3,0,0,'Données projet'!$E$9+1,1))-AVERAGE(OFFSET($H$3,0,0,'Données projet'!$E$9+1,1))</f>
        <v>409.45931633551902</v>
      </c>
      <c r="T71" s="62">
        <f t="shared" si="88"/>
        <v>375.18886653687389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2.4975230475676051</v>
      </c>
      <c r="AA71" s="23">
        <f>EXP(-LN(2)/25)*AA70+(1-EXP(-LN(2)/25))/(LN(2)/25)*Calculateur!V71*Calculateur!X71*VLOOKUP('Données projet'!$B$9,Paramètres!$A$1:$I$89,3,0)*0.475*44/12</f>
        <v>6.7350412145894145</v>
      </c>
      <c r="AB71" s="23">
        <f>EXP(-LN(2)/2)*AB70+(1-EXP(-LN(2)/2))/(LN(2)/2)*V71*Y71*VLOOKUP('Données projet'!$B$9,Paramètres!$A$1:$I$89,3,0)*0.475*44/12</f>
        <v>2.2127316890193932E-5</v>
      </c>
      <c r="AC71" s="24">
        <f t="shared" si="57"/>
        <v>9.2325863894739104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5.6843418860808015E-14</v>
      </c>
      <c r="AJ71" s="14">
        <f>AI71*VLOOKUP('Données projet'!$B$10,Paramètres!$A$1:$I$89,3,0)*VLOOKUP('Données projet'!$B$10,Paramètres!$A$1:$I$89,5,0)</f>
        <v>3.3992364478763198E-14</v>
      </c>
      <c r="AK71" s="14">
        <f t="shared" si="89"/>
        <v>5.790027782444094E-13</v>
      </c>
      <c r="AL71" s="22">
        <f t="shared" si="58"/>
        <v>1.0676332069095257E-12</v>
      </c>
      <c r="AM71" s="62">
        <f t="shared" si="59"/>
        <v>265.44638412721991</v>
      </c>
      <c r="AN71" s="62">
        <f ca="1">AVERAGE(OFFSET($AM$3,0,0,'Données projet'!$E$10+1,1))-AVERAGE(OFFSET($H$3,0,0,'Données projet'!$E$10+1,1))</f>
        <v>212.90262675152454</v>
      </c>
      <c r="AO71" s="62">
        <f t="shared" si="90"/>
        <v>366.51899340890498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51.540026353692056</v>
      </c>
      <c r="AV71" s="23">
        <f>EXP(-LN(2)/25)*AV70+(1-EXP(-LN(2)/25))/(LN(2)/25)*Calculateur!AQ71*Calculateur!AS71*VLOOKUP('Données projet'!$B$10,Paramètres!$A$1:$I$89,3,0)*0.475*44/12</f>
        <v>1.1656840632110366</v>
      </c>
      <c r="AW71" s="23">
        <f>EXP(-LN(2)/2)*AW70+(1-EXP(-LN(2)/2))/(LN(2)/2)*AQ71*AT71*VLOOKUP('Données projet'!$B$10,Paramètres!$A$1:$I$89,3,0)*0.475*44/12</f>
        <v>2.1009800695210258E-3</v>
      </c>
      <c r="AX71" s="23">
        <f t="shared" si="60"/>
        <v>52.707811396972616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5.2</v>
      </c>
      <c r="BD71" s="13">
        <f>IF('Données projet'!$A$88&gt;35,BD70+BC71-BL70,IF(A71&lt;'Données projet'!$A$88,$BA$205^A71,IF(A71='Données projet'!$A$88,'Données projet'!$B$88,BD70+BC71-BL70)))</f>
        <v>238.60000000000008</v>
      </c>
      <c r="BE71" s="14">
        <f>BD71*VLOOKUP('Données projet'!$B$11,Paramètres!$A$1:$I$89,3,0)*VLOOKUP('Données projet'!$B$11,Paramètres!$A$1:$I$89,5,0)</f>
        <v>208.4409600000001</v>
      </c>
      <c r="BF71" s="14">
        <f t="shared" si="91"/>
        <v>51.594748621124211</v>
      </c>
      <c r="BG71" s="22">
        <f t="shared" si="61"/>
        <v>452.89552584845813</v>
      </c>
      <c r="BH71" s="62">
        <f t="shared" si="62"/>
        <v>718.34190997567703</v>
      </c>
      <c r="BI71" s="62">
        <f ca="1">AVERAGE(OFFSET($BH$3,0,0,'Données projet'!$E$11+1,1))-AVERAGE(OFFSET($H$3,0,0,'Données projet'!$E$11+1,1))</f>
        <v>342.02279578180605</v>
      </c>
      <c r="BJ71" s="62">
        <f t="shared" si="92"/>
        <v>409.02379334777754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4.4000000000000004</v>
      </c>
      <c r="BY71" s="13">
        <f>IF('Données projet'!$A$114&gt;35,BY70+BX71-CG70,IF(A71&lt;'Données projet'!$A$114,$BV$205^A71,IF(A71='Données projet'!$A$114,'Données projet'!$B$114,BY70+BX71-CG70)))</f>
        <v>306.1999999999997</v>
      </c>
      <c r="BZ71" s="14">
        <f>BY71*VLOOKUP('Données projet'!$B$12,Paramètres!$A$1:$I$89,3,0)*VLOOKUP('Données projet'!$B$12,Paramètres!$A$1:$I$89,5,0)</f>
        <v>243.6127199999998</v>
      </c>
      <c r="CA71" s="14">
        <f t="shared" si="93"/>
        <v>59.216147598154699</v>
      </c>
      <c r="CB71" s="22">
        <f t="shared" si="64"/>
        <v>527.42694440011905</v>
      </c>
      <c r="CC71" s="62">
        <f t="shared" si="65"/>
        <v>792.87332852733789</v>
      </c>
      <c r="CD71" s="62">
        <f ca="1">AVERAGE(OFFSET($CC$3,0,0,'Données projet'!$E$12+1,1))-AVERAGE(OFFSET($H$3,0,0,'Données projet'!$E$12+1,1))</f>
        <v>376.47942810265266</v>
      </c>
      <c r="CE71" s="62">
        <f t="shared" si="94"/>
        <v>362.87951024071265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7.8895364100579446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7.8895364100579446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4.4000000000000004</v>
      </c>
      <c r="CT71" s="13">
        <f>IF('Données projet'!$A$140&gt;35,CT70+CS71-DB70,IF(A71&lt;'Données projet'!$A$140,$CQ$205^A71,IF(A71='Données projet'!$A$140,'Données projet'!$B$140,CT70+CS71-DB70)))</f>
        <v>306.1999999999997</v>
      </c>
      <c r="CU71" s="18">
        <f>CT71*VLOOKUP('Données projet'!$B$13,Paramètres!$A$1:$I$89,3,0)*VLOOKUP('Données projet'!$B$13,Paramètres!$A$1:$I$89,5,0)</f>
        <v>224.50583999999978</v>
      </c>
      <c r="CV71" s="14">
        <f t="shared" si="95"/>
        <v>55.093049232713739</v>
      </c>
      <c r="CW71" s="22">
        <f t="shared" si="67"/>
        <v>486.96806541364276</v>
      </c>
      <c r="CX71" s="62">
        <f t="shared" si="68"/>
        <v>752.4144495408616</v>
      </c>
      <c r="CY71" s="62">
        <f ca="1">AVERAGE(OFFSET($CX$3,0,0,'Données projet'!$E$13+1,1))-AVERAGE(OFFSET($H$3,0,0,'Données projet'!$E$13+1,1))</f>
        <v>351.7223836693733</v>
      </c>
      <c r="CZ71" s="62">
        <f t="shared" si="96"/>
        <v>339.34942976598518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5.8989097612752888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5.8989097612752888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183.33333333333334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>
        <f>VLOOKUP(A72,'Données projet'!$A$35:$I$55,2,0)</f>
        <v>569.98</v>
      </c>
      <c r="L72" s="13">
        <f>VLOOKUP(A72,'Données projet'!$A$35:$I$55,9,0)</f>
        <v>16.745000000000005</v>
      </c>
      <c r="M72" s="13">
        <f t="array" ref="M72">INDEX(L:L,MIN(IF(ISNUMBER(L72:L268),ROW(L72:L268),"")))</f>
        <v>16.745000000000005</v>
      </c>
      <c r="N72" s="14">
        <f>IF('Données projet'!$A$36&gt;35,N71+M72-V71,IF(A72&lt;'Données projet'!$A$36,$K$205^A72,IF(A72='Données projet'!$A$36,'Données projet'!$B$36,N71+M72-V71)))</f>
        <v>569.98000000000013</v>
      </c>
      <c r="O72" s="14">
        <f>N72*VLOOKUP('Données projet'!$B$9,Paramètres!$A$1:$I$89,3,0)*VLOOKUP('Données projet'!$B$9,Paramètres!$A$1:$I$89,5,0)</f>
        <v>318.61882000000008</v>
      </c>
      <c r="P72" s="14">
        <f t="shared" si="87"/>
        <v>75.065899995891868</v>
      </c>
      <c r="Q72" s="22">
        <f t="shared" si="54"/>
        <v>685.66755399284511</v>
      </c>
      <c r="R72" s="62">
        <f t="shared" si="55"/>
        <v>951.59771434291167</v>
      </c>
      <c r="S72" s="62">
        <f ca="1">AVERAGE(OFFSET($R$3,0,0,'Données projet'!$E$9+1,1))-AVERAGE(OFFSET($H$3,0,0,'Données projet'!$E$9+1,1))</f>
        <v>409.45931633551902</v>
      </c>
      <c r="T72" s="62">
        <f t="shared" si="88"/>
        <v>375.18886653687389</v>
      </c>
      <c r="U72" s="16">
        <f>IF(ISNA(VLOOKUP(A72,'Données projet'!$A$35:$I$55,3,0)),0,VLOOKUP(A72,'Données projet'!$A$35:$I$55,3,0))</f>
        <v>9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2.4485481439434462</v>
      </c>
      <c r="AA72" s="23">
        <f>EXP(-LN(2)/25)*AA71+(1-EXP(-LN(2)/25))/(LN(2)/25)*Calculateur!V72*Calculateur!X72*VLOOKUP('Données projet'!$B$9,Paramètres!$A$1:$I$89,3,0)*0.475*44/12</f>
        <v>6.5508711583960428</v>
      </c>
      <c r="AB72" s="23">
        <f>EXP(-LN(2)/2)*AB71+(1-EXP(-LN(2)/2))/(LN(2)/2)*V72*Y72*VLOOKUP('Données projet'!$B$9,Paramètres!$A$1:$I$89,3,0)*0.475*44/12</f>
        <v>1.5646375822519758E-5</v>
      </c>
      <c r="AC72" s="24">
        <f t="shared" si="57"/>
        <v>8.9994349487153116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5.6843418860808015E-14</v>
      </c>
      <c r="AJ72" s="14">
        <f>AI72*VLOOKUP('Données projet'!$B$10,Paramètres!$A$1:$I$89,3,0)*VLOOKUP('Données projet'!$B$10,Paramètres!$A$1:$I$89,5,0)</f>
        <v>3.3992364478763198E-14</v>
      </c>
      <c r="AK72" s="14">
        <f t="shared" si="89"/>
        <v>5.790027782444094E-13</v>
      </c>
      <c r="AL72" s="22">
        <f t="shared" si="58"/>
        <v>1.0676332069095257E-12</v>
      </c>
      <c r="AM72" s="62">
        <f t="shared" si="59"/>
        <v>265.93016035006764</v>
      </c>
      <c r="AN72" s="62">
        <f ca="1">AVERAGE(OFFSET($AM$3,0,0,'Données projet'!$E$10+1,1))-AVERAGE(OFFSET($H$3,0,0,'Données projet'!$E$10+1,1))</f>
        <v>212.90262675152454</v>
      </c>
      <c r="AO72" s="62">
        <f t="shared" si="90"/>
        <v>366.51899340890498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50.529357873208156</v>
      </c>
      <c r="AV72" s="23">
        <f>EXP(-LN(2)/25)*AV71+(1-EXP(-LN(2)/25))/(LN(2)/25)*Calculateur!AQ72*Calculateur!AS72*VLOOKUP('Données projet'!$B$10,Paramètres!$A$1:$I$89,3,0)*0.475*44/12</f>
        <v>1.1338083712018701</v>
      </c>
      <c r="AW72" s="23">
        <f>EXP(-LN(2)/2)*AW71+(1-EXP(-LN(2)/2))/(LN(2)/2)*AQ72*AT72*VLOOKUP('Données projet'!$B$10,Paramètres!$A$1:$I$89,3,0)*0.475*44/12</f>
        <v>1.4856172542961014E-3</v>
      </c>
      <c r="AX72" s="23">
        <f t="shared" si="60"/>
        <v>51.664651861664325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5.2</v>
      </c>
      <c r="BD72" s="13">
        <f>IF('Données projet'!$A$88&gt;35,BD71+BC72-BL71,IF(A72&lt;'Données projet'!$A$88,$BA$205^A72,IF(A72='Données projet'!$A$88,'Données projet'!$B$88,BD71+BC72-BL71)))</f>
        <v>243.80000000000007</v>
      </c>
      <c r="BE72" s="14">
        <f>BD72*VLOOKUP('Données projet'!$B$11,Paramètres!$A$1:$I$89,3,0)*VLOOKUP('Données projet'!$B$11,Paramètres!$A$1:$I$89,5,0)</f>
        <v>212.98368000000008</v>
      </c>
      <c r="BF72" s="14">
        <f t="shared" si="91"/>
        <v>52.587058525970363</v>
      </c>
      <c r="BG72" s="22">
        <f t="shared" si="61"/>
        <v>462.53570293273191</v>
      </c>
      <c r="BH72" s="62">
        <f t="shared" si="62"/>
        <v>728.46586328279841</v>
      </c>
      <c r="BI72" s="62">
        <f ca="1">AVERAGE(OFFSET($BH$3,0,0,'Données projet'!$E$11+1,1))-AVERAGE(OFFSET($H$3,0,0,'Données projet'!$E$11+1,1))</f>
        <v>342.02279578180605</v>
      </c>
      <c r="BJ72" s="62">
        <f t="shared" si="92"/>
        <v>409.02379334777754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4.4000000000000004</v>
      </c>
      <c r="BY72" s="13">
        <f>IF('Données projet'!$A$114&gt;35,BY71+BX72-CG71,IF(A72&lt;'Données projet'!$A$114,$BV$205^A72,IF(A72='Données projet'!$A$114,'Données projet'!$B$114,BY71+BX72-CG71)))</f>
        <v>310.59999999999968</v>
      </c>
      <c r="BZ72" s="14">
        <f>BY72*VLOOKUP('Données projet'!$B$12,Paramètres!$A$1:$I$89,3,0)*VLOOKUP('Données projet'!$B$12,Paramètres!$A$1:$I$89,5,0)</f>
        <v>247.11335999999974</v>
      </c>
      <c r="CA72" s="14">
        <f t="shared" si="93"/>
        <v>59.967393156546734</v>
      </c>
      <c r="CB72" s="22">
        <f t="shared" si="64"/>
        <v>534.83231174765172</v>
      </c>
      <c r="CC72" s="62">
        <f t="shared" si="65"/>
        <v>800.76247209771827</v>
      </c>
      <c r="CD72" s="62">
        <f ca="1">AVERAGE(OFFSET($CC$3,0,0,'Données projet'!$E$12+1,1))-AVERAGE(OFFSET($H$3,0,0,'Données projet'!$E$12+1,1))</f>
        <v>376.47942810265266</v>
      </c>
      <c r="CE72" s="62">
        <f t="shared" si="94"/>
        <v>362.87951024071265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7.7348274131987589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7.7348274131987589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4.4000000000000004</v>
      </c>
      <c r="CT72" s="13">
        <f>IF('Données projet'!$A$140&gt;35,CT71+CS72-DB71,IF(A72&lt;'Données projet'!$A$140,$CQ$205^A72,IF(A72='Données projet'!$A$140,'Données projet'!$B$140,CT71+CS72-DB71)))</f>
        <v>310.59999999999968</v>
      </c>
      <c r="CU72" s="18">
        <f>CT72*VLOOKUP('Données projet'!$B$13,Paramètres!$A$1:$I$89,3,0)*VLOOKUP('Données projet'!$B$13,Paramètres!$A$1:$I$89,5,0)</f>
        <v>227.73191999999975</v>
      </c>
      <c r="CV72" s="14">
        <f t="shared" si="95"/>
        <v>55.791987110523941</v>
      </c>
      <c r="CW72" s="22">
        <f t="shared" si="67"/>
        <v>493.80413821749539</v>
      </c>
      <c r="CX72" s="62">
        <f t="shared" si="68"/>
        <v>759.73429856756195</v>
      </c>
      <c r="CY72" s="62">
        <f ca="1">AVERAGE(OFFSET($CX$3,0,0,'Données projet'!$E$13+1,1))-AVERAGE(OFFSET($H$3,0,0,'Données projet'!$E$13+1,1))</f>
        <v>351.7223836693733</v>
      </c>
      <c r="CZ72" s="62">
        <f t="shared" si="96"/>
        <v>339.34942976598518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5.783235738836364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5.783235738836364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183.33333333333334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586.05999999999995</v>
      </c>
      <c r="L73" s="13">
        <f>VLOOKUP(A73,'Données projet'!$A$35:$I$55,9,0)</f>
        <v>16.079999999999927</v>
      </c>
      <c r="M73" s="13">
        <f t="array" ref="M73">INDEX(L:L,MIN(IF(ISNUMBER(L73:L269),ROW(L73:L269),"")))</f>
        <v>16.079999999999927</v>
      </c>
      <c r="N73" s="14">
        <f>IF('Données projet'!$A$36&gt;35,N72+M73-V72,IF(A73&lt;'Données projet'!$A$36,$K$205^A73,IF(A73='Données projet'!$A$36,'Données projet'!$B$36,N72+M73-V72)))</f>
        <v>586.06000000000006</v>
      </c>
      <c r="O73" s="14">
        <f>N73*VLOOKUP('Données projet'!$B$9,Paramètres!$A$1:$I$89,3,0)*VLOOKUP('Données projet'!$B$9,Paramètres!$A$1:$I$89,5,0)</f>
        <v>327.60754000000003</v>
      </c>
      <c r="P73" s="14">
        <f t="shared" si="87"/>
        <v>76.934079315946775</v>
      </c>
      <c r="Q73" s="22">
        <f t="shared" si="54"/>
        <v>704.57665364194065</v>
      </c>
      <c r="R73" s="62">
        <f t="shared" si="55"/>
        <v>970.98219777895019</v>
      </c>
      <c r="S73" s="62">
        <f ca="1">AVERAGE(OFFSET($R$3,0,0,'Données projet'!$E$9+1,1))-AVERAGE(OFFSET($H$3,0,0,'Données projet'!$E$9+1,1))</f>
        <v>409.45931633551902</v>
      </c>
      <c r="T73" s="62">
        <f t="shared" si="88"/>
        <v>375.18886653687389</v>
      </c>
      <c r="U73" s="16">
        <f>IF(ISNA(VLOOKUP(A73,'Données projet'!$A$35:$I$55,3,0)),0,VLOOKUP(A73,'Données projet'!$A$35:$I$55,3,0))</f>
        <v>10</v>
      </c>
      <c r="V73" s="16">
        <f>IF(ISNA(VLOOKUP(A73,'Données projet'!$A$35:$I$55,4,0)),0,VLOOKUP(A73,'Données projet'!$A$35:$I$55,4,0))</f>
        <v>586.05999999999995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2.4005336083076156</v>
      </c>
      <c r="AA73" s="23">
        <f>EXP(-LN(2)/25)*AA72+(1-EXP(-LN(2)/25))/(LN(2)/25)*Calculateur!V73*Calculateur!X73*VLOOKUP('Données projet'!$B$9,Paramètres!$A$1:$I$89,3,0)*0.475*44/12</f>
        <v>6.371737242074361</v>
      </c>
      <c r="AB73" s="23">
        <f>EXP(-LN(2)/2)*AB72+(1-EXP(-LN(2)/2))/(LN(2)/2)*V73*Y73*VLOOKUP('Données projet'!$B$9,Paramètres!$A$1:$I$89,3,0)*0.475*44/12</f>
        <v>1.1063658445096966E-5</v>
      </c>
      <c r="AC73" s="24">
        <f t="shared" si="57"/>
        <v>8.7722819140404216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5.6843418860808015E-14</v>
      </c>
      <c r="AJ73" s="14">
        <f>AI73*VLOOKUP('Données projet'!$B$10,Paramètres!$A$1:$I$89,3,0)*VLOOKUP('Données projet'!$B$10,Paramètres!$A$1:$I$89,5,0)</f>
        <v>3.3992364478763198E-14</v>
      </c>
      <c r="AK73" s="14">
        <f t="shared" si="89"/>
        <v>5.790027782444094E-13</v>
      </c>
      <c r="AL73" s="22">
        <f t="shared" si="58"/>
        <v>1.0676332069095257E-12</v>
      </c>
      <c r="AM73" s="62">
        <f t="shared" si="59"/>
        <v>266.40554413701057</v>
      </c>
      <c r="AN73" s="62">
        <f ca="1">AVERAGE(OFFSET($AM$3,0,0,'Données projet'!$E$10+1,1))-AVERAGE(OFFSET($H$3,0,0,'Données projet'!$E$10+1,1))</f>
        <v>212.90262675152454</v>
      </c>
      <c r="AO73" s="62">
        <f t="shared" si="90"/>
        <v>366.51899340890498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49.538507985179635</v>
      </c>
      <c r="AV73" s="23">
        <f>EXP(-LN(2)/25)*AV72+(1-EXP(-LN(2)/25))/(LN(2)/25)*Calculateur!AQ73*Calculateur!AS73*VLOOKUP('Données projet'!$B$10,Paramètres!$A$1:$I$89,3,0)*0.475*44/12</f>
        <v>1.1028043216669641</v>
      </c>
      <c r="AW73" s="23">
        <f>EXP(-LN(2)/2)*AW72+(1-EXP(-LN(2)/2))/(LN(2)/2)*AQ73*AT73*VLOOKUP('Données projet'!$B$10,Paramètres!$A$1:$I$89,3,0)*0.475*44/12</f>
        <v>1.0504900347605129E-3</v>
      </c>
      <c r="AX73" s="23">
        <f t="shared" si="60"/>
        <v>50.642362796881358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249</v>
      </c>
      <c r="BB73" s="13">
        <f>VLOOKUP(A73,'Données projet'!$A$87:$I$107,9,0)</f>
        <v>5.2</v>
      </c>
      <c r="BC73" s="13">
        <f t="array" ref="BC73">INDEX(BB:BB,MIN(IF(ISNUMBER(BB73:BB269),ROW(BB73:BB269),"")))</f>
        <v>5.2</v>
      </c>
      <c r="BD73" s="13">
        <f>IF('Données projet'!$A$88&gt;35,BD72+BC73-BL72,IF(A73&lt;'Données projet'!$A$88,$BA$205^A73,IF(A73='Données projet'!$A$88,'Données projet'!$B$88,BD72+BC73-BL72)))</f>
        <v>249.00000000000006</v>
      </c>
      <c r="BE73" s="14">
        <f>BD73*VLOOKUP('Données projet'!$B$11,Paramètres!$A$1:$I$89,3,0)*VLOOKUP('Données projet'!$B$11,Paramètres!$A$1:$I$89,5,0)</f>
        <v>217.52640000000008</v>
      </c>
      <c r="BF73" s="14">
        <f t="shared" si="91"/>
        <v>53.576907690651254</v>
      </c>
      <c r="BG73" s="22">
        <f t="shared" si="61"/>
        <v>472.17159422788433</v>
      </c>
      <c r="BH73" s="62">
        <f t="shared" si="62"/>
        <v>738.57713836489381</v>
      </c>
      <c r="BI73" s="62">
        <f ca="1">AVERAGE(OFFSET($BH$3,0,0,'Données projet'!$E$11+1,1))-AVERAGE(OFFSET($H$3,0,0,'Données projet'!$E$11+1,1))</f>
        <v>342.02279578180605</v>
      </c>
      <c r="BJ73" s="62">
        <f t="shared" si="92"/>
        <v>409.02379334777754</v>
      </c>
      <c r="BK73" s="16">
        <f>IF(ISNA(VLOOKUP(A73,'Données projet'!$A$87:$I$107,3,0)),0,VLOOKUP(A73,'Données projet'!$A$87:$I$107,3,0))</f>
        <v>12</v>
      </c>
      <c r="BL73" s="16">
        <f>IF(ISNA(VLOOKUP(A73,'Données projet'!$A$87:$I$107,4,0)),0,VLOOKUP(A73,'Données projet'!$A$87:$I$107,4,0))</f>
        <v>249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315</v>
      </c>
      <c r="BW73" s="13">
        <f>VLOOKUP(A73,'Données projet'!$A$113:$I$133,9,0)</f>
        <v>4.4000000000000004</v>
      </c>
      <c r="BX73" s="13">
        <f t="array" ref="BX73">INDEX(BW:BW,MIN(IF(ISNUMBER(BW73:BW269),ROW(BW73:BW269),"")))</f>
        <v>4.4000000000000004</v>
      </c>
      <c r="BY73" s="13">
        <f>IF('Données projet'!$A$114&gt;35,BY72+BX73-CG72,IF(A73&lt;'Données projet'!$A$114,$BV$205^A73,IF(A73='Données projet'!$A$114,'Données projet'!$B$114,BY72+BX73-CG72)))</f>
        <v>314.99999999999966</v>
      </c>
      <c r="BZ73" s="14">
        <f>BY73*VLOOKUP('Données projet'!$B$12,Paramètres!$A$1:$I$89,3,0)*VLOOKUP('Données projet'!$B$12,Paramètres!$A$1:$I$89,5,0)</f>
        <v>250.61399999999975</v>
      </c>
      <c r="CA73" s="14">
        <f t="shared" si="93"/>
        <v>60.717400934915986</v>
      </c>
      <c r="CB73" s="22">
        <f t="shared" si="64"/>
        <v>542.23552329497818</v>
      </c>
      <c r="CC73" s="62">
        <f t="shared" si="65"/>
        <v>808.64106743198772</v>
      </c>
      <c r="CD73" s="62">
        <f ca="1">AVERAGE(OFFSET($CC$3,0,0,'Données projet'!$E$12+1,1))-AVERAGE(OFFSET($H$3,0,0,'Données projet'!$E$12+1,1))</f>
        <v>376.47942810265266</v>
      </c>
      <c r="CE73" s="62">
        <f t="shared" si="94"/>
        <v>362.87951024071265</v>
      </c>
      <c r="CF73" s="16">
        <f>IF(ISNA(VLOOKUP(A73,'Données projet'!$A$113:$I$133,3,0)),0,VLOOKUP(A73,'Données projet'!$A$113:$I$133,3,0))</f>
        <v>13</v>
      </c>
      <c r="CG73" s="16">
        <f>IF(ISNA(VLOOKUP(A73,'Données projet'!$A$113:$I$133,4,0)),0,VLOOKUP(A73,'Données projet'!$A$113:$I$133,4,0))</f>
        <v>13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7.5831521654048117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7.5831521654048117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315</v>
      </c>
      <c r="CR73" s="13">
        <f>VLOOKUP(A73,'Données projet'!$A$139:$I$159,9,0)</f>
        <v>4.4000000000000004</v>
      </c>
      <c r="CS73" s="13">
        <f t="array" ref="CS73">INDEX(CR:CR,MIN(IF(ISNUMBER(CR73:CR269),ROW(CR73:CR269),"")))</f>
        <v>4.4000000000000004</v>
      </c>
      <c r="CT73" s="13">
        <f>IF('Données projet'!$A$140&gt;35,CT72+CS73-DB72,IF(A73&lt;'Données projet'!$A$140,$CQ$205^A73,IF(A73='Données projet'!$A$140,'Données projet'!$B$140,CT72+CS73-DB72)))</f>
        <v>314.99999999999966</v>
      </c>
      <c r="CU73" s="18">
        <f>CT73*VLOOKUP('Données projet'!$B$13,Paramètres!$A$1:$I$89,3,0)*VLOOKUP('Données projet'!$B$13,Paramètres!$A$1:$I$89,5,0)</f>
        <v>230.95799999999977</v>
      </c>
      <c r="CV73" s="14">
        <f t="shared" si="95"/>
        <v>56.489773392384379</v>
      </c>
      <c r="CW73" s="22">
        <f t="shared" si="67"/>
        <v>500.63820532506901</v>
      </c>
      <c r="CX73" s="62">
        <f t="shared" si="68"/>
        <v>767.04374946207849</v>
      </c>
      <c r="CY73" s="62">
        <f ca="1">AVERAGE(OFFSET($CX$3,0,0,'Données projet'!$E$13+1,1))-AVERAGE(OFFSET($H$3,0,0,'Données projet'!$E$13+1,1))</f>
        <v>351.7223836693733</v>
      </c>
      <c r="CZ73" s="62">
        <f t="shared" si="96"/>
        <v>339.34942976598518</v>
      </c>
      <c r="DA73" s="16">
        <f>IF(ISNA(VLOOKUP(A73,'Données projet'!$A$139:$I$159,3,0)),0,VLOOKUP(A73,'Données projet'!$A$139:$I$159,3,0))</f>
        <v>13</v>
      </c>
      <c r="DB73" s="16">
        <f>IF(ISNA(VLOOKUP(A73,'Données projet'!$A$139:$I$159,4,0)),0,VLOOKUP(A73,'Données projet'!$A$139:$I$159,4,0))</f>
        <v>13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5.6698300134232795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5.6698300134232795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183.33333333333334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6.3550942286383367E-14</v>
      </c>
      <c r="P74" s="14">
        <f t="shared" si="87"/>
        <v>1.0064464192543978E-12</v>
      </c>
      <c r="Q74" s="22">
        <f t="shared" si="54"/>
        <v>1.8635787380168604E-12</v>
      </c>
      <c r="R74" s="62">
        <f t="shared" si="55"/>
        <v>266.87268107804982</v>
      </c>
      <c r="S74" s="62">
        <f ca="1">AVERAGE(OFFSET($R$3,0,0,'Données projet'!$E$9+1,1))-AVERAGE(OFFSET($H$3,0,0,'Données projet'!$E$9+1,1))</f>
        <v>409.45931633551902</v>
      </c>
      <c r="T74" s="62">
        <f t="shared" si="88"/>
        <v>375.18886653687389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2.3534606084296286</v>
      </c>
      <c r="AA74" s="23">
        <f>EXP(-LN(2)/25)*AA73+(1-EXP(-LN(2)/25))/(LN(2)/25)*Calculateur!V74*Calculateur!X74*VLOOKUP('Données projet'!$B$9,Paramètres!$A$1:$I$89,3,0)*0.475*44/12</f>
        <v>6.1975017521147384</v>
      </c>
      <c r="AB74" s="23">
        <f>EXP(-LN(2)/2)*AB73+(1-EXP(-LN(2)/2))/(LN(2)/2)*V74*Y74*VLOOKUP('Données projet'!$B$9,Paramètres!$A$1:$I$89,3,0)*0.475*44/12</f>
        <v>7.8231879112598788E-6</v>
      </c>
      <c r="AC74" s="24">
        <f t="shared" si="57"/>
        <v>8.5509701837322787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5.6843418860808015E-14</v>
      </c>
      <c r="AJ74" s="14">
        <f>AI74*VLOOKUP('Données projet'!$B$10,Paramètres!$A$1:$I$89,3,0)*VLOOKUP('Données projet'!$B$10,Paramètres!$A$1:$I$89,5,0)</f>
        <v>3.3992364478763198E-14</v>
      </c>
      <c r="AK74" s="14">
        <f t="shared" si="89"/>
        <v>5.790027782444094E-13</v>
      </c>
      <c r="AL74" s="22">
        <f t="shared" si="58"/>
        <v>1.0676332069095257E-12</v>
      </c>
      <c r="AM74" s="62">
        <f t="shared" si="59"/>
        <v>266.87268107804903</v>
      </c>
      <c r="AN74" s="62">
        <f ca="1">AVERAGE(OFFSET($AM$3,0,0,'Données projet'!$E$10+1,1))-AVERAGE(OFFSET($H$3,0,0,'Données projet'!$E$10+1,1))</f>
        <v>212.90262675152454</v>
      </c>
      <c r="AO74" s="62">
        <f t="shared" si="90"/>
        <v>366.51899340890498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48.567088059096598</v>
      </c>
      <c r="AV74" s="23">
        <f>EXP(-LN(2)/25)*AV73+(1-EXP(-LN(2)/25))/(LN(2)/25)*Calculateur!AQ74*Calculateur!AS74*VLOOKUP('Données projet'!$B$10,Paramètres!$A$1:$I$89,3,0)*0.475*44/12</f>
        <v>1.0726480794970221</v>
      </c>
      <c r="AW74" s="23">
        <f>EXP(-LN(2)/2)*AW73+(1-EXP(-LN(2)/2))/(LN(2)/2)*AQ74*AT74*VLOOKUP('Données projet'!$B$10,Paramètres!$A$1:$I$89,3,0)*0.475*44/12</f>
        <v>7.4280862714805069E-4</v>
      </c>
      <c r="AX74" s="23">
        <f t="shared" si="60"/>
        <v>49.640478947220764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5.6843418860808015E-14</v>
      </c>
      <c r="BE74" s="14">
        <f>BD74*VLOOKUP('Données projet'!$B$11,Paramètres!$A$1:$I$89,3,0)*VLOOKUP('Données projet'!$B$11,Paramètres!$A$1:$I$89,5,0)</f>
        <v>4.9658410716801891E-14</v>
      </c>
      <c r="BF74" s="14">
        <f t="shared" si="91"/>
        <v>8.0934058173791862E-13</v>
      </c>
      <c r="BG74" s="22">
        <f t="shared" si="61"/>
        <v>1.4960899118586383E-12</v>
      </c>
      <c r="BH74" s="62">
        <f t="shared" si="62"/>
        <v>266.87268107804942</v>
      </c>
      <c r="BI74" s="62">
        <f ca="1">AVERAGE(OFFSET($BH$3,0,0,'Données projet'!$E$11+1,1))-AVERAGE(OFFSET($H$3,0,0,'Données projet'!$E$11+1,1))</f>
        <v>342.02279578180605</v>
      </c>
      <c r="BJ74" s="62">
        <f t="shared" si="92"/>
        <v>409.02379334777754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4.2</v>
      </c>
      <c r="BY74" s="13">
        <f>IF('Données projet'!$A$114&gt;35,BY73+BX74-CG73,IF(A74&lt;'Données projet'!$A$114,$BV$205^A74,IF(A74='Données projet'!$A$114,'Données projet'!$B$114,BY73+BX74-CG73)))</f>
        <v>306.19999999999965</v>
      </c>
      <c r="BZ74" s="14">
        <f>BY74*VLOOKUP('Données projet'!$B$12,Paramètres!$A$1:$I$89,3,0)*VLOOKUP('Données projet'!$B$12,Paramètres!$A$1:$I$89,5,0)</f>
        <v>243.61271999999974</v>
      </c>
      <c r="CA74" s="14">
        <f t="shared" si="93"/>
        <v>59.216147598154699</v>
      </c>
      <c r="CB74" s="22">
        <f t="shared" si="64"/>
        <v>527.42694440011894</v>
      </c>
      <c r="CC74" s="62">
        <f t="shared" si="65"/>
        <v>794.29962547816694</v>
      </c>
      <c r="CD74" s="62">
        <f ca="1">AVERAGE(OFFSET($CC$3,0,0,'Données projet'!$E$12+1,1))-AVERAGE(OFFSET($H$3,0,0,'Données projet'!$E$12+1,1))</f>
        <v>376.47942810265266</v>
      </c>
      <c r="CE74" s="62">
        <f t="shared" si="94"/>
        <v>362.87951024071265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7.4344511767073369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7.4344511767073369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4.2</v>
      </c>
      <c r="CT74" s="13">
        <f>IF('Données projet'!$A$140&gt;35,CT73+CS74-DB73,IF(A74&lt;'Données projet'!$A$140,$CQ$205^A74,IF(A74='Données projet'!$A$140,'Données projet'!$B$140,CT73+CS74-DB73)))</f>
        <v>306.19999999999965</v>
      </c>
      <c r="CU74" s="18">
        <f>CT74*VLOOKUP('Données projet'!$B$13,Paramètres!$A$1:$I$89,3,0)*VLOOKUP('Données projet'!$B$13,Paramètres!$A$1:$I$89,5,0)</f>
        <v>224.50583999999972</v>
      </c>
      <c r="CV74" s="14">
        <f t="shared" si="95"/>
        <v>55.093049232713739</v>
      </c>
      <c r="CW74" s="22">
        <f t="shared" si="67"/>
        <v>486.96806541364259</v>
      </c>
      <c r="CX74" s="62">
        <f t="shared" si="68"/>
        <v>753.84074649169054</v>
      </c>
      <c r="CY74" s="62">
        <f ca="1">AVERAGE(OFFSET($CX$3,0,0,'Données projet'!$E$13+1,1))-AVERAGE(OFFSET($H$3,0,0,'Données projet'!$E$13+1,1))</f>
        <v>351.7223836693733</v>
      </c>
      <c r="CZ74" s="62">
        <f t="shared" si="96"/>
        <v>339.34942976598518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5.5586481051148828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5.5586481051148828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183.33333333333334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6.3550942286383367E-14</v>
      </c>
      <c r="P75" s="14">
        <f t="shared" si="87"/>
        <v>1.0064464192543978E-12</v>
      </c>
      <c r="Q75" s="22">
        <f t="shared" si="54"/>
        <v>1.8635787380168604E-12</v>
      </c>
      <c r="R75" s="62">
        <f t="shared" si="55"/>
        <v>267.33171423752299</v>
      </c>
      <c r="S75" s="62">
        <f ca="1">AVERAGE(OFFSET($R$3,0,0,'Données projet'!$E$9+1,1))-AVERAGE(OFFSET($H$3,0,0,'Données projet'!$E$9+1,1))</f>
        <v>409.45931633551902</v>
      </c>
      <c r="T75" s="62">
        <f t="shared" si="88"/>
        <v>375.18886653687389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2.3073106813675537</v>
      </c>
      <c r="AA75" s="23">
        <f>EXP(-LN(2)/25)*AA74+(1-EXP(-LN(2)/25))/(LN(2)/25)*Calculateur!V75*Calculateur!X75*VLOOKUP('Données projet'!$B$9,Paramètres!$A$1:$I$89,3,0)*0.475*44/12</f>
        <v>6.0280307407907081</v>
      </c>
      <c r="AB75" s="23">
        <f>EXP(-LN(2)/2)*AB74+(1-EXP(-LN(2)/2))/(LN(2)/2)*V75*Y75*VLOOKUP('Données projet'!$B$9,Paramètres!$A$1:$I$89,3,0)*0.475*44/12</f>
        <v>5.5318292225484831E-6</v>
      </c>
      <c r="AC75" s="24">
        <f t="shared" si="57"/>
        <v>8.335346953987484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5.6843418860808015E-14</v>
      </c>
      <c r="AJ75" s="14">
        <f>AI75*VLOOKUP('Données projet'!$B$10,Paramètres!$A$1:$I$89,3,0)*VLOOKUP('Données projet'!$B$10,Paramètres!$A$1:$I$89,5,0)</f>
        <v>3.3992364478763198E-14</v>
      </c>
      <c r="AK75" s="14">
        <f t="shared" si="89"/>
        <v>5.790027782444094E-13</v>
      </c>
      <c r="AL75" s="22">
        <f t="shared" si="58"/>
        <v>1.0676332069095257E-12</v>
      </c>
      <c r="AM75" s="62">
        <f t="shared" si="59"/>
        <v>267.33171423752219</v>
      </c>
      <c r="AN75" s="62">
        <f ca="1">AVERAGE(OFFSET($AM$3,0,0,'Données projet'!$E$10+1,1))-AVERAGE(OFFSET($H$3,0,0,'Données projet'!$E$10+1,1))</f>
        <v>212.90262675152454</v>
      </c>
      <c r="AO75" s="62">
        <f t="shared" si="90"/>
        <v>366.51899340890498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47.614717085256402</v>
      </c>
      <c r="AV75" s="23">
        <f>EXP(-LN(2)/25)*AV74+(1-EXP(-LN(2)/25))/(LN(2)/25)*Calculateur!AQ75*Calculateur!AS75*VLOOKUP('Données projet'!$B$10,Paramètres!$A$1:$I$89,3,0)*0.475*44/12</f>
        <v>1.0433164613550652</v>
      </c>
      <c r="AW75" s="23">
        <f>EXP(-LN(2)/2)*AW74+(1-EXP(-LN(2)/2))/(LN(2)/2)*AQ75*AT75*VLOOKUP('Données projet'!$B$10,Paramètres!$A$1:$I$89,3,0)*0.475*44/12</f>
        <v>5.2524501738025644E-4</v>
      </c>
      <c r="AX75" s="23">
        <f t="shared" si="60"/>
        <v>48.658558791628842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5.6843418860808015E-14</v>
      </c>
      <c r="BE75" s="14">
        <f>BD75*VLOOKUP('Données projet'!$B$11,Paramètres!$A$1:$I$89,3,0)*VLOOKUP('Données projet'!$B$11,Paramètres!$A$1:$I$89,5,0)</f>
        <v>4.9658410716801891E-14</v>
      </c>
      <c r="BF75" s="14">
        <f t="shared" si="91"/>
        <v>8.0934058173791862E-13</v>
      </c>
      <c r="BG75" s="22">
        <f t="shared" si="61"/>
        <v>1.4960899118586383E-12</v>
      </c>
      <c r="BH75" s="62">
        <f t="shared" si="62"/>
        <v>267.33171423752259</v>
      </c>
      <c r="BI75" s="62">
        <f ca="1">AVERAGE(OFFSET($BH$3,0,0,'Données projet'!$E$11+1,1))-AVERAGE(OFFSET($H$3,0,0,'Données projet'!$E$11+1,1))</f>
        <v>342.02279578180605</v>
      </c>
      <c r="BJ75" s="62">
        <f t="shared" si="92"/>
        <v>409.02379334777754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4.2</v>
      </c>
      <c r="BY75" s="13">
        <f>IF('Données projet'!$A$114&gt;35,BY74+BX75-CG74,IF(A75&lt;'Données projet'!$A$114,$BV$205^A75,IF(A75='Données projet'!$A$114,'Données projet'!$B$114,BY74+BX75-CG74)))</f>
        <v>310.39999999999964</v>
      </c>
      <c r="BZ75" s="14">
        <f>BY75*VLOOKUP('Données projet'!$B$12,Paramètres!$A$1:$I$89,3,0)*VLOOKUP('Données projet'!$B$12,Paramètres!$A$1:$I$89,5,0)</f>
        <v>246.95423999999971</v>
      </c>
      <c r="CA75" s="14">
        <f t="shared" si="93"/>
        <v>59.933272631878836</v>
      </c>
      <c r="CB75" s="22">
        <f t="shared" si="64"/>
        <v>534.49575116718847</v>
      </c>
      <c r="CC75" s="62">
        <f t="shared" si="65"/>
        <v>801.82746540470953</v>
      </c>
      <c r="CD75" s="62">
        <f ca="1">AVERAGE(OFFSET($CC$3,0,0,'Données projet'!$E$12+1,1))-AVERAGE(OFFSET($H$3,0,0,'Données projet'!$E$12+1,1))</f>
        <v>376.47942810265266</v>
      </c>
      <c r="CE75" s="62">
        <f t="shared" si="94"/>
        <v>362.87951024071265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7.2886661236995725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7.2886661236995725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4.2</v>
      </c>
      <c r="CT75" s="13">
        <f>IF('Données projet'!$A$140&gt;35,CT74+CS75-DB74,IF(A75&lt;'Données projet'!$A$140,$CQ$205^A75,IF(A75='Données projet'!$A$140,'Données projet'!$B$140,CT74+CS75-DB74)))</f>
        <v>310.39999999999964</v>
      </c>
      <c r="CU75" s="18">
        <f>CT75*VLOOKUP('Données projet'!$B$13,Paramètres!$A$1:$I$89,3,0)*VLOOKUP('Données projet'!$B$13,Paramètres!$A$1:$I$89,5,0)</f>
        <v>227.58527999999976</v>
      </c>
      <c r="CV75" s="14">
        <f t="shared" si="95"/>
        <v>55.760242327696616</v>
      </c>
      <c r="CW75" s="22">
        <f t="shared" si="67"/>
        <v>493.49345138740449</v>
      </c>
      <c r="CX75" s="62">
        <f t="shared" si="68"/>
        <v>760.8251656249256</v>
      </c>
      <c r="CY75" s="62">
        <f ca="1">AVERAGE(OFFSET($CX$3,0,0,'Données projet'!$E$13+1,1))-AVERAGE(OFFSET($H$3,0,0,'Données projet'!$E$13+1,1))</f>
        <v>351.7223836693733</v>
      </c>
      <c r="CZ75" s="62">
        <f t="shared" si="96"/>
        <v>339.34942976598518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5.4496464062141463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5.4496464062141463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183.33333333333334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6.3550942286383367E-14</v>
      </c>
      <c r="P76" s="14">
        <f t="shared" si="87"/>
        <v>1.0064464192543978E-12</v>
      </c>
      <c r="Q76" s="22">
        <f t="shared" si="54"/>
        <v>1.8635787380168604E-12</v>
      </c>
      <c r="R76" s="62">
        <f t="shared" si="55"/>
        <v>267.78278419792366</v>
      </c>
      <c r="S76" s="62">
        <f ca="1">AVERAGE(OFFSET($R$3,0,0,'Données projet'!$E$9+1,1))-AVERAGE(OFFSET($H$3,0,0,'Données projet'!$E$9+1,1))</f>
        <v>409.45931633551902</v>
      </c>
      <c r="T76" s="62">
        <f t="shared" si="88"/>
        <v>375.18886653687389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2.2620657262264903</v>
      </c>
      <c r="AA76" s="23">
        <f>EXP(-LN(2)/25)*AA75+(1-EXP(-LN(2)/25))/(LN(2)/25)*Calculateur!V76*Calculateur!X76*VLOOKUP('Données projet'!$B$9,Paramètres!$A$1:$I$89,3,0)*0.475*44/12</f>
        <v>5.8631939231834265</v>
      </c>
      <c r="AB76" s="23">
        <f>EXP(-LN(2)/2)*AB75+(1-EXP(-LN(2)/2))/(LN(2)/2)*V76*Y76*VLOOKUP('Données projet'!$B$9,Paramètres!$A$1:$I$89,3,0)*0.475*44/12</f>
        <v>3.9115939556299394E-6</v>
      </c>
      <c r="AC76" s="24">
        <f t="shared" si="57"/>
        <v>8.1252635610038713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5.6843418860808015E-14</v>
      </c>
      <c r="AJ76" s="14">
        <f>AI76*VLOOKUP('Données projet'!$B$10,Paramètres!$A$1:$I$89,3,0)*VLOOKUP('Données projet'!$B$10,Paramètres!$A$1:$I$89,5,0)</f>
        <v>3.3992364478763198E-14</v>
      </c>
      <c r="AK76" s="14">
        <f t="shared" si="89"/>
        <v>5.790027782444094E-13</v>
      </c>
      <c r="AL76" s="22">
        <f t="shared" si="58"/>
        <v>1.0676332069095257E-12</v>
      </c>
      <c r="AM76" s="62">
        <f t="shared" si="59"/>
        <v>267.78278419792287</v>
      </c>
      <c r="AN76" s="62">
        <f ca="1">AVERAGE(OFFSET($AM$3,0,0,'Données projet'!$E$10+1,1))-AVERAGE(OFFSET($H$3,0,0,'Données projet'!$E$10+1,1))</f>
        <v>212.90262675152454</v>
      </c>
      <c r="AO76" s="62">
        <f t="shared" si="90"/>
        <v>366.51899340890498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46.681021525324276</v>
      </c>
      <c r="AV76" s="23">
        <f>EXP(-LN(2)/25)*AV75+(1-EXP(-LN(2)/25))/(LN(2)/25)*Calculateur!AQ76*Calculateur!AS76*VLOOKUP('Données projet'!$B$10,Paramètres!$A$1:$I$89,3,0)*0.475*44/12</f>
        <v>1.0147869178536828</v>
      </c>
      <c r="AW76" s="23">
        <f>EXP(-LN(2)/2)*AW75+(1-EXP(-LN(2)/2))/(LN(2)/2)*AQ76*AT76*VLOOKUP('Données projet'!$B$10,Paramètres!$A$1:$I$89,3,0)*0.475*44/12</f>
        <v>3.7140431357402534E-4</v>
      </c>
      <c r="AX76" s="23">
        <f t="shared" si="60"/>
        <v>47.696179847491535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5.6843418860808015E-14</v>
      </c>
      <c r="BE76" s="14">
        <f>BD76*VLOOKUP('Données projet'!$B$11,Paramètres!$A$1:$I$89,3,0)*VLOOKUP('Données projet'!$B$11,Paramètres!$A$1:$I$89,5,0)</f>
        <v>4.9658410716801891E-14</v>
      </c>
      <c r="BF76" s="14">
        <f t="shared" si="91"/>
        <v>8.0934058173791862E-13</v>
      </c>
      <c r="BG76" s="22">
        <f t="shared" si="61"/>
        <v>1.4960899118586383E-12</v>
      </c>
      <c r="BH76" s="62">
        <f t="shared" si="62"/>
        <v>267.78278419792326</v>
      </c>
      <c r="BI76" s="62">
        <f ca="1">AVERAGE(OFFSET($BH$3,0,0,'Données projet'!$E$11+1,1))-AVERAGE(OFFSET($H$3,0,0,'Données projet'!$E$11+1,1))</f>
        <v>342.02279578180605</v>
      </c>
      <c r="BJ76" s="62">
        <f t="shared" si="92"/>
        <v>409.02379334777754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4.2</v>
      </c>
      <c r="BY76" s="13">
        <f>IF('Données projet'!$A$114&gt;35,BY75+BX76-CG75,IF(A76&lt;'Données projet'!$A$114,$BV$205^A76,IF(A76='Données projet'!$A$114,'Données projet'!$B$114,BY75+BX76-CG75)))</f>
        <v>314.59999999999962</v>
      </c>
      <c r="BZ76" s="14">
        <f>BY76*VLOOKUP('Données projet'!$B$12,Paramètres!$A$1:$I$89,3,0)*VLOOKUP('Données projet'!$B$12,Paramètres!$A$1:$I$89,5,0)</f>
        <v>250.29575999999969</v>
      </c>
      <c r="CA76" s="14">
        <f t="shared" si="93"/>
        <v>60.649269046250886</v>
      </c>
      <c r="CB76" s="22">
        <f t="shared" si="64"/>
        <v>541.56259225555311</v>
      </c>
      <c r="CC76" s="62">
        <f t="shared" si="65"/>
        <v>809.34537645347496</v>
      </c>
      <c r="CD76" s="62">
        <f ca="1">AVERAGE(OFFSET($CC$3,0,0,'Données projet'!$E$12+1,1))-AVERAGE(OFFSET($H$3,0,0,'Données projet'!$E$12+1,1))</f>
        <v>376.47942810265266</v>
      </c>
      <c r="CE76" s="62">
        <f t="shared" si="94"/>
        <v>362.87951024071265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7.1457398266611882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7.1457398266611882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4.2</v>
      </c>
      <c r="CT76" s="13">
        <f>IF('Données projet'!$A$140&gt;35,CT75+CS76-DB75,IF(A76&lt;'Données projet'!$A$140,$CQ$205^A76,IF(A76='Données projet'!$A$140,'Données projet'!$B$140,CT75+CS76-DB75)))</f>
        <v>314.59999999999962</v>
      </c>
      <c r="CU76" s="18">
        <f>CT76*VLOOKUP('Données projet'!$B$13,Paramètres!$A$1:$I$89,3,0)*VLOOKUP('Données projet'!$B$13,Paramètres!$A$1:$I$89,5,0)</f>
        <v>230.66471999999973</v>
      </c>
      <c r="CV76" s="14">
        <f t="shared" si="95"/>
        <v>56.426385386767798</v>
      </c>
      <c r="CW76" s="22">
        <f t="shared" si="67"/>
        <v>500.01700854862014</v>
      </c>
      <c r="CX76" s="62">
        <f t="shared" si="68"/>
        <v>767.79979274654193</v>
      </c>
      <c r="CY76" s="62">
        <f ca="1">AVERAGE(OFFSET($CX$3,0,0,'Données projet'!$E$13+1,1))-AVERAGE(OFFSET($H$3,0,0,'Données projet'!$E$13+1,1))</f>
        <v>351.7223836693733</v>
      </c>
      <c r="CZ76" s="62">
        <f t="shared" si="96"/>
        <v>339.34942976598518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5.3427821641443813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5.3427821641443813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183.33333333333334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6.3550942286383367E-14</v>
      </c>
      <c r="P77" s="14">
        <f t="shared" si="87"/>
        <v>1.0064464192543978E-12</v>
      </c>
      <c r="Q77" s="22">
        <f t="shared" si="54"/>
        <v>1.8635787380168604E-12</v>
      </c>
      <c r="R77" s="62">
        <f t="shared" si="55"/>
        <v>268.22602910295274</v>
      </c>
      <c r="S77" s="62">
        <f ca="1">AVERAGE(OFFSET($R$3,0,0,'Données projet'!$E$9+1,1))-AVERAGE(OFFSET($H$3,0,0,'Données projet'!$E$9+1,1))</f>
        <v>409.45931633551902</v>
      </c>
      <c r="T77" s="62">
        <f t="shared" si="88"/>
        <v>375.18886653687389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2.2177079970590454</v>
      </c>
      <c r="AA77" s="23">
        <f>EXP(-LN(2)/25)*AA76+(1-EXP(-LN(2)/25))/(LN(2)/25)*Calculateur!V77*Calculateur!X77*VLOOKUP('Données projet'!$B$9,Paramètres!$A$1:$I$89,3,0)*0.475*44/12</f>
        <v>5.7028645770220079</v>
      </c>
      <c r="AB77" s="23">
        <f>EXP(-LN(2)/2)*AB76+(1-EXP(-LN(2)/2))/(LN(2)/2)*V77*Y77*VLOOKUP('Données projet'!$B$9,Paramètres!$A$1:$I$89,3,0)*0.475*44/12</f>
        <v>2.7659146112742415E-6</v>
      </c>
      <c r="AC77" s="24">
        <f t="shared" si="57"/>
        <v>7.920575339995664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5.6843418860808015E-14</v>
      </c>
      <c r="AJ77" s="14">
        <f>AI77*VLOOKUP('Données projet'!$B$10,Paramètres!$A$1:$I$89,3,0)*VLOOKUP('Données projet'!$B$10,Paramètres!$A$1:$I$89,5,0)</f>
        <v>3.3992364478763198E-14</v>
      </c>
      <c r="AK77" s="14">
        <f t="shared" si="89"/>
        <v>5.790027782444094E-13</v>
      </c>
      <c r="AL77" s="22">
        <f t="shared" si="58"/>
        <v>1.0676332069095257E-12</v>
      </c>
      <c r="AM77" s="62">
        <f t="shared" si="59"/>
        <v>268.22602910295194</v>
      </c>
      <c r="AN77" s="62">
        <f ca="1">AVERAGE(OFFSET($AM$3,0,0,'Données projet'!$E$10+1,1))-AVERAGE(OFFSET($H$3,0,0,'Données projet'!$E$10+1,1))</f>
        <v>212.90262675152454</v>
      </c>
      <c r="AO77" s="62">
        <f t="shared" si="90"/>
        <v>366.51899340890498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45.765635165824364</v>
      </c>
      <c r="AV77" s="23">
        <f>EXP(-LN(2)/25)*AV76+(1-EXP(-LN(2)/25))/(LN(2)/25)*Calculateur!AQ77*Calculateur!AS77*VLOOKUP('Données projet'!$B$10,Paramètres!$A$1:$I$89,3,0)*0.475*44/12</f>
        <v>0.98703751621964919</v>
      </c>
      <c r="AW77" s="23">
        <f>EXP(-LN(2)/2)*AW76+(1-EXP(-LN(2)/2))/(LN(2)/2)*AQ77*AT77*VLOOKUP('Données projet'!$B$10,Paramètres!$A$1:$I$89,3,0)*0.475*44/12</f>
        <v>2.6262250869012822E-4</v>
      </c>
      <c r="AX77" s="23">
        <f t="shared" si="60"/>
        <v>46.752935304552707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5.6843418860808015E-14</v>
      </c>
      <c r="BE77" s="14">
        <f>BD77*VLOOKUP('Données projet'!$B$11,Paramètres!$A$1:$I$89,3,0)*VLOOKUP('Données projet'!$B$11,Paramètres!$A$1:$I$89,5,0)</f>
        <v>4.9658410716801891E-14</v>
      </c>
      <c r="BF77" s="14">
        <f t="shared" si="91"/>
        <v>8.0934058173791862E-13</v>
      </c>
      <c r="BG77" s="22">
        <f t="shared" si="61"/>
        <v>1.4960899118586383E-12</v>
      </c>
      <c r="BH77" s="62">
        <f t="shared" si="62"/>
        <v>268.22602910295234</v>
      </c>
      <c r="BI77" s="62">
        <f ca="1">AVERAGE(OFFSET($BH$3,0,0,'Données projet'!$E$11+1,1))-AVERAGE(OFFSET($H$3,0,0,'Données projet'!$E$11+1,1))</f>
        <v>342.02279578180605</v>
      </c>
      <c r="BJ77" s="62">
        <f t="shared" si="92"/>
        <v>409.02379334777754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4.2</v>
      </c>
      <c r="BY77" s="13">
        <f>IF('Données projet'!$A$114&gt;35,BY76+BX77-CG76,IF(A77&lt;'Données projet'!$A$114,$BV$205^A77,IF(A77='Données projet'!$A$114,'Données projet'!$B$114,BY76+BX77-CG76)))</f>
        <v>318.79999999999961</v>
      </c>
      <c r="BZ77" s="14">
        <f>BY77*VLOOKUP('Données projet'!$B$12,Paramètres!$A$1:$I$89,3,0)*VLOOKUP('Données projet'!$B$12,Paramètres!$A$1:$I$89,5,0)</f>
        <v>253.63727999999969</v>
      </c>
      <c r="CA77" s="14">
        <f t="shared" si="93"/>
        <v>61.364153650447946</v>
      </c>
      <c r="CB77" s="22">
        <f t="shared" si="64"/>
        <v>548.62749694119634</v>
      </c>
      <c r="CC77" s="62">
        <f t="shared" si="65"/>
        <v>816.8535260441472</v>
      </c>
      <c r="CD77" s="62">
        <f ca="1">AVERAGE(OFFSET($CC$3,0,0,'Données projet'!$E$12+1,1))-AVERAGE(OFFSET($H$3,0,0,'Données projet'!$E$12+1,1))</f>
        <v>376.47942810265266</v>
      </c>
      <c r="CE77" s="62">
        <f t="shared" si="94"/>
        <v>362.87951024071265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7.0056162271312932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7.0056162271312932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4.2</v>
      </c>
      <c r="CT77" s="13">
        <f>IF('Données projet'!$A$140&gt;35,CT76+CS77-DB76,IF(A77&lt;'Données projet'!$A$140,$CQ$205^A77,IF(A77='Données projet'!$A$140,'Données projet'!$B$140,CT76+CS77-DB76)))</f>
        <v>318.79999999999961</v>
      </c>
      <c r="CU77" s="18">
        <f>CT77*VLOOKUP('Données projet'!$B$13,Paramètres!$A$1:$I$89,3,0)*VLOOKUP('Données projet'!$B$13,Paramètres!$A$1:$I$89,5,0)</f>
        <v>233.74415999999971</v>
      </c>
      <c r="CV77" s="14">
        <f t="shared" si="95"/>
        <v>57.091494048716037</v>
      </c>
      <c r="CW77" s="22">
        <f t="shared" si="67"/>
        <v>506.53876413484659</v>
      </c>
      <c r="CX77" s="62">
        <f t="shared" si="68"/>
        <v>774.76479323779745</v>
      </c>
      <c r="CY77" s="62">
        <f ca="1">AVERAGE(OFFSET($CX$3,0,0,'Données projet'!$E$13+1,1))-AVERAGE(OFFSET($H$3,0,0,'Données projet'!$E$13+1,1))</f>
        <v>351.7223836693733</v>
      </c>
      <c r="CZ77" s="62">
        <f t="shared" si="96"/>
        <v>339.34942976598518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5.2380134646808525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5.2380134646808525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183.33333333333334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6.3550942286383367E-14</v>
      </c>
      <c r="P78" s="14">
        <f t="shared" si="87"/>
        <v>1.0064464192543978E-12</v>
      </c>
      <c r="Q78" s="22">
        <f t="shared" si="54"/>
        <v>1.8635787380168604E-12</v>
      </c>
      <c r="R78" s="62">
        <f t="shared" si="55"/>
        <v>268.66158469982668</v>
      </c>
      <c r="S78" s="62">
        <f ca="1">AVERAGE(OFFSET($R$3,0,0,'Données projet'!$E$9+1,1))-AVERAGE(OFFSET($H$3,0,0,'Données projet'!$E$9+1,1))</f>
        <v>409.45931633551902</v>
      </c>
      <c r="T78" s="62">
        <f t="shared" si="88"/>
        <v>375.18886653687389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2.1742200959050306</v>
      </c>
      <c r="AA78" s="23">
        <f>EXP(-LN(2)/25)*AA77+(1-EXP(-LN(2)/25))/(LN(2)/25)*Calculateur!V78*Calculateur!X78*VLOOKUP('Données projet'!$B$9,Paramètres!$A$1:$I$89,3,0)*0.475*44/12</f>
        <v>5.5469194452627271</v>
      </c>
      <c r="AB78" s="23">
        <f>EXP(-LN(2)/2)*AB77+(1-EXP(-LN(2)/2))/(LN(2)/2)*V78*Y78*VLOOKUP('Données projet'!$B$9,Paramètres!$A$1:$I$89,3,0)*0.475*44/12</f>
        <v>1.9557969778149697E-6</v>
      </c>
      <c r="AC78" s="24">
        <f t="shared" si="57"/>
        <v>7.7211414969647354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5.6843418860808015E-14</v>
      </c>
      <c r="AJ78" s="14">
        <f>AI78*VLOOKUP('Données projet'!$B$10,Paramètres!$A$1:$I$89,3,0)*VLOOKUP('Données projet'!$B$10,Paramètres!$A$1:$I$89,5,0)</f>
        <v>3.3992364478763198E-14</v>
      </c>
      <c r="AK78" s="14">
        <f t="shared" si="89"/>
        <v>5.790027782444094E-13</v>
      </c>
      <c r="AL78" s="22">
        <f t="shared" si="58"/>
        <v>1.0676332069095257E-12</v>
      </c>
      <c r="AM78" s="62">
        <f t="shared" si="59"/>
        <v>268.66158469982588</v>
      </c>
      <c r="AN78" s="62">
        <f ca="1">AVERAGE(OFFSET($AM$3,0,0,'Données projet'!$E$10+1,1))-AVERAGE(OFFSET($H$3,0,0,'Données projet'!$E$10+1,1))</f>
        <v>212.90262675152454</v>
      </c>
      <c r="AO78" s="62">
        <f t="shared" si="90"/>
        <v>366.51899340890498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44.868198974503692</v>
      </c>
      <c r="AV78" s="23">
        <f>EXP(-LN(2)/25)*AV77+(1-EXP(-LN(2)/25))/(LN(2)/25)*Calculateur!AQ78*Calculateur!AS78*VLOOKUP('Données projet'!$B$10,Paramètres!$A$1:$I$89,3,0)*0.475*44/12</f>
        <v>0.96004692343257581</v>
      </c>
      <c r="AW78" s="23">
        <f>EXP(-LN(2)/2)*AW77+(1-EXP(-LN(2)/2))/(LN(2)/2)*AQ78*AT78*VLOOKUP('Données projet'!$B$10,Paramètres!$A$1:$I$89,3,0)*0.475*44/12</f>
        <v>1.8570215678701267E-4</v>
      </c>
      <c r="AX78" s="23">
        <f t="shared" si="60"/>
        <v>45.828431600093054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5.6843418860808015E-14</v>
      </c>
      <c r="BE78" s="14">
        <f>BD78*VLOOKUP('Données projet'!$B$11,Paramètres!$A$1:$I$89,3,0)*VLOOKUP('Données projet'!$B$11,Paramètres!$A$1:$I$89,5,0)</f>
        <v>4.9658410716801891E-14</v>
      </c>
      <c r="BF78" s="14">
        <f t="shared" si="91"/>
        <v>8.0934058173791862E-13</v>
      </c>
      <c r="BG78" s="22">
        <f t="shared" si="61"/>
        <v>1.4960899118586383E-12</v>
      </c>
      <c r="BH78" s="62">
        <f t="shared" si="62"/>
        <v>268.66158469982628</v>
      </c>
      <c r="BI78" s="62">
        <f ca="1">AVERAGE(OFFSET($BH$3,0,0,'Données projet'!$E$11+1,1))-AVERAGE(OFFSET($H$3,0,0,'Données projet'!$E$11+1,1))</f>
        <v>342.02279578180605</v>
      </c>
      <c r="BJ78" s="62">
        <f t="shared" si="92"/>
        <v>409.02379334777754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323</v>
      </c>
      <c r="BW78" s="13">
        <f>VLOOKUP(A78,'Données projet'!$A$113:$I$133,9,0)</f>
        <v>4.2</v>
      </c>
      <c r="BX78" s="13">
        <f t="array" ref="BX78">INDEX(BW:BW,MIN(IF(ISNUMBER(BW78:BW274),ROW(BW78:BW274),"")))</f>
        <v>4.2</v>
      </c>
      <c r="BY78" s="13">
        <f>IF('Données projet'!$A$114&gt;35,BY77+BX78-CG77,IF(A78&lt;'Données projet'!$A$114,$BV$205^A78,IF(A78='Données projet'!$A$114,'Données projet'!$B$114,BY77+BX78-CG77)))</f>
        <v>322.9999999999996</v>
      </c>
      <c r="BZ78" s="14">
        <f>BY78*VLOOKUP('Données projet'!$B$12,Paramètres!$A$1:$I$89,3,0)*VLOOKUP('Données projet'!$B$12,Paramètres!$A$1:$I$89,5,0)</f>
        <v>256.97879999999969</v>
      </c>
      <c r="CA78" s="14">
        <f t="shared" si="93"/>
        <v>62.077942785287192</v>
      </c>
      <c r="CB78" s="22">
        <f t="shared" si="64"/>
        <v>555.69049368437459</v>
      </c>
      <c r="CC78" s="62">
        <f t="shared" si="65"/>
        <v>824.35207838419933</v>
      </c>
      <c r="CD78" s="62">
        <f ca="1">AVERAGE(OFFSET($CC$3,0,0,'Données projet'!$E$12+1,1))-AVERAGE(OFFSET($H$3,0,0,'Données projet'!$E$12+1,1))</f>
        <v>376.47942810265266</v>
      </c>
      <c r="CE78" s="62">
        <f t="shared" si="94"/>
        <v>362.87951024071265</v>
      </c>
      <c r="CF78" s="16">
        <f>IF(ISNA(VLOOKUP(A78,'Données projet'!$A$113:$I$133,3,0)),0,VLOOKUP(A78,'Données projet'!$A$113:$I$133,3,0))</f>
        <v>14</v>
      </c>
      <c r="CG78" s="16">
        <f>IF(ISNA(VLOOKUP(A78,'Données projet'!$A$113:$I$133,4,0)),0,VLOOKUP(A78,'Données projet'!$A$113:$I$133,4,0))</f>
        <v>12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6.8682403659212232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6.8682403659212232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323</v>
      </c>
      <c r="CR78" s="13">
        <f>VLOOKUP(A78,'Données projet'!$A$139:$I$159,9,0)</f>
        <v>4.2</v>
      </c>
      <c r="CS78" s="13">
        <f t="array" ref="CS78">INDEX(CR:CR,MIN(IF(ISNUMBER(CR78:CR274),ROW(CR78:CR274),"")))</f>
        <v>4.2</v>
      </c>
      <c r="CT78" s="13">
        <f>IF('Données projet'!$A$140&gt;35,CT77+CS78-DB77,IF(A78&lt;'Données projet'!$A$140,$CQ$205^A78,IF(A78='Données projet'!$A$140,'Données projet'!$B$140,CT77+CS78-DB77)))</f>
        <v>322.9999999999996</v>
      </c>
      <c r="CU78" s="18">
        <f>CT78*VLOOKUP('Données projet'!$B$13,Paramètres!$A$1:$I$89,3,0)*VLOOKUP('Données projet'!$B$13,Paramètres!$A$1:$I$89,5,0)</f>
        <v>236.82359999999971</v>
      </c>
      <c r="CV78" s="14">
        <f t="shared" si="95"/>
        <v>57.755583516581048</v>
      </c>
      <c r="CW78" s="22">
        <f t="shared" si="67"/>
        <v>513.05874462471149</v>
      </c>
      <c r="CX78" s="62">
        <f t="shared" si="68"/>
        <v>781.72032932453635</v>
      </c>
      <c r="CY78" s="62">
        <f ca="1">AVERAGE(OFFSET($CX$3,0,0,'Données projet'!$E$13+1,1))-AVERAGE(OFFSET($H$3,0,0,'Données projet'!$E$13+1,1))</f>
        <v>351.7223836693733</v>
      </c>
      <c r="CZ78" s="62">
        <f t="shared" si="96"/>
        <v>339.34942976598518</v>
      </c>
      <c r="DA78" s="16">
        <f>IF(ISNA(VLOOKUP(A78,'Données projet'!$A$139:$I$159,3,0)),0,VLOOKUP(A78,'Données projet'!$A$139:$I$159,3,0))</f>
        <v>14</v>
      </c>
      <c r="DB78" s="16">
        <f>IF(ISNA(VLOOKUP(A78,'Données projet'!$A$139:$I$159,4,0)),0,VLOOKUP(A78,'Données projet'!$A$139:$I$159,4,0))</f>
        <v>12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5.1352992155112069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5.1352992155112069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183.33333333333334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6.3550942286383367E-14</v>
      </c>
      <c r="P79" s="14">
        <f t="shared" si="87"/>
        <v>1.0064464192543978E-12</v>
      </c>
      <c r="Q79" s="22">
        <f t="shared" si="54"/>
        <v>1.8635787380168604E-12</v>
      </c>
      <c r="R79" s="62">
        <f t="shared" si="55"/>
        <v>269.08958438085131</v>
      </c>
      <c r="S79" s="62">
        <f ca="1">AVERAGE(OFFSET($R$3,0,0,'Données projet'!$E$9+1,1))-AVERAGE(OFFSET($H$3,0,0,'Données projet'!$E$9+1,1))</f>
        <v>409.45931633551902</v>
      </c>
      <c r="T79" s="62">
        <f t="shared" si="88"/>
        <v>375.18886653687389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2.1315849659676456</v>
      </c>
      <c r="AA79" s="23">
        <f>EXP(-LN(2)/25)*AA78+(1-EXP(-LN(2)/25))/(LN(2)/25)*Calculateur!V79*Calculateur!X79*VLOOKUP('Données projet'!$B$9,Paramètres!$A$1:$I$89,3,0)*0.475*44/12</f>
        <v>5.3952386413322015</v>
      </c>
      <c r="AB79" s="23">
        <f>EXP(-LN(2)/2)*AB78+(1-EXP(-LN(2)/2))/(LN(2)/2)*V79*Y79*VLOOKUP('Données projet'!$B$9,Paramètres!$A$1:$I$89,3,0)*0.475*44/12</f>
        <v>1.3829573056371208E-6</v>
      </c>
      <c r="AC79" s="24">
        <f t="shared" si="57"/>
        <v>7.5268249902571531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5.6843418860808015E-14</v>
      </c>
      <c r="AJ79" s="14">
        <f>AI79*VLOOKUP('Données projet'!$B$10,Paramètres!$A$1:$I$89,3,0)*VLOOKUP('Données projet'!$B$10,Paramètres!$A$1:$I$89,5,0)</f>
        <v>3.3992364478763198E-14</v>
      </c>
      <c r="AK79" s="14">
        <f t="shared" si="89"/>
        <v>5.790027782444094E-13</v>
      </c>
      <c r="AL79" s="22">
        <f t="shared" si="58"/>
        <v>1.0676332069095257E-12</v>
      </c>
      <c r="AM79" s="62">
        <f t="shared" si="59"/>
        <v>269.08958438085051</v>
      </c>
      <c r="AN79" s="62">
        <f ca="1">AVERAGE(OFFSET($AM$3,0,0,'Données projet'!$E$10+1,1))-AVERAGE(OFFSET($H$3,0,0,'Données projet'!$E$10+1,1))</f>
        <v>212.90262675152454</v>
      </c>
      <c r="AO79" s="62">
        <f t="shared" si="90"/>
        <v>366.51899340890498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43.988360959512789</v>
      </c>
      <c r="AV79" s="23">
        <f>EXP(-LN(2)/25)*AV78+(1-EXP(-LN(2)/25))/(LN(2)/25)*Calculateur!AQ79*Calculateur!AS79*VLOOKUP('Données projet'!$B$10,Paramètres!$A$1:$I$89,3,0)*0.475*44/12</f>
        <v>0.93379438982463858</v>
      </c>
      <c r="AW79" s="23">
        <f>EXP(-LN(2)/2)*AW78+(1-EXP(-LN(2)/2))/(LN(2)/2)*AQ79*AT79*VLOOKUP('Données projet'!$B$10,Paramètres!$A$1:$I$89,3,0)*0.475*44/12</f>
        <v>1.3131125434506411E-4</v>
      </c>
      <c r="AX79" s="23">
        <f t="shared" si="60"/>
        <v>44.922286660591773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5.6843418860808015E-14</v>
      </c>
      <c r="BE79" s="14">
        <f>BD79*VLOOKUP('Données projet'!$B$11,Paramètres!$A$1:$I$89,3,0)*VLOOKUP('Données projet'!$B$11,Paramètres!$A$1:$I$89,5,0)</f>
        <v>4.9658410716801891E-14</v>
      </c>
      <c r="BF79" s="14">
        <f t="shared" si="91"/>
        <v>8.0934058173791862E-13</v>
      </c>
      <c r="BG79" s="22">
        <f t="shared" si="61"/>
        <v>1.4960899118586383E-12</v>
      </c>
      <c r="BH79" s="62">
        <f t="shared" si="62"/>
        <v>269.08958438085091</v>
      </c>
      <c r="BI79" s="62">
        <f ca="1">AVERAGE(OFFSET($BH$3,0,0,'Données projet'!$E$11+1,1))-AVERAGE(OFFSET($H$3,0,0,'Données projet'!$E$11+1,1))</f>
        <v>342.02279578180605</v>
      </c>
      <c r="BJ79" s="62">
        <f t="shared" si="92"/>
        <v>409.02379334777754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3.6</v>
      </c>
      <c r="BY79" s="13">
        <f>IF('Données projet'!$A$114&gt;35,BY78+BX79-CG78,IF(A79&lt;'Données projet'!$A$114,$BV$205^A79,IF(A79='Données projet'!$A$114,'Données projet'!$B$114,BY78+BX79-CG78)))</f>
        <v>314.59999999999962</v>
      </c>
      <c r="BZ79" s="14">
        <f>BY79*VLOOKUP('Données projet'!$B$12,Paramètres!$A$1:$I$89,3,0)*VLOOKUP('Données projet'!$B$12,Paramètres!$A$1:$I$89,5,0)</f>
        <v>250.29575999999969</v>
      </c>
      <c r="CA79" s="14">
        <f t="shared" si="93"/>
        <v>60.649269046250886</v>
      </c>
      <c r="CB79" s="22">
        <f t="shared" si="64"/>
        <v>541.56259225555311</v>
      </c>
      <c r="CC79" s="62">
        <f t="shared" si="65"/>
        <v>810.6521766364026</v>
      </c>
      <c r="CD79" s="62">
        <f ca="1">AVERAGE(OFFSET($CC$3,0,0,'Données projet'!$E$12+1,1))-AVERAGE(OFFSET($H$3,0,0,'Données projet'!$E$12+1,1))</f>
        <v>376.47942810265266</v>
      </c>
      <c r="CE79" s="62">
        <f t="shared" si="94"/>
        <v>362.87951024071265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6.7335583615584804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6.7335583615584804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3.6</v>
      </c>
      <c r="CT79" s="13">
        <f>IF('Données projet'!$A$140&gt;35,CT78+CS79-DB78,IF(A79&lt;'Données projet'!$A$140,$CQ$205^A79,IF(A79='Données projet'!$A$140,'Données projet'!$B$140,CT78+CS79-DB78)))</f>
        <v>314.59999999999962</v>
      </c>
      <c r="CU79" s="18">
        <f>CT79*VLOOKUP('Données projet'!$B$13,Paramètres!$A$1:$I$89,3,0)*VLOOKUP('Données projet'!$B$13,Paramètres!$A$1:$I$89,5,0)</f>
        <v>230.66471999999973</v>
      </c>
      <c r="CV79" s="14">
        <f t="shared" si="95"/>
        <v>56.426385386767798</v>
      </c>
      <c r="CW79" s="22">
        <f t="shared" si="67"/>
        <v>500.01700854862014</v>
      </c>
      <c r="CX79" s="62">
        <f t="shared" si="68"/>
        <v>769.10659292946957</v>
      </c>
      <c r="CY79" s="62">
        <f ca="1">AVERAGE(OFFSET($CX$3,0,0,'Données projet'!$E$13+1,1))-AVERAGE(OFFSET($H$3,0,0,'Données projet'!$E$13+1,1))</f>
        <v>351.7223836693733</v>
      </c>
      <c r="CZ79" s="62">
        <f t="shared" si="96"/>
        <v>339.34942976598518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5.0345991301182726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5.0345991301182726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183.33333333333334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6.3550942286383367E-14</v>
      </c>
      <c r="P80" s="14">
        <f t="shared" si="87"/>
        <v>1.0064464192543978E-12</v>
      </c>
      <c r="Q80" s="22">
        <f t="shared" si="54"/>
        <v>1.8635787380168604E-12</v>
      </c>
      <c r="R80" s="62">
        <f t="shared" si="55"/>
        <v>269.51015922427416</v>
      </c>
      <c r="S80" s="62">
        <f ca="1">AVERAGE(OFFSET($R$3,0,0,'Données projet'!$E$9+1,1))-AVERAGE(OFFSET($H$3,0,0,'Données projet'!$E$9+1,1))</f>
        <v>409.45931633551902</v>
      </c>
      <c r="T80" s="62">
        <f t="shared" si="88"/>
        <v>375.18886653687389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2.0897858849234714</v>
      </c>
      <c r="AA80" s="23">
        <f>EXP(-LN(2)/25)*AA79+(1-EXP(-LN(2)/25))/(LN(2)/25)*Calculateur!V80*Calculateur!X80*VLOOKUP('Données projet'!$B$9,Paramètres!$A$1:$I$89,3,0)*0.475*44/12</f>
        <v>5.2477055569617033</v>
      </c>
      <c r="AB80" s="23">
        <f>EXP(-LN(2)/2)*AB79+(1-EXP(-LN(2)/2))/(LN(2)/2)*V80*Y80*VLOOKUP('Données projet'!$B$9,Paramètres!$A$1:$I$89,3,0)*0.475*44/12</f>
        <v>9.7789848890748485E-7</v>
      </c>
      <c r="AC80" s="24">
        <f t="shared" si="57"/>
        <v>7.337492419783664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5.6843418860808015E-14</v>
      </c>
      <c r="AJ80" s="14">
        <f>AI80*VLOOKUP('Données projet'!$B$10,Paramètres!$A$1:$I$89,3,0)*VLOOKUP('Données projet'!$B$10,Paramètres!$A$1:$I$89,5,0)</f>
        <v>3.3992364478763198E-14</v>
      </c>
      <c r="AK80" s="14">
        <f t="shared" si="89"/>
        <v>5.790027782444094E-13</v>
      </c>
      <c r="AL80" s="22">
        <f t="shared" si="58"/>
        <v>1.0676332069095257E-12</v>
      </c>
      <c r="AM80" s="62">
        <f t="shared" si="59"/>
        <v>269.51015922427337</v>
      </c>
      <c r="AN80" s="62">
        <f ca="1">AVERAGE(OFFSET($AM$3,0,0,'Données projet'!$E$10+1,1))-AVERAGE(OFFSET($H$3,0,0,'Données projet'!$E$10+1,1))</f>
        <v>212.90262675152454</v>
      </c>
      <c r="AO80" s="62">
        <f t="shared" si="90"/>
        <v>366.51899340890498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43.125776031347662</v>
      </c>
      <c r="AV80" s="23">
        <f>EXP(-LN(2)/25)*AV79+(1-EXP(-LN(2)/25))/(LN(2)/25)*Calculateur!AQ80*Calculateur!AS80*VLOOKUP('Données projet'!$B$10,Paramètres!$A$1:$I$89,3,0)*0.475*44/12</f>
        <v>0.90825973312877106</v>
      </c>
      <c r="AW80" s="23">
        <f>EXP(-LN(2)/2)*AW79+(1-EXP(-LN(2)/2))/(LN(2)/2)*AQ80*AT80*VLOOKUP('Données projet'!$B$10,Paramètres!$A$1:$I$89,3,0)*0.475*44/12</f>
        <v>9.2851078393506336E-5</v>
      </c>
      <c r="AX80" s="23">
        <f t="shared" si="60"/>
        <v>44.034128615554827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5.6843418860808015E-14</v>
      </c>
      <c r="BE80" s="14">
        <f>BD80*VLOOKUP('Données projet'!$B$11,Paramètres!$A$1:$I$89,3,0)*VLOOKUP('Données projet'!$B$11,Paramètres!$A$1:$I$89,5,0)</f>
        <v>4.9658410716801891E-14</v>
      </c>
      <c r="BF80" s="14">
        <f t="shared" si="91"/>
        <v>8.0934058173791862E-13</v>
      </c>
      <c r="BG80" s="22">
        <f t="shared" si="61"/>
        <v>1.4960899118586383E-12</v>
      </c>
      <c r="BH80" s="62">
        <f t="shared" si="62"/>
        <v>269.51015922427376</v>
      </c>
      <c r="BI80" s="62">
        <f ca="1">AVERAGE(OFFSET($BH$3,0,0,'Données projet'!$E$11+1,1))-AVERAGE(OFFSET($H$3,0,0,'Données projet'!$E$11+1,1))</f>
        <v>342.02279578180605</v>
      </c>
      <c r="BJ80" s="62">
        <f t="shared" si="92"/>
        <v>409.02379334777754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3.6</v>
      </c>
      <c r="BY80" s="13">
        <f>IF('Données projet'!$A$114&gt;35,BY79+BX80-CG79,IF(A80&lt;'Données projet'!$A$114,$BV$205^A80,IF(A80='Données projet'!$A$114,'Données projet'!$B$114,BY79+BX80-CG79)))</f>
        <v>318.19999999999965</v>
      </c>
      <c r="BZ80" s="14">
        <f>BY80*VLOOKUP('Données projet'!$B$12,Paramètres!$A$1:$I$89,3,0)*VLOOKUP('Données projet'!$B$12,Paramètres!$A$1:$I$89,5,0)</f>
        <v>253.15991999999972</v>
      </c>
      <c r="CA80" s="14">
        <f t="shared" si="93"/>
        <v>61.262094724147147</v>
      </c>
      <c r="CB80" s="22">
        <f t="shared" si="64"/>
        <v>547.61834231122236</v>
      </c>
      <c r="CC80" s="62">
        <f t="shared" si="65"/>
        <v>817.12850153549471</v>
      </c>
      <c r="CD80" s="62">
        <f ca="1">AVERAGE(OFFSET($CC$3,0,0,'Données projet'!$E$12+1,1))-AVERAGE(OFFSET($H$3,0,0,'Données projet'!$E$12+1,1))</f>
        <v>376.47942810265266</v>
      </c>
      <c r="CE80" s="62">
        <f t="shared" si="94"/>
        <v>362.87951024071265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6.60151738915338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6.60151738915338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3.6</v>
      </c>
      <c r="CT80" s="13">
        <f>IF('Données projet'!$A$140&gt;35,CT79+CS80-DB79,IF(A80&lt;'Données projet'!$A$140,$CQ$205^A80,IF(A80='Données projet'!$A$140,'Données projet'!$B$140,CT79+CS80-DB79)))</f>
        <v>318.19999999999965</v>
      </c>
      <c r="CU80" s="18">
        <f>CT80*VLOOKUP('Données projet'!$B$13,Paramètres!$A$1:$I$89,3,0)*VLOOKUP('Données projet'!$B$13,Paramètres!$A$1:$I$89,5,0)</f>
        <v>233.30423999999974</v>
      </c>
      <c r="CV80" s="14">
        <f t="shared" si="95"/>
        <v>56.996541275200826</v>
      </c>
      <c r="CW80" s="22">
        <f t="shared" si="67"/>
        <v>505.60719405430768</v>
      </c>
      <c r="CX80" s="62">
        <f t="shared" si="68"/>
        <v>775.11735327857991</v>
      </c>
      <c r="CY80" s="62">
        <f ca="1">AVERAGE(OFFSET($CX$3,0,0,'Données projet'!$E$13+1,1))-AVERAGE(OFFSET($H$3,0,0,'Données projet'!$E$13+1,1))</f>
        <v>351.7223836693733</v>
      </c>
      <c r="CZ80" s="62">
        <f t="shared" si="96"/>
        <v>339.34942976598518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4.935873711978906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4.935873711978906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183.33333333333334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6.3550942286383367E-14</v>
      </c>
      <c r="P81" s="14">
        <f t="shared" si="87"/>
        <v>1.0064464192543978E-12</v>
      </c>
      <c r="Q81" s="22">
        <f t="shared" si="54"/>
        <v>1.8635787380168604E-12</v>
      </c>
      <c r="R81" s="62">
        <f t="shared" si="55"/>
        <v>269.9234380344281</v>
      </c>
      <c r="S81" s="62">
        <f ca="1">AVERAGE(OFFSET($R$3,0,0,'Données projet'!$E$9+1,1))-AVERAGE(OFFSET($H$3,0,0,'Données projet'!$E$9+1,1))</f>
        <v>409.45931633551902</v>
      </c>
      <c r="T81" s="62">
        <f t="shared" si="88"/>
        <v>375.18886653687389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2.0488064583636514</v>
      </c>
      <c r="AA81" s="23">
        <f>EXP(-LN(2)/25)*AA80+(1-EXP(-LN(2)/25))/(LN(2)/25)*Calculateur!V81*Calculateur!X81*VLOOKUP('Données projet'!$B$9,Paramètres!$A$1:$I$89,3,0)*0.475*44/12</f>
        <v>5.1042067725417439</v>
      </c>
      <c r="AB81" s="23">
        <f>EXP(-LN(2)/2)*AB80+(1-EXP(-LN(2)/2))/(LN(2)/2)*V81*Y81*VLOOKUP('Données projet'!$B$9,Paramètres!$A$1:$I$89,3,0)*0.475*44/12</f>
        <v>6.9147865281856039E-7</v>
      </c>
      <c r="AC81" s="24">
        <f t="shared" si="57"/>
        <v>7.1530139223840488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5.6843418860808015E-14</v>
      </c>
      <c r="AJ81" s="14">
        <f>AI81*VLOOKUP('Données projet'!$B$10,Paramètres!$A$1:$I$89,3,0)*VLOOKUP('Données projet'!$B$10,Paramètres!$A$1:$I$89,5,0)</f>
        <v>3.3992364478763198E-14</v>
      </c>
      <c r="AK81" s="14">
        <f t="shared" si="89"/>
        <v>5.790027782444094E-13</v>
      </c>
      <c r="AL81" s="22">
        <f t="shared" si="58"/>
        <v>1.0676332069095257E-12</v>
      </c>
      <c r="AM81" s="62">
        <f t="shared" si="59"/>
        <v>269.92343803442731</v>
      </c>
      <c r="AN81" s="62">
        <f ca="1">AVERAGE(OFFSET($AM$3,0,0,'Données projet'!$E$10+1,1))-AVERAGE(OFFSET($H$3,0,0,'Données projet'!$E$10+1,1))</f>
        <v>212.90262675152454</v>
      </c>
      <c r="AO81" s="62">
        <f t="shared" si="90"/>
        <v>366.51899340890498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42.280105867498996</v>
      </c>
      <c r="AV81" s="23">
        <f>EXP(-LN(2)/25)*AV80+(1-EXP(-LN(2)/25))/(LN(2)/25)*Calculateur!AQ81*Calculateur!AS81*VLOOKUP('Données projet'!$B$10,Paramètres!$A$1:$I$89,3,0)*0.475*44/12</f>
        <v>0.88342332296306136</v>
      </c>
      <c r="AW81" s="23">
        <f>EXP(-LN(2)/2)*AW80+(1-EXP(-LN(2)/2))/(LN(2)/2)*AQ81*AT81*VLOOKUP('Données projet'!$B$10,Paramètres!$A$1:$I$89,3,0)*0.475*44/12</f>
        <v>6.5655627172532056E-5</v>
      </c>
      <c r="AX81" s="23">
        <f t="shared" si="60"/>
        <v>43.163594846089232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5.6843418860808015E-14</v>
      </c>
      <c r="BE81" s="14">
        <f>BD81*VLOOKUP('Données projet'!$B$11,Paramètres!$A$1:$I$89,3,0)*VLOOKUP('Données projet'!$B$11,Paramètres!$A$1:$I$89,5,0)</f>
        <v>4.9658410716801891E-14</v>
      </c>
      <c r="BF81" s="14">
        <f t="shared" si="91"/>
        <v>8.0934058173791862E-13</v>
      </c>
      <c r="BG81" s="22">
        <f t="shared" si="61"/>
        <v>1.4960899118586383E-12</v>
      </c>
      <c r="BH81" s="62">
        <f t="shared" si="62"/>
        <v>269.9234380344277</v>
      </c>
      <c r="BI81" s="62">
        <f ca="1">AVERAGE(OFFSET($BH$3,0,0,'Données projet'!$E$11+1,1))-AVERAGE(OFFSET($H$3,0,0,'Données projet'!$E$11+1,1))</f>
        <v>342.02279578180605</v>
      </c>
      <c r="BJ81" s="62">
        <f t="shared" si="92"/>
        <v>409.02379334777754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3.6</v>
      </c>
      <c r="BY81" s="13">
        <f>IF('Données projet'!$A$114&gt;35,BY80+BX81-CG80,IF(A81&lt;'Données projet'!$A$114,$BV$205^A81,IF(A81='Données projet'!$A$114,'Données projet'!$B$114,BY80+BX81-CG80)))</f>
        <v>321.79999999999967</v>
      </c>
      <c r="BZ81" s="14">
        <f>BY81*VLOOKUP('Données projet'!$B$12,Paramètres!$A$1:$I$89,3,0)*VLOOKUP('Données projet'!$B$12,Paramètres!$A$1:$I$89,5,0)</f>
        <v>256.02407999999974</v>
      </c>
      <c r="CA81" s="14">
        <f t="shared" si="93"/>
        <v>61.874113880213791</v>
      </c>
      <c r="CB81" s="22">
        <f t="shared" si="64"/>
        <v>553.67268767470523</v>
      </c>
      <c r="CC81" s="62">
        <f t="shared" si="65"/>
        <v>823.59612570913146</v>
      </c>
      <c r="CD81" s="62">
        <f ca="1">AVERAGE(OFFSET($CC$3,0,0,'Données projet'!$E$12+1,1))-AVERAGE(OFFSET($H$3,0,0,'Données projet'!$E$12+1,1))</f>
        <v>376.47942810265266</v>
      </c>
      <c r="CE81" s="62">
        <f t="shared" si="94"/>
        <v>362.87951024071265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6.4720656596801032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6.4720656596801032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3.6</v>
      </c>
      <c r="CT81" s="13">
        <f>IF('Données projet'!$A$140&gt;35,CT80+CS81-DB80,IF(A81&lt;'Données projet'!$A$140,$CQ$205^A81,IF(A81='Données projet'!$A$140,'Données projet'!$B$140,CT80+CS81-DB80)))</f>
        <v>321.79999999999967</v>
      </c>
      <c r="CU81" s="18">
        <f>CT81*VLOOKUP('Données projet'!$B$13,Paramètres!$A$1:$I$89,3,0)*VLOOKUP('Données projet'!$B$13,Paramètres!$A$1:$I$89,5,0)</f>
        <v>235.94375999999977</v>
      </c>
      <c r="CV81" s="14">
        <f t="shared" si="95"/>
        <v>57.565946798257798</v>
      </c>
      <c r="CW81" s="22">
        <f t="shared" si="67"/>
        <v>511.19607267363199</v>
      </c>
      <c r="CX81" s="62">
        <f t="shared" si="68"/>
        <v>781.11951070805821</v>
      </c>
      <c r="CY81" s="62">
        <f ca="1">AVERAGE(OFFSET($CX$3,0,0,'Données projet'!$E$13+1,1))-AVERAGE(OFFSET($H$3,0,0,'Données projet'!$E$13+1,1))</f>
        <v>351.7223836693733</v>
      </c>
      <c r="CZ81" s="62">
        <f t="shared" si="96"/>
        <v>339.34942976598518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4.8390842390726929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4.8390842390726929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183.33333333333334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6.3550942286383367E-14</v>
      </c>
      <c r="P82" s="14">
        <f t="shared" si="87"/>
        <v>1.0064464192543978E-12</v>
      </c>
      <c r="Q82" s="22">
        <f t="shared" si="54"/>
        <v>1.8635787380168604E-12</v>
      </c>
      <c r="R82" s="62">
        <f t="shared" si="55"/>
        <v>270.32954738117883</v>
      </c>
      <c r="S82" s="62">
        <f ca="1">AVERAGE(OFFSET($R$3,0,0,'Données projet'!$E$9+1,1))-AVERAGE(OFFSET($H$3,0,0,'Données projet'!$E$9+1,1))</f>
        <v>409.45931633551902</v>
      </c>
      <c r="T82" s="62">
        <f t="shared" si="88"/>
        <v>375.18886653687389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2.0086306133636871</v>
      </c>
      <c r="AA82" s="23">
        <f>EXP(-LN(2)/25)*AA81+(1-EXP(-LN(2)/25))/(LN(2)/25)*Calculateur!V82*Calculateur!X82*VLOOKUP('Données projet'!$B$9,Paramètres!$A$1:$I$89,3,0)*0.475*44/12</f>
        <v>4.9646319699280212</v>
      </c>
      <c r="AB82" s="23">
        <f>EXP(-LN(2)/2)*AB81+(1-EXP(-LN(2)/2))/(LN(2)/2)*V82*Y82*VLOOKUP('Données projet'!$B$9,Paramètres!$A$1:$I$89,3,0)*0.475*44/12</f>
        <v>4.8894924445374243E-7</v>
      </c>
      <c r="AC82" s="24">
        <f t="shared" si="57"/>
        <v>6.973263072240953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5.6843418860808015E-14</v>
      </c>
      <c r="AJ82" s="14">
        <f>AI82*VLOOKUP('Données projet'!$B$10,Paramètres!$A$1:$I$89,3,0)*VLOOKUP('Données projet'!$B$10,Paramètres!$A$1:$I$89,5,0)</f>
        <v>3.3992364478763198E-14</v>
      </c>
      <c r="AK82" s="14">
        <f t="shared" si="89"/>
        <v>5.790027782444094E-13</v>
      </c>
      <c r="AL82" s="22">
        <f t="shared" si="58"/>
        <v>1.0676332069095257E-12</v>
      </c>
      <c r="AM82" s="62">
        <f t="shared" si="59"/>
        <v>270.32954738117803</v>
      </c>
      <c r="AN82" s="62">
        <f ca="1">AVERAGE(OFFSET($AM$3,0,0,'Données projet'!$E$10+1,1))-AVERAGE(OFFSET($H$3,0,0,'Données projet'!$E$10+1,1))</f>
        <v>212.90262675152454</v>
      </c>
      <c r="AO82" s="62">
        <f t="shared" si="90"/>
        <v>366.51899340890498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41.451018779755536</v>
      </c>
      <c r="AV82" s="23">
        <f>EXP(-LN(2)/25)*AV81+(1-EXP(-LN(2)/25))/(LN(2)/25)*Calculateur!AQ82*Calculateur!AS82*VLOOKUP('Données projet'!$B$10,Paramètres!$A$1:$I$89,3,0)*0.475*44/12</f>
        <v>0.85926606573942299</v>
      </c>
      <c r="AW82" s="23">
        <f>EXP(-LN(2)/2)*AW81+(1-EXP(-LN(2)/2))/(LN(2)/2)*AQ82*AT82*VLOOKUP('Données projet'!$B$10,Paramètres!$A$1:$I$89,3,0)*0.475*44/12</f>
        <v>4.6425539196753168E-5</v>
      </c>
      <c r="AX82" s="23">
        <f t="shared" si="60"/>
        <v>42.310331271034158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5.6843418860808015E-14</v>
      </c>
      <c r="BE82" s="14">
        <f>BD82*VLOOKUP('Données projet'!$B$11,Paramètres!$A$1:$I$89,3,0)*VLOOKUP('Données projet'!$B$11,Paramètres!$A$1:$I$89,5,0)</f>
        <v>4.9658410716801891E-14</v>
      </c>
      <c r="BF82" s="14">
        <f t="shared" si="91"/>
        <v>8.0934058173791862E-13</v>
      </c>
      <c r="BG82" s="22">
        <f t="shared" si="61"/>
        <v>1.4960899118586383E-12</v>
      </c>
      <c r="BH82" s="62">
        <f t="shared" si="62"/>
        <v>270.32954738117843</v>
      </c>
      <c r="BI82" s="62">
        <f ca="1">AVERAGE(OFFSET($BH$3,0,0,'Données projet'!$E$11+1,1))-AVERAGE(OFFSET($H$3,0,0,'Données projet'!$E$11+1,1))</f>
        <v>342.02279578180605</v>
      </c>
      <c r="BJ82" s="62">
        <f t="shared" si="92"/>
        <v>409.02379334777754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3.6</v>
      </c>
      <c r="BY82" s="13">
        <f>IF('Données projet'!$A$114&gt;35,BY81+BX82-CG81,IF(A82&lt;'Données projet'!$A$114,$BV$205^A82,IF(A82='Données projet'!$A$114,'Données projet'!$B$114,BY81+BX82-CG81)))</f>
        <v>325.39999999999969</v>
      </c>
      <c r="BZ82" s="14">
        <f>BY82*VLOOKUP('Données projet'!$B$12,Paramètres!$A$1:$I$89,3,0)*VLOOKUP('Données projet'!$B$12,Paramètres!$A$1:$I$89,5,0)</f>
        <v>258.88823999999977</v>
      </c>
      <c r="CA82" s="14">
        <f t="shared" si="93"/>
        <v>62.485336581168717</v>
      </c>
      <c r="CB82" s="22">
        <f t="shared" si="64"/>
        <v>559.72564587886836</v>
      </c>
      <c r="CC82" s="62">
        <f t="shared" si="65"/>
        <v>830.05519326004537</v>
      </c>
      <c r="CD82" s="62">
        <f ca="1">AVERAGE(OFFSET($CC$3,0,0,'Données projet'!$E$12+1,1))-AVERAGE(OFFSET($H$3,0,0,'Données projet'!$E$12+1,1))</f>
        <v>376.47942810265266</v>
      </c>
      <c r="CE82" s="62">
        <f t="shared" si="94"/>
        <v>362.87951024071265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6.3451523996640384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6.3451523996640384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3.6</v>
      </c>
      <c r="CT82" s="13">
        <f>IF('Données projet'!$A$140&gt;35,CT81+CS82-DB81,IF(A82&lt;'Données projet'!$A$140,$CQ$205^A82,IF(A82='Données projet'!$A$140,'Données projet'!$B$140,CT81+CS82-DB81)))</f>
        <v>325.39999999999969</v>
      </c>
      <c r="CU82" s="18">
        <f>CT82*VLOOKUP('Données projet'!$B$13,Paramètres!$A$1:$I$89,3,0)*VLOOKUP('Données projet'!$B$13,Paramètres!$A$1:$I$89,5,0)</f>
        <v>238.58327999999977</v>
      </c>
      <c r="CV82" s="14">
        <f t="shared" si="95"/>
        <v>58.134611321731605</v>
      </c>
      <c r="CW82" s="22">
        <f t="shared" si="67"/>
        <v>516.78366071868209</v>
      </c>
      <c r="CX82" s="62">
        <f t="shared" si="68"/>
        <v>787.11320809985909</v>
      </c>
      <c r="CY82" s="62">
        <f ca="1">AVERAGE(OFFSET($CX$3,0,0,'Données projet'!$E$13+1,1))-AVERAGE(OFFSET($H$3,0,0,'Données projet'!$E$13+1,1))</f>
        <v>351.7223836693733</v>
      </c>
      <c r="CZ82" s="62">
        <f t="shared" si="96"/>
        <v>339.34942976598518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4.744192748694422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4.744192748694422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183.33333333333334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6.3550942286383367E-14</v>
      </c>
      <c r="P83" s="14">
        <f t="shared" si="87"/>
        <v>1.0064464192543978E-12</v>
      </c>
      <c r="Q83" s="22">
        <f t="shared" si="54"/>
        <v>1.8635787380168604E-12</v>
      </c>
      <c r="R83" s="62">
        <f t="shared" si="55"/>
        <v>270.72861163868799</v>
      </c>
      <c r="S83" s="62">
        <f ca="1">AVERAGE(OFFSET($R$3,0,0,'Données projet'!$E$9+1,1))-AVERAGE(OFFSET($H$3,0,0,'Données projet'!$E$9+1,1))</f>
        <v>409.45931633551902</v>
      </c>
      <c r="T83" s="62">
        <f t="shared" si="88"/>
        <v>375.18886653687389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1.9692425921793264</v>
      </c>
      <c r="AA83" s="23">
        <f>EXP(-LN(2)/25)*AA82+(1-EXP(-LN(2)/25))/(LN(2)/25)*Calculateur!V83*Calculateur!X83*VLOOKUP('Données projet'!$B$9,Paramètres!$A$1:$I$89,3,0)*0.475*44/12</f>
        <v>4.8288738476316908</v>
      </c>
      <c r="AB83" s="23">
        <f>EXP(-LN(2)/2)*AB82+(1-EXP(-LN(2)/2))/(LN(2)/2)*V83*Y83*VLOOKUP('Données projet'!$B$9,Paramètres!$A$1:$I$89,3,0)*0.475*44/12</f>
        <v>3.4573932640928019E-7</v>
      </c>
      <c r="AC83" s="24">
        <f t="shared" si="57"/>
        <v>6.7981167855503433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5.6843418860808015E-14</v>
      </c>
      <c r="AJ83" s="14">
        <f>AI83*VLOOKUP('Données projet'!$B$10,Paramètres!$A$1:$I$89,3,0)*VLOOKUP('Données projet'!$B$10,Paramètres!$A$1:$I$89,5,0)</f>
        <v>3.3992364478763198E-14</v>
      </c>
      <c r="AK83" s="14">
        <f t="shared" si="89"/>
        <v>5.790027782444094E-13</v>
      </c>
      <c r="AL83" s="22">
        <f t="shared" si="58"/>
        <v>1.0676332069095257E-12</v>
      </c>
      <c r="AM83" s="62">
        <f t="shared" si="59"/>
        <v>270.7286116386872</v>
      </c>
      <c r="AN83" s="62">
        <f ca="1">AVERAGE(OFFSET($AM$3,0,0,'Données projet'!$E$10+1,1))-AVERAGE(OFFSET($H$3,0,0,'Données projet'!$E$10+1,1))</f>
        <v>212.90262675152454</v>
      </c>
      <c r="AO83" s="62">
        <f t="shared" si="90"/>
        <v>366.51899340890498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40.638189584109533</v>
      </c>
      <c r="AV83" s="23">
        <f>EXP(-LN(2)/25)*AV82+(1-EXP(-LN(2)/25))/(LN(2)/25)*Calculateur!AQ83*Calculateur!AS83*VLOOKUP('Données projet'!$B$10,Paramètres!$A$1:$I$89,3,0)*0.475*44/12</f>
        <v>0.83576938998493999</v>
      </c>
      <c r="AW83" s="23">
        <f>EXP(-LN(2)/2)*AW82+(1-EXP(-LN(2)/2))/(LN(2)/2)*AQ83*AT83*VLOOKUP('Données projet'!$B$10,Paramètres!$A$1:$I$89,3,0)*0.475*44/12</f>
        <v>3.2827813586266028E-5</v>
      </c>
      <c r="AX83" s="23">
        <f t="shared" si="60"/>
        <v>41.473991801908056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5.6843418860808015E-14</v>
      </c>
      <c r="BE83" s="14">
        <f>BD83*VLOOKUP('Données projet'!$B$11,Paramètres!$A$1:$I$89,3,0)*VLOOKUP('Données projet'!$B$11,Paramètres!$A$1:$I$89,5,0)</f>
        <v>4.9658410716801891E-14</v>
      </c>
      <c r="BF83" s="14">
        <f t="shared" si="91"/>
        <v>8.0934058173791862E-13</v>
      </c>
      <c r="BG83" s="22">
        <f t="shared" si="61"/>
        <v>1.4960899118586383E-12</v>
      </c>
      <c r="BH83" s="62">
        <f t="shared" si="62"/>
        <v>270.7286116386876</v>
      </c>
      <c r="BI83" s="62">
        <f ca="1">AVERAGE(OFFSET($BH$3,0,0,'Données projet'!$E$11+1,1))-AVERAGE(OFFSET($H$3,0,0,'Données projet'!$E$11+1,1))</f>
        <v>342.02279578180605</v>
      </c>
      <c r="BJ83" s="62">
        <f t="shared" si="92"/>
        <v>409.02379334777754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329</v>
      </c>
      <c r="BW83" s="13">
        <f>VLOOKUP(A83,'Données projet'!$A$113:$I$133,9,0)</f>
        <v>3.6</v>
      </c>
      <c r="BX83" s="13">
        <f t="array" ref="BX83">INDEX(BW:BW,MIN(IF(ISNUMBER(BW83:BW279),ROW(BW83:BW279),"")))</f>
        <v>3.6</v>
      </c>
      <c r="BY83" s="13">
        <f>IF('Données projet'!$A$114&gt;35,BY82+BX83-CG82,IF(A83&lt;'Données projet'!$A$114,$BV$205^A83,IF(A83='Données projet'!$A$114,'Données projet'!$B$114,BY82+BX83-CG82)))</f>
        <v>328.99999999999972</v>
      </c>
      <c r="BZ83" s="14">
        <f>BY83*VLOOKUP('Données projet'!$B$12,Paramètres!$A$1:$I$89,3,0)*VLOOKUP('Données projet'!$B$12,Paramètres!$A$1:$I$89,5,0)</f>
        <v>261.7523999999998</v>
      </c>
      <c r="CA83" s="14">
        <f t="shared" si="93"/>
        <v>63.095772658160975</v>
      </c>
      <c r="CB83" s="22">
        <f t="shared" si="64"/>
        <v>565.7772340462966</v>
      </c>
      <c r="CC83" s="62">
        <f t="shared" si="65"/>
        <v>836.50584568498266</v>
      </c>
      <c r="CD83" s="62">
        <f ca="1">AVERAGE(OFFSET($CC$3,0,0,'Données projet'!$E$12+1,1))-AVERAGE(OFFSET($H$3,0,0,'Données projet'!$E$12+1,1))</f>
        <v>376.47942810265266</v>
      </c>
      <c r="CE83" s="62">
        <f t="shared" si="94"/>
        <v>362.87951024071265</v>
      </c>
      <c r="CF83" s="16">
        <f>IF(ISNA(VLOOKUP(A83,'Données projet'!$A$113:$I$133,3,0)),0,VLOOKUP(A83,'Données projet'!$A$113:$I$133,3,0))</f>
        <v>15</v>
      </c>
      <c r="CG83" s="16">
        <f>IF(ISNA(VLOOKUP(A83,'Données projet'!$A$113:$I$133,4,0)),0,VLOOKUP(A83,'Données projet'!$A$113:$I$133,4,0))</f>
        <v>11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6.2207278312674434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6.2207278312674434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329</v>
      </c>
      <c r="CR83" s="13">
        <f>VLOOKUP(A83,'Données projet'!$A$139:$I$159,9,0)</f>
        <v>3.6</v>
      </c>
      <c r="CS83" s="13">
        <f t="array" ref="CS83">INDEX(CR:CR,MIN(IF(ISNUMBER(CR83:CR279),ROW(CR83:CR279),"")))</f>
        <v>3.6</v>
      </c>
      <c r="CT83" s="13">
        <f>IF('Données projet'!$A$140&gt;35,CT82+CS83-DB82,IF(A83&lt;'Données projet'!$A$140,$CQ$205^A83,IF(A83='Données projet'!$A$140,'Données projet'!$B$140,CT82+CS83-DB82)))</f>
        <v>328.99999999999972</v>
      </c>
      <c r="CU83" s="18">
        <f>CT83*VLOOKUP('Données projet'!$B$13,Paramètres!$A$1:$I$89,3,0)*VLOOKUP('Données projet'!$B$13,Paramètres!$A$1:$I$89,5,0)</f>
        <v>241.22279999999978</v>
      </c>
      <c r="CV83" s="14">
        <f t="shared" si="95"/>
        <v>58.702543992248778</v>
      </c>
      <c r="CW83" s="22">
        <f t="shared" si="67"/>
        <v>522.36997411983293</v>
      </c>
      <c r="CX83" s="62">
        <f t="shared" si="68"/>
        <v>793.09858575851899</v>
      </c>
      <c r="CY83" s="62">
        <f ca="1">AVERAGE(OFFSET($CX$3,0,0,'Données projet'!$E$13+1,1))-AVERAGE(OFFSET($H$3,0,0,'Données projet'!$E$13+1,1))</f>
        <v>351.7223836693733</v>
      </c>
      <c r="CZ83" s="62">
        <f t="shared" si="96"/>
        <v>339.34942976598518</v>
      </c>
      <c r="DA83" s="16">
        <f>IF(ISNA(VLOOKUP(A83,'Données projet'!$A$139:$I$159,3,0)),0,VLOOKUP(A83,'Données projet'!$A$139:$I$159,3,0))</f>
        <v>15</v>
      </c>
      <c r="DB83" s="16">
        <f>IF(ISNA(VLOOKUP(A83,'Données projet'!$A$139:$I$159,4,0)),0,VLOOKUP(A83,'Données projet'!$A$139:$I$159,4,0))</f>
        <v>11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4.6511620225643746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4.6511620225643746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183.33333333333334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6.3550942286383367E-14</v>
      </c>
      <c r="P84" s="14">
        <f t="shared" si="87"/>
        <v>1.0064464192543978E-12</v>
      </c>
      <c r="Q84" s="22">
        <f t="shared" si="54"/>
        <v>1.8635787380168604E-12</v>
      </c>
      <c r="R84" s="62">
        <f t="shared" si="55"/>
        <v>271.12075302350331</v>
      </c>
      <c r="S84" s="62">
        <f ca="1">AVERAGE(OFFSET($R$3,0,0,'Données projet'!$E$9+1,1))-AVERAGE(OFFSET($H$3,0,0,'Données projet'!$E$9+1,1))</f>
        <v>409.45931633551902</v>
      </c>
      <c r="T84" s="62">
        <f t="shared" si="88"/>
        <v>375.18886653687389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1.9306269460660703</v>
      </c>
      <c r="AA84" s="23">
        <f>EXP(-LN(2)/25)*AA83+(1-EXP(-LN(2)/25))/(LN(2)/25)*Calculateur!V84*Calculateur!X84*VLOOKUP('Données projet'!$B$9,Paramètres!$A$1:$I$89,3,0)*0.475*44/12</f>
        <v>4.6968280383287633</v>
      </c>
      <c r="AB84" s="23">
        <f>EXP(-LN(2)/2)*AB83+(1-EXP(-LN(2)/2))/(LN(2)/2)*V84*Y84*VLOOKUP('Données projet'!$B$9,Paramètres!$A$1:$I$89,3,0)*0.475*44/12</f>
        <v>2.4447462222687121E-7</v>
      </c>
      <c r="AC84" s="24">
        <f t="shared" si="57"/>
        <v>6.6274552288694553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5.6843418860808015E-14</v>
      </c>
      <c r="AJ84" s="14">
        <f>AI84*VLOOKUP('Données projet'!$B$10,Paramètres!$A$1:$I$89,3,0)*VLOOKUP('Données projet'!$B$10,Paramètres!$A$1:$I$89,5,0)</f>
        <v>3.3992364478763198E-14</v>
      </c>
      <c r="AK84" s="14">
        <f t="shared" si="89"/>
        <v>5.790027782444094E-13</v>
      </c>
      <c r="AL84" s="22">
        <f t="shared" si="58"/>
        <v>1.0676332069095257E-12</v>
      </c>
      <c r="AM84" s="62">
        <f t="shared" si="59"/>
        <v>271.12075302350252</v>
      </c>
      <c r="AN84" s="62">
        <f ca="1">AVERAGE(OFFSET($AM$3,0,0,'Données projet'!$E$10+1,1))-AVERAGE(OFFSET($H$3,0,0,'Données projet'!$E$10+1,1))</f>
        <v>212.90262675152454</v>
      </c>
      <c r="AO84" s="62">
        <f t="shared" si="90"/>
        <v>366.51899340890498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39.84129947321329</v>
      </c>
      <c r="AV84" s="23">
        <f>EXP(-LN(2)/25)*AV83+(1-EXP(-LN(2)/25))/(LN(2)/25)*Calculateur!AQ84*Calculateur!AS84*VLOOKUP('Données projet'!$B$10,Paramètres!$A$1:$I$89,3,0)*0.475*44/12</f>
        <v>0.81291523206459981</v>
      </c>
      <c r="AW84" s="23">
        <f>EXP(-LN(2)/2)*AW83+(1-EXP(-LN(2)/2))/(LN(2)/2)*AQ84*AT84*VLOOKUP('Données projet'!$B$10,Paramètres!$A$1:$I$89,3,0)*0.475*44/12</f>
        <v>2.3212769598376584E-5</v>
      </c>
      <c r="AX84" s="23">
        <f t="shared" si="60"/>
        <v>40.654237918047485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5.6843418860808015E-14</v>
      </c>
      <c r="BE84" s="14">
        <f>BD84*VLOOKUP('Données projet'!$B$11,Paramètres!$A$1:$I$89,3,0)*VLOOKUP('Données projet'!$B$11,Paramètres!$A$1:$I$89,5,0)</f>
        <v>4.9658410716801891E-14</v>
      </c>
      <c r="BF84" s="14">
        <f t="shared" si="91"/>
        <v>8.0934058173791862E-13</v>
      </c>
      <c r="BG84" s="22">
        <f t="shared" si="61"/>
        <v>1.4960899118586383E-12</v>
      </c>
      <c r="BH84" s="62">
        <f t="shared" si="62"/>
        <v>271.12075302350291</v>
      </c>
      <c r="BI84" s="62">
        <f ca="1">AVERAGE(OFFSET($BH$3,0,0,'Données projet'!$E$11+1,1))-AVERAGE(OFFSET($H$3,0,0,'Données projet'!$E$11+1,1))</f>
        <v>342.02279578180605</v>
      </c>
      <c r="BJ84" s="62">
        <f t="shared" si="92"/>
        <v>409.02379334777754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317.99999999999972</v>
      </c>
      <c r="BZ84" s="14">
        <f>BY84*VLOOKUP('Données projet'!$B$12,Paramètres!$A$1:$I$89,3,0)*VLOOKUP('Données projet'!$B$12,Paramètres!$A$1:$I$89,5,0)</f>
        <v>253.0007999999998</v>
      </c>
      <c r="CA84" s="14">
        <f t="shared" si="93"/>
        <v>61.228070105968683</v>
      </c>
      <c r="CB84" s="22">
        <f t="shared" si="64"/>
        <v>547.28194876789507</v>
      </c>
      <c r="CC84" s="62">
        <f t="shared" si="65"/>
        <v>818.40270179139657</v>
      </c>
      <c r="CD84" s="62">
        <f ca="1">AVERAGE(OFFSET($CC$3,0,0,'Données projet'!$E$12+1,1))-AVERAGE(OFFSET($H$3,0,0,'Données projet'!$E$12+1,1))</f>
        <v>376.47942810265266</v>
      </c>
      <c r="CE84" s="62">
        <f t="shared" si="94"/>
        <v>362.87951024071265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6.0987431527656133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6.0987431527656133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317.99999999999972</v>
      </c>
      <c r="CU84" s="18">
        <f>CT84*VLOOKUP('Données projet'!$B$13,Paramètres!$A$1:$I$89,3,0)*VLOOKUP('Données projet'!$B$13,Paramètres!$A$1:$I$89,5,0)</f>
        <v>233.1575999999998</v>
      </c>
      <c r="CV84" s="14">
        <f t="shared" si="95"/>
        <v>56.964885721091697</v>
      </c>
      <c r="CW84" s="22">
        <f t="shared" si="67"/>
        <v>505.29666263090093</v>
      </c>
      <c r="CX84" s="62">
        <f t="shared" si="68"/>
        <v>776.41741565440236</v>
      </c>
      <c r="CY84" s="62">
        <f ca="1">AVERAGE(OFFSET($CX$3,0,0,'Données projet'!$E$13+1,1))-AVERAGE(OFFSET($H$3,0,0,'Données projet'!$E$13+1,1))</f>
        <v>351.7223836693733</v>
      </c>
      <c r="CZ84" s="62">
        <f t="shared" si="96"/>
        <v>339.34942976598518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4.5599555722305976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4.5599555722305976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183.33333333333334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6.3550942286383367E-14</v>
      </c>
      <c r="P85" s="14">
        <f t="shared" si="87"/>
        <v>1.0064464192543978E-12</v>
      </c>
      <c r="Q85" s="22">
        <f t="shared" si="54"/>
        <v>1.8635787380168604E-12</v>
      </c>
      <c r="R85" s="62">
        <f t="shared" si="55"/>
        <v>271.50609163198891</v>
      </c>
      <c r="S85" s="62">
        <f ca="1">AVERAGE(OFFSET($R$3,0,0,'Données projet'!$E$9+1,1))-AVERAGE(OFFSET($H$3,0,0,'Données projet'!$E$9+1,1))</f>
        <v>409.45931633551902</v>
      </c>
      <c r="T85" s="62">
        <f t="shared" si="88"/>
        <v>375.18886653687389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1.8927685292198768</v>
      </c>
      <c r="AA85" s="23">
        <f>EXP(-LN(2)/25)*AA84+(1-EXP(-LN(2)/25))/(LN(2)/25)*Calculateur!V85*Calculateur!X85*VLOOKUP('Données projet'!$B$9,Paramètres!$A$1:$I$89,3,0)*0.475*44/12</f>
        <v>4.568393028625211</v>
      </c>
      <c r="AB85" s="23">
        <f>EXP(-LN(2)/2)*AB84+(1-EXP(-LN(2)/2))/(LN(2)/2)*V85*Y85*VLOOKUP('Données projet'!$B$9,Paramètres!$A$1:$I$89,3,0)*0.475*44/12</f>
        <v>1.728696632046401E-7</v>
      </c>
      <c r="AC85" s="24">
        <f t="shared" si="57"/>
        <v>6.4611617307147515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5.6843418860808015E-14</v>
      </c>
      <c r="AJ85" s="14">
        <f>AI85*VLOOKUP('Données projet'!$B$10,Paramètres!$A$1:$I$89,3,0)*VLOOKUP('Données projet'!$B$10,Paramètres!$A$1:$I$89,5,0)</f>
        <v>3.3992364478763198E-14</v>
      </c>
      <c r="AK85" s="14">
        <f t="shared" si="89"/>
        <v>5.790027782444094E-13</v>
      </c>
      <c r="AL85" s="22">
        <f t="shared" si="58"/>
        <v>1.0676332069095257E-12</v>
      </c>
      <c r="AM85" s="62">
        <f t="shared" si="59"/>
        <v>271.50609163198811</v>
      </c>
      <c r="AN85" s="62">
        <f ca="1">AVERAGE(OFFSET($AM$3,0,0,'Données projet'!$E$10+1,1))-AVERAGE(OFFSET($H$3,0,0,'Données projet'!$E$10+1,1))</f>
        <v>212.90262675152454</v>
      </c>
      <c r="AO85" s="62">
        <f t="shared" si="90"/>
        <v>366.51899340890498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39.060035891336753</v>
      </c>
      <c r="AV85" s="23">
        <f>EXP(-LN(2)/25)*AV84+(1-EXP(-LN(2)/25))/(LN(2)/25)*Calculateur!AQ85*Calculateur!AS85*VLOOKUP('Données projet'!$B$10,Paramètres!$A$1:$I$89,3,0)*0.475*44/12</f>
        <v>0.79068602229443918</v>
      </c>
      <c r="AW85" s="23">
        <f>EXP(-LN(2)/2)*AW84+(1-EXP(-LN(2)/2))/(LN(2)/2)*AQ85*AT85*VLOOKUP('Données projet'!$B$10,Paramètres!$A$1:$I$89,3,0)*0.475*44/12</f>
        <v>1.6413906793133014E-5</v>
      </c>
      <c r="AX85" s="23">
        <f t="shared" si="60"/>
        <v>39.850738327537982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5.6843418860808015E-14</v>
      </c>
      <c r="BE85" s="14">
        <f>BD85*VLOOKUP('Données projet'!$B$11,Paramètres!$A$1:$I$89,3,0)*VLOOKUP('Données projet'!$B$11,Paramètres!$A$1:$I$89,5,0)</f>
        <v>4.9658410716801891E-14</v>
      </c>
      <c r="BF85" s="14">
        <f t="shared" si="91"/>
        <v>8.0934058173791862E-13</v>
      </c>
      <c r="BG85" s="22">
        <f t="shared" si="61"/>
        <v>1.4960899118586383E-12</v>
      </c>
      <c r="BH85" s="62">
        <f t="shared" si="62"/>
        <v>271.50609163198851</v>
      </c>
      <c r="BI85" s="62">
        <f ca="1">AVERAGE(OFFSET($BH$3,0,0,'Données projet'!$E$11+1,1))-AVERAGE(OFFSET($H$3,0,0,'Données projet'!$E$11+1,1))</f>
        <v>342.02279578180605</v>
      </c>
      <c r="BJ85" s="62">
        <f t="shared" si="92"/>
        <v>409.02379334777754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317.99999999999972</v>
      </c>
      <c r="BZ85" s="14">
        <f>BY85*VLOOKUP('Données projet'!$B$12,Paramètres!$A$1:$I$89,3,0)*VLOOKUP('Données projet'!$B$12,Paramètres!$A$1:$I$89,5,0)</f>
        <v>253.0007999999998</v>
      </c>
      <c r="CA85" s="14">
        <f t="shared" si="93"/>
        <v>61.228070105968683</v>
      </c>
      <c r="CB85" s="22">
        <f t="shared" si="64"/>
        <v>547.28194876789507</v>
      </c>
      <c r="CC85" s="62">
        <f t="shared" si="65"/>
        <v>818.78804039988211</v>
      </c>
      <c r="CD85" s="62">
        <f ca="1">AVERAGE(OFFSET($CC$3,0,0,'Données projet'!$E$12+1,1))-AVERAGE(OFFSET($H$3,0,0,'Données projet'!$E$12+1,1))</f>
        <v>376.47942810265266</v>
      </c>
      <c r="CE85" s="62">
        <f t="shared" si="94"/>
        <v>362.87951024071265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5.9791505194058967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5.9791505194058967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317.99999999999972</v>
      </c>
      <c r="CU85" s="18">
        <f>CT85*VLOOKUP('Données projet'!$B$13,Paramètres!$A$1:$I$89,3,0)*VLOOKUP('Données projet'!$B$13,Paramètres!$A$1:$I$89,5,0)</f>
        <v>233.1575999999998</v>
      </c>
      <c r="CV85" s="14">
        <f t="shared" si="95"/>
        <v>56.964885721091697</v>
      </c>
      <c r="CW85" s="22">
        <f t="shared" si="67"/>
        <v>505.29666263090093</v>
      </c>
      <c r="CX85" s="62">
        <f t="shared" si="68"/>
        <v>776.8027542628879</v>
      </c>
      <c r="CY85" s="62">
        <f ca="1">AVERAGE(OFFSET($CX$3,0,0,'Données projet'!$E$13+1,1))-AVERAGE(OFFSET($H$3,0,0,'Données projet'!$E$13+1,1))</f>
        <v>351.7223836693733</v>
      </c>
      <c r="CZ85" s="62">
        <f t="shared" si="96"/>
        <v>339.34942976598518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4.4705376247574238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4.4705376247574238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183.33333333333334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6.3550942286383367E-14</v>
      </c>
      <c r="P86" s="14">
        <f t="shared" si="87"/>
        <v>1.0064464192543978E-12</v>
      </c>
      <c r="Q86" s="22">
        <f t="shared" si="54"/>
        <v>1.8635787380168604E-12</v>
      </c>
      <c r="R86" s="62">
        <f t="shared" si="55"/>
        <v>271.88474547710535</v>
      </c>
      <c r="S86" s="62">
        <f ca="1">AVERAGE(OFFSET($R$3,0,0,'Données projet'!$E$9+1,1))-AVERAGE(OFFSET($H$3,0,0,'Données projet'!$E$9+1,1))</f>
        <v>409.45931633551902</v>
      </c>
      <c r="T86" s="62">
        <f t="shared" si="88"/>
        <v>375.18886653687389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1.8556524928366829</v>
      </c>
      <c r="AA86" s="23">
        <f>EXP(-LN(2)/25)*AA85+(1-EXP(-LN(2)/25))/(LN(2)/25)*Calculateur!V86*Calculateur!X86*VLOOKUP('Données projet'!$B$9,Paramètres!$A$1:$I$89,3,0)*0.475*44/12</f>
        <v>4.4434700810161063</v>
      </c>
      <c r="AB86" s="23">
        <f>EXP(-LN(2)/2)*AB85+(1-EXP(-LN(2)/2))/(LN(2)/2)*V86*Y86*VLOOKUP('Données projet'!$B$9,Paramètres!$A$1:$I$89,3,0)*0.475*44/12</f>
        <v>1.2223731111343561E-7</v>
      </c>
      <c r="AC86" s="24">
        <f t="shared" si="57"/>
        <v>6.2991226960900999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5.6843418860808015E-14</v>
      </c>
      <c r="AJ86" s="14">
        <f>AI86*VLOOKUP('Données projet'!$B$10,Paramètres!$A$1:$I$89,3,0)*VLOOKUP('Données projet'!$B$10,Paramètres!$A$1:$I$89,5,0)</f>
        <v>3.3992364478763198E-14</v>
      </c>
      <c r="AK86" s="14">
        <f t="shared" si="89"/>
        <v>5.790027782444094E-13</v>
      </c>
      <c r="AL86" s="22">
        <f t="shared" si="58"/>
        <v>1.0676332069095257E-12</v>
      </c>
      <c r="AM86" s="62">
        <f t="shared" si="59"/>
        <v>271.88474547710456</v>
      </c>
      <c r="AN86" s="62">
        <f ca="1">AVERAGE(OFFSET($AM$3,0,0,'Données projet'!$E$10+1,1))-AVERAGE(OFFSET($H$3,0,0,'Données projet'!$E$10+1,1))</f>
        <v>212.90262675152454</v>
      </c>
      <c r="AO86" s="62">
        <f t="shared" si="90"/>
        <v>366.51899340890498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38.294092411777079</v>
      </c>
      <c r="AV86" s="23">
        <f>EXP(-LN(2)/25)*AV85+(1-EXP(-LN(2)/25))/(LN(2)/25)*Calculateur!AQ86*Calculateur!AS86*VLOOKUP('Données projet'!$B$10,Paramètres!$A$1:$I$89,3,0)*0.475*44/12</f>
        <v>0.76906467143442692</v>
      </c>
      <c r="AW86" s="23">
        <f>EXP(-LN(2)/2)*AW85+(1-EXP(-LN(2)/2))/(LN(2)/2)*AQ86*AT86*VLOOKUP('Données projet'!$B$10,Paramètres!$A$1:$I$89,3,0)*0.475*44/12</f>
        <v>1.1606384799188292E-5</v>
      </c>
      <c r="AX86" s="23">
        <f t="shared" si="60"/>
        <v>39.06316868959631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5.6843418860808015E-14</v>
      </c>
      <c r="BE86" s="14">
        <f>BD86*VLOOKUP('Données projet'!$B$11,Paramètres!$A$1:$I$89,3,0)*VLOOKUP('Données projet'!$B$11,Paramètres!$A$1:$I$89,5,0)</f>
        <v>4.9658410716801891E-14</v>
      </c>
      <c r="BF86" s="14">
        <f t="shared" si="91"/>
        <v>8.0934058173791862E-13</v>
      </c>
      <c r="BG86" s="22">
        <f t="shared" si="61"/>
        <v>1.4960899118586383E-12</v>
      </c>
      <c r="BH86" s="62">
        <f t="shared" si="62"/>
        <v>271.88474547710496</v>
      </c>
      <c r="BI86" s="62">
        <f ca="1">AVERAGE(OFFSET($BH$3,0,0,'Données projet'!$E$11+1,1))-AVERAGE(OFFSET($H$3,0,0,'Données projet'!$E$11+1,1))</f>
        <v>342.02279578180605</v>
      </c>
      <c r="BJ86" s="62">
        <f t="shared" si="92"/>
        <v>409.02379334777754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317.99999999999972</v>
      </c>
      <c r="BZ86" s="14">
        <f>BY86*VLOOKUP('Données projet'!$B$12,Paramètres!$A$1:$I$89,3,0)*VLOOKUP('Données projet'!$B$12,Paramètres!$A$1:$I$89,5,0)</f>
        <v>253.0007999999998</v>
      </c>
      <c r="CA86" s="14">
        <f t="shared" si="93"/>
        <v>61.228070105968683</v>
      </c>
      <c r="CB86" s="22">
        <f t="shared" si="64"/>
        <v>547.28194876789507</v>
      </c>
      <c r="CC86" s="62">
        <f t="shared" si="65"/>
        <v>819.16669424499855</v>
      </c>
      <c r="CD86" s="62">
        <f ca="1">AVERAGE(OFFSET($CC$3,0,0,'Données projet'!$E$12+1,1))-AVERAGE(OFFSET($H$3,0,0,'Données projet'!$E$12+1,1))</f>
        <v>376.47942810265266</v>
      </c>
      <c r="CE86" s="62">
        <f t="shared" si="94"/>
        <v>362.87951024071265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5.8619030246420607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5.8619030246420607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317.99999999999972</v>
      </c>
      <c r="CU86" s="18">
        <f>CT86*VLOOKUP('Données projet'!$B$13,Paramètres!$A$1:$I$89,3,0)*VLOOKUP('Données projet'!$B$13,Paramètres!$A$1:$I$89,5,0)</f>
        <v>233.1575999999998</v>
      </c>
      <c r="CV86" s="14">
        <f t="shared" si="95"/>
        <v>56.964885721091697</v>
      </c>
      <c r="CW86" s="22">
        <f t="shared" si="67"/>
        <v>505.29666263090093</v>
      </c>
      <c r="CX86" s="62">
        <f t="shared" si="68"/>
        <v>777.18140810800446</v>
      </c>
      <c r="CY86" s="62">
        <f ca="1">AVERAGE(OFFSET($CX$3,0,0,'Données projet'!$E$13+1,1))-AVERAGE(OFFSET($H$3,0,0,'Données projet'!$E$13+1,1))</f>
        <v>351.7223836693733</v>
      </c>
      <c r="CZ86" s="62">
        <f t="shared" si="96"/>
        <v>339.34942976598518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4.3828731086946364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4.3828731086946364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183.33333333333334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6.3550942286383367E-14</v>
      </c>
      <c r="P87" s="14">
        <f t="shared" si="87"/>
        <v>1.0064464192543978E-12</v>
      </c>
      <c r="Q87" s="22">
        <f t="shared" si="54"/>
        <v>1.8635787380168604E-12</v>
      </c>
      <c r="R87" s="62">
        <f t="shared" si="55"/>
        <v>272.25683052455219</v>
      </c>
      <c r="S87" s="62">
        <f ca="1">AVERAGE(OFFSET($R$3,0,0,'Données projet'!$E$9+1,1))-AVERAGE(OFFSET($H$3,0,0,'Données projet'!$E$9+1,1))</f>
        <v>409.45931633551902</v>
      </c>
      <c r="T87" s="62">
        <f t="shared" si="88"/>
        <v>375.18886653687389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1.8192642792884166</v>
      </c>
      <c r="AA87" s="23">
        <f>EXP(-LN(2)/25)*AA86+(1-EXP(-LN(2)/25))/(LN(2)/25)*Calculateur!V87*Calculateur!X87*VLOOKUP('Données projet'!$B$9,Paramètres!$A$1:$I$89,3,0)*0.475*44/12</f>
        <v>4.3219631579787849</v>
      </c>
      <c r="AB87" s="23">
        <f>EXP(-LN(2)/2)*AB86+(1-EXP(-LN(2)/2))/(LN(2)/2)*V87*Y87*VLOOKUP('Données projet'!$B$9,Paramètres!$A$1:$I$89,3,0)*0.475*44/12</f>
        <v>8.6434831602320048E-8</v>
      </c>
      <c r="AC87" s="24">
        <f t="shared" si="57"/>
        <v>6.1412275237020335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5.6843418860808015E-14</v>
      </c>
      <c r="AJ87" s="14">
        <f>AI87*VLOOKUP('Données projet'!$B$10,Paramètres!$A$1:$I$89,3,0)*VLOOKUP('Données projet'!$B$10,Paramètres!$A$1:$I$89,5,0)</f>
        <v>3.3992364478763198E-14</v>
      </c>
      <c r="AK87" s="14">
        <f t="shared" si="89"/>
        <v>5.790027782444094E-13</v>
      </c>
      <c r="AL87" s="22">
        <f t="shared" si="58"/>
        <v>1.0676332069095257E-12</v>
      </c>
      <c r="AM87" s="62">
        <f t="shared" si="59"/>
        <v>272.25683052455139</v>
      </c>
      <c r="AN87" s="62">
        <f ca="1">AVERAGE(OFFSET($AM$3,0,0,'Données projet'!$E$10+1,1))-AVERAGE(OFFSET($H$3,0,0,'Données projet'!$E$10+1,1))</f>
        <v>212.90262675152454</v>
      </c>
      <c r="AO87" s="62">
        <f t="shared" si="90"/>
        <v>366.51899340890498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37.543168616672183</v>
      </c>
      <c r="AV87" s="23">
        <f>EXP(-LN(2)/25)*AV86+(1-EXP(-LN(2)/25))/(LN(2)/25)*Calculateur!AQ87*Calculateur!AS87*VLOOKUP('Données projet'!$B$10,Paramètres!$A$1:$I$89,3,0)*0.475*44/12</f>
        <v>0.74803455755069914</v>
      </c>
      <c r="AW87" s="23">
        <f>EXP(-LN(2)/2)*AW86+(1-EXP(-LN(2)/2))/(LN(2)/2)*AQ87*AT87*VLOOKUP('Données projet'!$B$10,Paramètres!$A$1:$I$89,3,0)*0.475*44/12</f>
        <v>8.2069533965665069E-6</v>
      </c>
      <c r="AX87" s="23">
        <f t="shared" si="60"/>
        <v>38.291211381176275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5.6843418860808015E-14</v>
      </c>
      <c r="BE87" s="14">
        <f>BD87*VLOOKUP('Données projet'!$B$11,Paramètres!$A$1:$I$89,3,0)*VLOOKUP('Données projet'!$B$11,Paramètres!$A$1:$I$89,5,0)</f>
        <v>4.9658410716801891E-14</v>
      </c>
      <c r="BF87" s="14">
        <f t="shared" si="91"/>
        <v>8.0934058173791862E-13</v>
      </c>
      <c r="BG87" s="22">
        <f t="shared" si="61"/>
        <v>1.4960899118586383E-12</v>
      </c>
      <c r="BH87" s="62">
        <f t="shared" si="62"/>
        <v>272.25683052455179</v>
      </c>
      <c r="BI87" s="62">
        <f ca="1">AVERAGE(OFFSET($BH$3,0,0,'Données projet'!$E$11+1,1))-AVERAGE(OFFSET($H$3,0,0,'Données projet'!$E$11+1,1))</f>
        <v>342.02279578180605</v>
      </c>
      <c r="BJ87" s="62">
        <f t="shared" si="92"/>
        <v>409.02379334777754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317.99999999999972</v>
      </c>
      <c r="BZ87" s="14">
        <f>BY87*VLOOKUP('Données projet'!$B$12,Paramètres!$A$1:$I$89,3,0)*VLOOKUP('Données projet'!$B$12,Paramètres!$A$1:$I$89,5,0)</f>
        <v>253.0007999999998</v>
      </c>
      <c r="CA87" s="14">
        <f t="shared" si="93"/>
        <v>61.228070105968683</v>
      </c>
      <c r="CB87" s="22">
        <f t="shared" si="64"/>
        <v>547.28194876789507</v>
      </c>
      <c r="CC87" s="62">
        <f t="shared" si="65"/>
        <v>819.53877929244538</v>
      </c>
      <c r="CD87" s="62">
        <f ca="1">AVERAGE(OFFSET($CC$3,0,0,'Données projet'!$E$12+1,1))-AVERAGE(OFFSET($H$3,0,0,'Données projet'!$E$12+1,1))</f>
        <v>376.47942810265266</v>
      </c>
      <c r="CE87" s="62">
        <f t="shared" si="94"/>
        <v>362.87951024071265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5.746954681736633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5.746954681736633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317.99999999999972</v>
      </c>
      <c r="CU87" s="18">
        <f>CT87*VLOOKUP('Données projet'!$B$13,Paramètres!$A$1:$I$89,3,0)*VLOOKUP('Données projet'!$B$13,Paramètres!$A$1:$I$89,5,0)</f>
        <v>233.1575999999998</v>
      </c>
      <c r="CV87" s="14">
        <f t="shared" si="95"/>
        <v>56.964885721091697</v>
      </c>
      <c r="CW87" s="22">
        <f t="shared" si="67"/>
        <v>505.29666263090093</v>
      </c>
      <c r="CX87" s="62">
        <f t="shared" si="68"/>
        <v>777.55349315545118</v>
      </c>
      <c r="CY87" s="62">
        <f ca="1">AVERAGE(OFFSET($CX$3,0,0,'Données projet'!$E$13+1,1))-AVERAGE(OFFSET($H$3,0,0,'Données projet'!$E$13+1,1))</f>
        <v>351.7223836693733</v>
      </c>
      <c r="CZ87" s="62">
        <f t="shared" si="96"/>
        <v>339.34942976598518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4.2969276403217656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4.2969276403217656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183.33333333333334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6.3550942286383367E-14</v>
      </c>
      <c r="P88" s="14">
        <f t="shared" si="87"/>
        <v>1.0064464192543978E-12</v>
      </c>
      <c r="Q88" s="22">
        <f t="shared" si="54"/>
        <v>1.8635787380168604E-12</v>
      </c>
      <c r="R88" s="62">
        <f t="shared" si="55"/>
        <v>272.62246072828339</v>
      </c>
      <c r="S88" s="62">
        <f ca="1">AVERAGE(OFFSET($R$3,0,0,'Données projet'!$E$9+1,1))-AVERAGE(OFFSET($H$3,0,0,'Données projet'!$E$9+1,1))</f>
        <v>409.45931633551902</v>
      </c>
      <c r="T88" s="62">
        <f t="shared" si="88"/>
        <v>375.18886653687389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1.783589616413213</v>
      </c>
      <c r="AA88" s="23">
        <f>EXP(-LN(2)/25)*AA87+(1-EXP(-LN(2)/25))/(LN(2)/25)*Calculateur!V88*Calculateur!X88*VLOOKUP('Données projet'!$B$9,Paramètres!$A$1:$I$89,3,0)*0.475*44/12</f>
        <v>4.2037788481416909</v>
      </c>
      <c r="AB88" s="23">
        <f>EXP(-LN(2)/2)*AB87+(1-EXP(-LN(2)/2))/(LN(2)/2)*V88*Y88*VLOOKUP('Données projet'!$B$9,Paramètres!$A$1:$I$89,3,0)*0.475*44/12</f>
        <v>6.1118655556717803E-8</v>
      </c>
      <c r="AC88" s="24">
        <f t="shared" si="57"/>
        <v>5.9873685256735598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5.6843418860808015E-14</v>
      </c>
      <c r="AJ88" s="14">
        <f>AI88*VLOOKUP('Données projet'!$B$10,Paramètres!$A$1:$I$89,3,0)*VLOOKUP('Données projet'!$B$10,Paramètres!$A$1:$I$89,5,0)</f>
        <v>3.3992364478763198E-14</v>
      </c>
      <c r="AK88" s="14">
        <f t="shared" si="89"/>
        <v>5.790027782444094E-13</v>
      </c>
      <c r="AL88" s="22">
        <f t="shared" si="58"/>
        <v>1.0676332069095257E-12</v>
      </c>
      <c r="AM88" s="62">
        <f t="shared" si="59"/>
        <v>272.62246072828259</v>
      </c>
      <c r="AN88" s="62">
        <f ca="1">AVERAGE(OFFSET($AM$3,0,0,'Données projet'!$E$10+1,1))-AVERAGE(OFFSET($H$3,0,0,'Données projet'!$E$10+1,1))</f>
        <v>212.90262675152454</v>
      </c>
      <c r="AO88" s="62">
        <f t="shared" si="90"/>
        <v>366.51899340890498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36.806969979171001</v>
      </c>
      <c r="AV88" s="23">
        <f>EXP(-LN(2)/25)*AV87+(1-EXP(-LN(2)/25))/(LN(2)/25)*Calculateur!AQ88*Calculateur!AS88*VLOOKUP('Données projet'!$B$10,Paramètres!$A$1:$I$89,3,0)*0.475*44/12</f>
        <v>0.7275795132370475</v>
      </c>
      <c r="AW88" s="23">
        <f>EXP(-LN(2)/2)*AW87+(1-EXP(-LN(2)/2))/(LN(2)/2)*AQ88*AT88*VLOOKUP('Données projet'!$B$10,Paramètres!$A$1:$I$89,3,0)*0.475*44/12</f>
        <v>5.803192399594146E-6</v>
      </c>
      <c r="AX88" s="23">
        <f t="shared" si="60"/>
        <v>37.534555295600448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5.6843418860808015E-14</v>
      </c>
      <c r="BE88" s="14">
        <f>BD88*VLOOKUP('Données projet'!$B$11,Paramètres!$A$1:$I$89,3,0)*VLOOKUP('Données projet'!$B$11,Paramètres!$A$1:$I$89,5,0)</f>
        <v>4.9658410716801891E-14</v>
      </c>
      <c r="BF88" s="14">
        <f t="shared" si="91"/>
        <v>8.0934058173791862E-13</v>
      </c>
      <c r="BG88" s="22">
        <f t="shared" si="61"/>
        <v>1.4960899118586383E-12</v>
      </c>
      <c r="BH88" s="62">
        <f t="shared" si="62"/>
        <v>272.62246072828299</v>
      </c>
      <c r="BI88" s="62">
        <f ca="1">AVERAGE(OFFSET($BH$3,0,0,'Données projet'!$E$11+1,1))-AVERAGE(OFFSET($H$3,0,0,'Données projet'!$E$11+1,1))</f>
        <v>342.02279578180605</v>
      </c>
      <c r="BJ88" s="62">
        <f t="shared" si="92"/>
        <v>409.02379334777754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317.99999999999972</v>
      </c>
      <c r="BZ88" s="14">
        <f>BY88*VLOOKUP('Données projet'!$B$12,Paramètres!$A$1:$I$89,3,0)*VLOOKUP('Données projet'!$B$12,Paramètres!$A$1:$I$89,5,0)</f>
        <v>253.0007999999998</v>
      </c>
      <c r="CA88" s="14">
        <f t="shared" si="93"/>
        <v>61.228070105968683</v>
      </c>
      <c r="CB88" s="22">
        <f t="shared" si="64"/>
        <v>547.28194876789507</v>
      </c>
      <c r="CC88" s="62">
        <f t="shared" si="65"/>
        <v>819.90440949617664</v>
      </c>
      <c r="CD88" s="62">
        <f ca="1">AVERAGE(OFFSET($CC$3,0,0,'Données projet'!$E$12+1,1))-AVERAGE(OFFSET($H$3,0,0,'Données projet'!$E$12+1,1))</f>
        <v>376.47942810265266</v>
      </c>
      <c r="CE88" s="62">
        <f t="shared" si="94"/>
        <v>362.87951024071265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5.6342604057240147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5.6342604057240147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317.99999999999972</v>
      </c>
      <c r="CU88" s="18">
        <f>CT88*VLOOKUP('Données projet'!$B$13,Paramètres!$A$1:$I$89,3,0)*VLOOKUP('Données projet'!$B$13,Paramètres!$A$1:$I$89,5,0)</f>
        <v>233.1575999999998</v>
      </c>
      <c r="CV88" s="14">
        <f t="shared" si="95"/>
        <v>56.964885721091697</v>
      </c>
      <c r="CW88" s="22">
        <f t="shared" si="67"/>
        <v>505.29666263090093</v>
      </c>
      <c r="CX88" s="62">
        <f t="shared" si="68"/>
        <v>777.91912335918244</v>
      </c>
      <c r="CY88" s="62">
        <f ca="1">AVERAGE(OFFSET($CX$3,0,0,'Données projet'!$E$13+1,1))-AVERAGE(OFFSET($H$3,0,0,'Données projet'!$E$13+1,1))</f>
        <v>351.7223836693733</v>
      </c>
      <c r="CZ88" s="62">
        <f t="shared" si="96"/>
        <v>339.34942976598518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4.2126675101621274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4.2126675101621274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183.33333333333334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6.3550942286383367E-14</v>
      </c>
      <c r="P89" s="14">
        <f t="shared" si="87"/>
        <v>1.0064464192543978E-12</v>
      </c>
      <c r="Q89" s="22">
        <f t="shared" si="54"/>
        <v>1.8635787380168604E-12</v>
      </c>
      <c r="R89" s="62">
        <f t="shared" si="55"/>
        <v>272.98174806540658</v>
      </c>
      <c r="S89" s="62">
        <f ca="1">AVERAGE(OFFSET($R$3,0,0,'Données projet'!$E$9+1,1))-AVERAGE(OFFSET($H$3,0,0,'Données projet'!$E$9+1,1))</f>
        <v>409.45931633551902</v>
      </c>
      <c r="T89" s="62">
        <f t="shared" si="88"/>
        <v>375.18886653687389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1.7486145119175964</v>
      </c>
      <c r="AA89" s="23">
        <f>EXP(-LN(2)/25)*AA88+(1-EXP(-LN(2)/25))/(LN(2)/25)*Calculateur!V89*Calculateur!X89*VLOOKUP('Données projet'!$B$9,Paramètres!$A$1:$I$89,3,0)*0.475*44/12</f>
        <v>4.0888262944721347</v>
      </c>
      <c r="AB89" s="23">
        <f>EXP(-LN(2)/2)*AB88+(1-EXP(-LN(2)/2))/(LN(2)/2)*V89*Y89*VLOOKUP('Données projet'!$B$9,Paramètres!$A$1:$I$89,3,0)*0.475*44/12</f>
        <v>4.3217415801160024E-8</v>
      </c>
      <c r="AC89" s="24">
        <f t="shared" si="57"/>
        <v>5.8374408496071464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5.6843418860808015E-14</v>
      </c>
      <c r="AJ89" s="14">
        <f>AI89*VLOOKUP('Données projet'!$B$10,Paramètres!$A$1:$I$89,3,0)*VLOOKUP('Données projet'!$B$10,Paramètres!$A$1:$I$89,5,0)</f>
        <v>3.3992364478763198E-14</v>
      </c>
      <c r="AK89" s="14">
        <f t="shared" si="89"/>
        <v>5.790027782444094E-13</v>
      </c>
      <c r="AL89" s="22">
        <f t="shared" si="58"/>
        <v>1.0676332069095257E-12</v>
      </c>
      <c r="AM89" s="62">
        <f t="shared" si="59"/>
        <v>272.98174806540578</v>
      </c>
      <c r="AN89" s="62">
        <f ca="1">AVERAGE(OFFSET($AM$3,0,0,'Données projet'!$E$10+1,1))-AVERAGE(OFFSET($H$3,0,0,'Données projet'!$E$10+1,1))</f>
        <v>212.90262675152454</v>
      </c>
      <c r="AO89" s="62">
        <f t="shared" si="90"/>
        <v>366.51899340890498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36.085207747914389</v>
      </c>
      <c r="AV89" s="23">
        <f>EXP(-LN(2)/25)*AV88+(1-EXP(-LN(2)/25))/(LN(2)/25)*Calculateur!AQ89*Calculateur!AS89*VLOOKUP('Données projet'!$B$10,Paramètres!$A$1:$I$89,3,0)*0.475*44/12</f>
        <v>0.70768381318583673</v>
      </c>
      <c r="AW89" s="23">
        <f>EXP(-LN(2)/2)*AW88+(1-EXP(-LN(2)/2))/(LN(2)/2)*AQ89*AT89*VLOOKUP('Données projet'!$B$10,Paramètres!$A$1:$I$89,3,0)*0.475*44/12</f>
        <v>4.1034766982832535E-6</v>
      </c>
      <c r="AX89" s="23">
        <f t="shared" si="60"/>
        <v>36.792895664576925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5.6843418860808015E-14</v>
      </c>
      <c r="BE89" s="14">
        <f>BD89*VLOOKUP('Données projet'!$B$11,Paramètres!$A$1:$I$89,3,0)*VLOOKUP('Données projet'!$B$11,Paramètres!$A$1:$I$89,5,0)</f>
        <v>4.9658410716801891E-14</v>
      </c>
      <c r="BF89" s="14">
        <f t="shared" si="91"/>
        <v>8.0934058173791862E-13</v>
      </c>
      <c r="BG89" s="22">
        <f t="shared" si="61"/>
        <v>1.4960899118586383E-12</v>
      </c>
      <c r="BH89" s="62">
        <f t="shared" si="62"/>
        <v>272.98174806540618</v>
      </c>
      <c r="BI89" s="62">
        <f ca="1">AVERAGE(OFFSET($BH$3,0,0,'Données projet'!$E$11+1,1))-AVERAGE(OFFSET($H$3,0,0,'Données projet'!$E$11+1,1))</f>
        <v>342.02279578180605</v>
      </c>
      <c r="BJ89" s="62">
        <f t="shared" si="92"/>
        <v>409.02379334777754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317.99999999999972</v>
      </c>
      <c r="BZ89" s="14">
        <f>BY89*VLOOKUP('Données projet'!$B$12,Paramètres!$A$1:$I$89,3,0)*VLOOKUP('Données projet'!$B$12,Paramètres!$A$1:$I$89,5,0)</f>
        <v>253.0007999999998</v>
      </c>
      <c r="CA89" s="14">
        <f t="shared" si="93"/>
        <v>61.228070105968683</v>
      </c>
      <c r="CB89" s="22">
        <f t="shared" si="64"/>
        <v>547.28194876789507</v>
      </c>
      <c r="CC89" s="62">
        <f t="shared" si="65"/>
        <v>820.26369683329972</v>
      </c>
      <c r="CD89" s="62">
        <f ca="1">AVERAGE(OFFSET($CC$3,0,0,'Données projet'!$E$12+1,1))-AVERAGE(OFFSET($H$3,0,0,'Données projet'!$E$12+1,1))</f>
        <v>376.47942810265266</v>
      </c>
      <c r="CE89" s="62">
        <f t="shared" si="94"/>
        <v>362.87951024071265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5.5237759957272825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5.5237759957272825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317.99999999999972</v>
      </c>
      <c r="CU89" s="18">
        <f>CT89*VLOOKUP('Données projet'!$B$13,Paramètres!$A$1:$I$89,3,0)*VLOOKUP('Données projet'!$B$13,Paramètres!$A$1:$I$89,5,0)</f>
        <v>233.1575999999998</v>
      </c>
      <c r="CV89" s="14">
        <f t="shared" si="95"/>
        <v>56.964885721091697</v>
      </c>
      <c r="CW89" s="22">
        <f t="shared" si="67"/>
        <v>505.29666263090093</v>
      </c>
      <c r="CX89" s="62">
        <f t="shared" si="68"/>
        <v>778.27841069630563</v>
      </c>
      <c r="CY89" s="62">
        <f ca="1">AVERAGE(OFFSET($CX$3,0,0,'Données projet'!$E$13+1,1))-AVERAGE(OFFSET($H$3,0,0,'Données projet'!$E$13+1,1))</f>
        <v>351.7223836693733</v>
      </c>
      <c r="CZ89" s="62">
        <f t="shared" si="96"/>
        <v>339.34942976598518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4.130059669761315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4.130059669761315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183.33333333333334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6.3550942286383367E-14</v>
      </c>
      <c r="P90" s="14">
        <f t="shared" si="87"/>
        <v>1.0064464192543978E-12</v>
      </c>
      <c r="Q90" s="22">
        <f t="shared" si="54"/>
        <v>1.8635787380168604E-12</v>
      </c>
      <c r="R90" s="62">
        <f t="shared" si="55"/>
        <v>273.33480257047671</v>
      </c>
      <c r="S90" s="62">
        <f ca="1">AVERAGE(OFFSET($R$3,0,0,'Données projet'!$E$9+1,1))-AVERAGE(OFFSET($H$3,0,0,'Données projet'!$E$9+1,1))</f>
        <v>409.45931633551902</v>
      </c>
      <c r="T90" s="62">
        <f t="shared" si="88"/>
        <v>375.18886653687389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1.7143252478884317</v>
      </c>
      <c r="AA90" s="23">
        <f>EXP(-LN(2)/25)*AA89+(1-EXP(-LN(2)/25))/(LN(2)/25)*Calculateur!V90*Calculateur!X90*VLOOKUP('Données projet'!$B$9,Paramètres!$A$1:$I$89,3,0)*0.475*44/12</f>
        <v>3.9770171244277646</v>
      </c>
      <c r="AB90" s="23">
        <f>EXP(-LN(2)/2)*AB89+(1-EXP(-LN(2)/2))/(LN(2)/2)*V90*Y90*VLOOKUP('Données projet'!$B$9,Paramètres!$A$1:$I$89,3,0)*0.475*44/12</f>
        <v>3.0559327778358902E-8</v>
      </c>
      <c r="AC90" s="24">
        <f t="shared" si="57"/>
        <v>5.6913424028755237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5.6843418860808015E-14</v>
      </c>
      <c r="AJ90" s="14">
        <f>AI90*VLOOKUP('Données projet'!$B$10,Paramètres!$A$1:$I$89,3,0)*VLOOKUP('Données projet'!$B$10,Paramètres!$A$1:$I$89,5,0)</f>
        <v>3.3992364478763198E-14</v>
      </c>
      <c r="AK90" s="14">
        <f t="shared" si="89"/>
        <v>5.790027782444094E-13</v>
      </c>
      <c r="AL90" s="22">
        <f t="shared" si="58"/>
        <v>1.0676332069095257E-12</v>
      </c>
      <c r="AM90" s="62">
        <f t="shared" si="59"/>
        <v>273.33480257047592</v>
      </c>
      <c r="AN90" s="62">
        <f ca="1">AVERAGE(OFFSET($AM$3,0,0,'Données projet'!$E$10+1,1))-AVERAGE(OFFSET($H$3,0,0,'Données projet'!$E$10+1,1))</f>
        <v>212.90262675152454</v>
      </c>
      <c r="AO90" s="62">
        <f t="shared" si="90"/>
        <v>366.51899340890498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35.377598833781228</v>
      </c>
      <c r="AV90" s="23">
        <f>EXP(-LN(2)/25)*AV89+(1-EXP(-LN(2)/25))/(LN(2)/25)*Calculateur!AQ90*Calculateur!AS90*VLOOKUP('Données projet'!$B$10,Paramètres!$A$1:$I$89,3,0)*0.475*44/12</f>
        <v>0.68833216209879577</v>
      </c>
      <c r="AW90" s="23">
        <f>EXP(-LN(2)/2)*AW89+(1-EXP(-LN(2)/2))/(LN(2)/2)*AQ90*AT90*VLOOKUP('Données projet'!$B$10,Paramètres!$A$1:$I$89,3,0)*0.475*44/12</f>
        <v>2.901596199797073E-6</v>
      </c>
      <c r="AX90" s="23">
        <f t="shared" si="60"/>
        <v>36.065933897476221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5.6843418860808015E-14</v>
      </c>
      <c r="BE90" s="14">
        <f>BD90*VLOOKUP('Données projet'!$B$11,Paramètres!$A$1:$I$89,3,0)*VLOOKUP('Données projet'!$B$11,Paramètres!$A$1:$I$89,5,0)</f>
        <v>4.9658410716801891E-14</v>
      </c>
      <c r="BF90" s="14">
        <f t="shared" si="91"/>
        <v>8.0934058173791862E-13</v>
      </c>
      <c r="BG90" s="22">
        <f t="shared" si="61"/>
        <v>1.4960899118586383E-12</v>
      </c>
      <c r="BH90" s="62">
        <f t="shared" si="62"/>
        <v>273.33480257047631</v>
      </c>
      <c r="BI90" s="62">
        <f ca="1">AVERAGE(OFFSET($BH$3,0,0,'Données projet'!$E$11+1,1))-AVERAGE(OFFSET($H$3,0,0,'Données projet'!$E$11+1,1))</f>
        <v>342.02279578180605</v>
      </c>
      <c r="BJ90" s="62">
        <f t="shared" si="92"/>
        <v>409.02379334777754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317.99999999999972</v>
      </c>
      <c r="BZ90" s="14">
        <f>BY90*VLOOKUP('Données projet'!$B$12,Paramètres!$A$1:$I$89,3,0)*VLOOKUP('Données projet'!$B$12,Paramètres!$A$1:$I$89,5,0)</f>
        <v>253.0007999999998</v>
      </c>
      <c r="CA90" s="14">
        <f t="shared" si="93"/>
        <v>61.228070105968683</v>
      </c>
      <c r="CB90" s="22">
        <f t="shared" si="64"/>
        <v>547.28194876789507</v>
      </c>
      <c r="CC90" s="62">
        <f t="shared" si="65"/>
        <v>820.61675133836991</v>
      </c>
      <c r="CD90" s="62">
        <f ca="1">AVERAGE(OFFSET($CC$3,0,0,'Données projet'!$E$12+1,1))-AVERAGE(OFFSET($H$3,0,0,'Données projet'!$E$12+1,1))</f>
        <v>376.47942810265266</v>
      </c>
      <c r="CE90" s="62">
        <f t="shared" si="94"/>
        <v>362.87951024071265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5.4154581176217498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5.4154581176217498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317.99999999999972</v>
      </c>
      <c r="CU90" s="18">
        <f>CT90*VLOOKUP('Données projet'!$B$13,Paramètres!$A$1:$I$89,3,0)*VLOOKUP('Données projet'!$B$13,Paramètres!$A$1:$I$89,5,0)</f>
        <v>233.1575999999998</v>
      </c>
      <c r="CV90" s="14">
        <f t="shared" si="95"/>
        <v>56.964885721091697</v>
      </c>
      <c r="CW90" s="22">
        <f t="shared" si="67"/>
        <v>505.29666263090093</v>
      </c>
      <c r="CX90" s="62">
        <f t="shared" si="68"/>
        <v>778.6314652013757</v>
      </c>
      <c r="CY90" s="62">
        <f ca="1">AVERAGE(OFFSET($CX$3,0,0,'Données projet'!$E$13+1,1))-AVERAGE(OFFSET($H$3,0,0,'Données projet'!$E$13+1,1))</f>
        <v>351.7223836693733</v>
      </c>
      <c r="CZ90" s="62">
        <f t="shared" si="96"/>
        <v>339.34942976598518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4.0490717187249547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4.0490717187249547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183.33333333333334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6.3550942286383367E-14</v>
      </c>
      <c r="P91" s="14">
        <f t="shared" si="87"/>
        <v>1.0064464192543978E-12</v>
      </c>
      <c r="Q91" s="22">
        <f t="shared" si="54"/>
        <v>1.8635787380168604E-12</v>
      </c>
      <c r="R91" s="62">
        <f t="shared" si="55"/>
        <v>273.68173236919557</v>
      </c>
      <c r="S91" s="62">
        <f ca="1">AVERAGE(OFFSET($R$3,0,0,'Données projet'!$E$9+1,1))-AVERAGE(OFFSET($H$3,0,0,'Données projet'!$E$9+1,1))</f>
        <v>409.45931633551902</v>
      </c>
      <c r="T91" s="62">
        <f t="shared" si="88"/>
        <v>375.18886653687389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1.6807083754124927</v>
      </c>
      <c r="AA91" s="23">
        <f>EXP(-LN(2)/25)*AA90+(1-EXP(-LN(2)/25))/(LN(2)/25)*Calculateur!V91*Calculateur!X91*VLOOKUP('Données projet'!$B$9,Paramètres!$A$1:$I$89,3,0)*0.475*44/12</f>
        <v>3.8682653820180462</v>
      </c>
      <c r="AB91" s="23">
        <f>EXP(-LN(2)/2)*AB90+(1-EXP(-LN(2)/2))/(LN(2)/2)*V91*Y91*VLOOKUP('Données projet'!$B$9,Paramètres!$A$1:$I$89,3,0)*0.475*44/12</f>
        <v>2.1608707900580012E-8</v>
      </c>
      <c r="AC91" s="24">
        <f t="shared" si="57"/>
        <v>5.5489737790392466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5.6843418860808015E-14</v>
      </c>
      <c r="AJ91" s="14">
        <f>AI91*VLOOKUP('Données projet'!$B$10,Paramètres!$A$1:$I$89,3,0)*VLOOKUP('Données projet'!$B$10,Paramètres!$A$1:$I$89,5,0)</f>
        <v>3.3992364478763198E-14</v>
      </c>
      <c r="AK91" s="14">
        <f t="shared" si="89"/>
        <v>5.790027782444094E-13</v>
      </c>
      <c r="AL91" s="22">
        <f t="shared" si="58"/>
        <v>1.0676332069095257E-12</v>
      </c>
      <c r="AM91" s="62">
        <f t="shared" si="59"/>
        <v>273.68173236919478</v>
      </c>
      <c r="AN91" s="62">
        <f ca="1">AVERAGE(OFFSET($AM$3,0,0,'Données projet'!$E$10+1,1))-AVERAGE(OFFSET($H$3,0,0,'Données projet'!$E$10+1,1))</f>
        <v>212.90262675152454</v>
      </c>
      <c r="AO91" s="62">
        <f t="shared" si="90"/>
        <v>366.51899340890498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34.683865698855399</v>
      </c>
      <c r="AV91" s="23">
        <f>EXP(-LN(2)/25)*AV90+(1-EXP(-LN(2)/25))/(LN(2)/25)*Calculateur!AQ91*Calculateur!AS91*VLOOKUP('Données projet'!$B$10,Paramètres!$A$1:$I$89,3,0)*0.475*44/12</f>
        <v>0.66950968292838897</v>
      </c>
      <c r="AW91" s="23">
        <f>EXP(-LN(2)/2)*AW90+(1-EXP(-LN(2)/2))/(LN(2)/2)*AQ91*AT91*VLOOKUP('Données projet'!$B$10,Paramètres!$A$1:$I$89,3,0)*0.475*44/12</f>
        <v>2.0517383491416267E-6</v>
      </c>
      <c r="AX91" s="23">
        <f t="shared" si="60"/>
        <v>35.353377433522134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5.6843418860808015E-14</v>
      </c>
      <c r="BE91" s="14">
        <f>BD91*VLOOKUP('Données projet'!$B$11,Paramètres!$A$1:$I$89,3,0)*VLOOKUP('Données projet'!$B$11,Paramètres!$A$1:$I$89,5,0)</f>
        <v>4.9658410716801891E-14</v>
      </c>
      <c r="BF91" s="14">
        <f t="shared" si="91"/>
        <v>8.0934058173791862E-13</v>
      </c>
      <c r="BG91" s="22">
        <f t="shared" si="61"/>
        <v>1.4960899118586383E-12</v>
      </c>
      <c r="BH91" s="62">
        <f t="shared" si="62"/>
        <v>273.68173236919517</v>
      </c>
      <c r="BI91" s="62">
        <f ca="1">AVERAGE(OFFSET($BH$3,0,0,'Données projet'!$E$11+1,1))-AVERAGE(OFFSET($H$3,0,0,'Données projet'!$E$11+1,1))</f>
        <v>342.02279578180605</v>
      </c>
      <c r="BJ91" s="62">
        <f t="shared" si="92"/>
        <v>409.02379334777754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317.99999999999972</v>
      </c>
      <c r="BZ91" s="14">
        <f>BY91*VLOOKUP('Données projet'!$B$12,Paramètres!$A$1:$I$89,3,0)*VLOOKUP('Données projet'!$B$12,Paramètres!$A$1:$I$89,5,0)</f>
        <v>253.0007999999998</v>
      </c>
      <c r="CA91" s="14">
        <f t="shared" si="93"/>
        <v>61.228070105968683</v>
      </c>
      <c r="CB91" s="22">
        <f t="shared" si="64"/>
        <v>547.28194876789507</v>
      </c>
      <c r="CC91" s="62">
        <f t="shared" si="65"/>
        <v>820.96368113708877</v>
      </c>
      <c r="CD91" s="62">
        <f ca="1">AVERAGE(OFFSET($CC$3,0,0,'Données projet'!$E$12+1,1))-AVERAGE(OFFSET($H$3,0,0,'Données projet'!$E$12+1,1))</f>
        <v>376.47942810265266</v>
      </c>
      <c r="CE91" s="62">
        <f t="shared" si="94"/>
        <v>362.87951024071265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5.3092642870384843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5.3092642870384843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317.99999999999972</v>
      </c>
      <c r="CU91" s="18">
        <f>CT91*VLOOKUP('Données projet'!$B$13,Paramètres!$A$1:$I$89,3,0)*VLOOKUP('Données projet'!$B$13,Paramètres!$A$1:$I$89,5,0)</f>
        <v>233.1575999999998</v>
      </c>
      <c r="CV91" s="14">
        <f t="shared" si="95"/>
        <v>56.964885721091697</v>
      </c>
      <c r="CW91" s="22">
        <f t="shared" si="67"/>
        <v>505.29666263090093</v>
      </c>
      <c r="CX91" s="62">
        <f t="shared" si="68"/>
        <v>778.97839500009468</v>
      </c>
      <c r="CY91" s="62">
        <f ca="1">AVERAGE(OFFSET($CX$3,0,0,'Données projet'!$E$13+1,1))-AVERAGE(OFFSET($H$3,0,0,'Données projet'!$E$13+1,1))</f>
        <v>351.7223836693733</v>
      </c>
      <c r="CZ91" s="62">
        <f t="shared" si="96"/>
        <v>339.34942976598518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3.9696718920106453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3.9696718920106453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183.33333333333334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6.3550942286383367E-14</v>
      </c>
      <c r="P92" s="14">
        <f t="shared" si="87"/>
        <v>1.0064464192543978E-12</v>
      </c>
      <c r="Q92" s="22">
        <f t="shared" si="54"/>
        <v>1.8635787380168604E-12</v>
      </c>
      <c r="R92" s="62">
        <f t="shared" si="55"/>
        <v>274.02264371152546</v>
      </c>
      <c r="S92" s="62">
        <f ca="1">AVERAGE(OFFSET($R$3,0,0,'Données projet'!$E$9+1,1))-AVERAGE(OFFSET($H$3,0,0,'Données projet'!$E$9+1,1))</f>
        <v>409.45931633551902</v>
      </c>
      <c r="T92" s="62">
        <f t="shared" si="88"/>
        <v>375.18886653687389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1.6477507093015396</v>
      </c>
      <c r="AA92" s="23">
        <f>EXP(-LN(2)/25)*AA91+(1-EXP(-LN(2)/25))/(LN(2)/25)*Calculateur!V92*Calculateur!X92*VLOOKUP('Données projet'!$B$9,Paramètres!$A$1:$I$89,3,0)*0.475*44/12</f>
        <v>3.7624874617235271</v>
      </c>
      <c r="AB92" s="23">
        <f>EXP(-LN(2)/2)*AB91+(1-EXP(-LN(2)/2))/(LN(2)/2)*V92*Y92*VLOOKUP('Données projet'!$B$9,Paramètres!$A$1:$I$89,3,0)*0.475*44/12</f>
        <v>1.5279663889179451E-8</v>
      </c>
      <c r="AC92" s="24">
        <f t="shared" si="57"/>
        <v>5.4102381863047304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5.6843418860808015E-14</v>
      </c>
      <c r="AJ92" s="14">
        <f>AI92*VLOOKUP('Données projet'!$B$10,Paramètres!$A$1:$I$89,3,0)*VLOOKUP('Données projet'!$B$10,Paramètres!$A$1:$I$89,5,0)</f>
        <v>3.3992364478763198E-14</v>
      </c>
      <c r="AK92" s="14">
        <f t="shared" si="89"/>
        <v>5.790027782444094E-13</v>
      </c>
      <c r="AL92" s="22">
        <f t="shared" si="58"/>
        <v>1.0676332069095257E-12</v>
      </c>
      <c r="AM92" s="62">
        <f t="shared" si="59"/>
        <v>274.02264371152467</v>
      </c>
      <c r="AN92" s="62">
        <f ca="1">AVERAGE(OFFSET($AM$3,0,0,'Données projet'!$E$10+1,1))-AVERAGE(OFFSET($H$3,0,0,'Données projet'!$E$10+1,1))</f>
        <v>212.90262675152454</v>
      </c>
      <c r="AO92" s="62">
        <f t="shared" si="90"/>
        <v>366.51899340890498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34.003736247570032</v>
      </c>
      <c r="AV92" s="23">
        <f>EXP(-LN(2)/25)*AV91+(1-EXP(-LN(2)/25))/(LN(2)/25)*Calculateur!AQ92*Calculateur!AS92*VLOOKUP('Données projet'!$B$10,Paramètres!$A$1:$I$89,3,0)*0.475*44/12</f>
        <v>0.65120190544072809</v>
      </c>
      <c r="AW92" s="23">
        <f>EXP(-LN(2)/2)*AW91+(1-EXP(-LN(2)/2))/(LN(2)/2)*AQ92*AT92*VLOOKUP('Données projet'!$B$10,Paramètres!$A$1:$I$89,3,0)*0.475*44/12</f>
        <v>1.4507980998985365E-6</v>
      </c>
      <c r="AX92" s="23">
        <f t="shared" si="60"/>
        <v>34.654939603808863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5.6843418860808015E-14</v>
      </c>
      <c r="BE92" s="14">
        <f>BD92*VLOOKUP('Données projet'!$B$11,Paramètres!$A$1:$I$89,3,0)*VLOOKUP('Données projet'!$B$11,Paramètres!$A$1:$I$89,5,0)</f>
        <v>4.9658410716801891E-14</v>
      </c>
      <c r="BF92" s="14">
        <f t="shared" si="91"/>
        <v>8.0934058173791862E-13</v>
      </c>
      <c r="BG92" s="22">
        <f t="shared" si="61"/>
        <v>1.4960899118586383E-12</v>
      </c>
      <c r="BH92" s="62">
        <f t="shared" si="62"/>
        <v>274.02264371152506</v>
      </c>
      <c r="BI92" s="62">
        <f ca="1">AVERAGE(OFFSET($BH$3,0,0,'Données projet'!$E$11+1,1))-AVERAGE(OFFSET($H$3,0,0,'Données projet'!$E$11+1,1))</f>
        <v>342.02279578180605</v>
      </c>
      <c r="BJ92" s="62">
        <f t="shared" si="92"/>
        <v>409.02379334777754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317.99999999999972</v>
      </c>
      <c r="BZ92" s="14">
        <f>BY92*VLOOKUP('Données projet'!$B$12,Paramètres!$A$1:$I$89,3,0)*VLOOKUP('Données projet'!$B$12,Paramètres!$A$1:$I$89,5,0)</f>
        <v>253.0007999999998</v>
      </c>
      <c r="CA92" s="14">
        <f t="shared" si="93"/>
        <v>61.228070105968683</v>
      </c>
      <c r="CB92" s="22">
        <f t="shared" si="64"/>
        <v>547.28194876789507</v>
      </c>
      <c r="CC92" s="62">
        <f t="shared" si="65"/>
        <v>821.30459247941872</v>
      </c>
      <c r="CD92" s="62">
        <f ca="1">AVERAGE(OFFSET($CC$3,0,0,'Données projet'!$E$12+1,1))-AVERAGE(OFFSET($H$3,0,0,'Données projet'!$E$12+1,1))</f>
        <v>376.47942810265266</v>
      </c>
      <c r="CE92" s="62">
        <f t="shared" si="94"/>
        <v>362.87951024071265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5.2051528527011159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5.2051528527011159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317.99999999999972</v>
      </c>
      <c r="CU92" s="18">
        <f>CT92*VLOOKUP('Données projet'!$B$13,Paramètres!$A$1:$I$89,3,0)*VLOOKUP('Données projet'!$B$13,Paramètres!$A$1:$I$89,5,0)</f>
        <v>233.1575999999998</v>
      </c>
      <c r="CV92" s="14">
        <f t="shared" si="95"/>
        <v>56.964885721091697</v>
      </c>
      <c r="CW92" s="22">
        <f t="shared" si="67"/>
        <v>505.29666263090093</v>
      </c>
      <c r="CX92" s="62">
        <f t="shared" si="68"/>
        <v>779.31930634242451</v>
      </c>
      <c r="CY92" s="62">
        <f ca="1">AVERAGE(OFFSET($CX$3,0,0,'Données projet'!$E$13+1,1))-AVERAGE(OFFSET($H$3,0,0,'Données projet'!$E$13+1,1))</f>
        <v>351.7223836693733</v>
      </c>
      <c r="CZ92" s="62">
        <f t="shared" si="96"/>
        <v>339.34942976598518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3.8918290474690909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3.8918290474690909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183.33333333333334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6.3550942286383367E-14</v>
      </c>
      <c r="P93" s="14">
        <f t="shared" si="87"/>
        <v>1.0064464192543978E-12</v>
      </c>
      <c r="Q93" s="22">
        <f t="shared" si="54"/>
        <v>1.8635787380168604E-12</v>
      </c>
      <c r="R93" s="62">
        <f t="shared" si="55"/>
        <v>274.35764100422955</v>
      </c>
      <c r="S93" s="62">
        <f ca="1">AVERAGE(OFFSET($R$3,0,0,'Données projet'!$E$9+1,1))-AVERAGE(OFFSET($H$3,0,0,'Données projet'!$E$9+1,1))</f>
        <v>409.45931633551902</v>
      </c>
      <c r="T93" s="62">
        <f t="shared" si="88"/>
        <v>375.18886653687389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1.6154393229208306</v>
      </c>
      <c r="AA93" s="23">
        <f>EXP(-LN(2)/25)*AA92+(1-EXP(-LN(2)/25))/(LN(2)/25)*Calculateur!V93*Calculateur!X93*VLOOKUP('Données projet'!$B$9,Paramètres!$A$1:$I$89,3,0)*0.475*44/12</f>
        <v>3.6596020442220811</v>
      </c>
      <c r="AB93" s="23">
        <f>EXP(-LN(2)/2)*AB92+(1-EXP(-LN(2)/2))/(LN(2)/2)*V93*Y93*VLOOKUP('Données projet'!$B$9,Paramètres!$A$1:$I$89,3,0)*0.475*44/12</f>
        <v>1.0804353950290006E-8</v>
      </c>
      <c r="AC93" s="24">
        <f t="shared" si="57"/>
        <v>5.2750413779472654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5.6843418860808015E-14</v>
      </c>
      <c r="AJ93" s="14">
        <f>AI93*VLOOKUP('Données projet'!$B$10,Paramètres!$A$1:$I$89,3,0)*VLOOKUP('Données projet'!$B$10,Paramètres!$A$1:$I$89,5,0)</f>
        <v>3.3992364478763198E-14</v>
      </c>
      <c r="AK93" s="14">
        <f t="shared" si="89"/>
        <v>5.790027782444094E-13</v>
      </c>
      <c r="AL93" s="22">
        <f t="shared" si="58"/>
        <v>1.0676332069095257E-12</v>
      </c>
      <c r="AM93" s="62">
        <f t="shared" si="59"/>
        <v>274.35764100422875</v>
      </c>
      <c r="AN93" s="62">
        <f ca="1">AVERAGE(OFFSET($AM$3,0,0,'Données projet'!$E$10+1,1))-AVERAGE(OFFSET($H$3,0,0,'Données projet'!$E$10+1,1))</f>
        <v>212.90262675152454</v>
      </c>
      <c r="AO93" s="62">
        <f t="shared" si="90"/>
        <v>366.51899340890498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33.336943719986365</v>
      </c>
      <c r="AV93" s="23">
        <f>EXP(-LN(2)/25)*AV92+(1-EXP(-LN(2)/25))/(LN(2)/25)*Calculateur!AQ93*Calculateur!AS93*VLOOKUP('Données projet'!$B$10,Paramètres!$A$1:$I$89,3,0)*0.475*44/12</f>
        <v>0.63339475509123155</v>
      </c>
      <c r="AW93" s="23">
        <f>EXP(-LN(2)/2)*AW92+(1-EXP(-LN(2)/2))/(LN(2)/2)*AQ93*AT93*VLOOKUP('Données projet'!$B$10,Paramètres!$A$1:$I$89,3,0)*0.475*44/12</f>
        <v>1.0258691745708134E-6</v>
      </c>
      <c r="AX93" s="23">
        <f t="shared" si="60"/>
        <v>33.970339500946771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5.6843418860808015E-14</v>
      </c>
      <c r="BE93" s="14">
        <f>BD93*VLOOKUP('Données projet'!$B$11,Paramètres!$A$1:$I$89,3,0)*VLOOKUP('Données projet'!$B$11,Paramètres!$A$1:$I$89,5,0)</f>
        <v>4.9658410716801891E-14</v>
      </c>
      <c r="BF93" s="14">
        <f t="shared" si="91"/>
        <v>8.0934058173791862E-13</v>
      </c>
      <c r="BG93" s="22">
        <f t="shared" si="61"/>
        <v>1.4960899118586383E-12</v>
      </c>
      <c r="BH93" s="62">
        <f t="shared" si="62"/>
        <v>274.35764100422915</v>
      </c>
      <c r="BI93" s="62">
        <f ca="1">AVERAGE(OFFSET($BH$3,0,0,'Données projet'!$E$11+1,1))-AVERAGE(OFFSET($H$3,0,0,'Données projet'!$E$11+1,1))</f>
        <v>342.02279578180605</v>
      </c>
      <c r="BJ93" s="62">
        <f t="shared" si="92"/>
        <v>409.02379334777754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317.99999999999972</v>
      </c>
      <c r="BZ93" s="14">
        <f>BY93*VLOOKUP('Données projet'!$B$12,Paramètres!$A$1:$I$89,3,0)*VLOOKUP('Données projet'!$B$12,Paramètres!$A$1:$I$89,5,0)</f>
        <v>253.0007999999998</v>
      </c>
      <c r="CA93" s="14">
        <f t="shared" si="93"/>
        <v>61.228070105968683</v>
      </c>
      <c r="CB93" s="22">
        <f t="shared" si="64"/>
        <v>547.28194876789507</v>
      </c>
      <c r="CC93" s="62">
        <f t="shared" si="65"/>
        <v>821.63958977212269</v>
      </c>
      <c r="CD93" s="62">
        <f ca="1">AVERAGE(OFFSET($CC$3,0,0,'Données projet'!$E$12+1,1))-AVERAGE(OFFSET($H$3,0,0,'Données projet'!$E$12+1,1))</f>
        <v>376.47942810265266</v>
      </c>
      <c r="CE93" s="62">
        <f t="shared" si="94"/>
        <v>362.87951024071265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5.1030829800893986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5.1030829800893986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317.99999999999972</v>
      </c>
      <c r="CU93" s="18">
        <f>CT93*VLOOKUP('Données projet'!$B$13,Paramètres!$A$1:$I$89,3,0)*VLOOKUP('Données projet'!$B$13,Paramètres!$A$1:$I$89,5,0)</f>
        <v>233.1575999999998</v>
      </c>
      <c r="CV93" s="14">
        <f t="shared" si="95"/>
        <v>56.964885721091697</v>
      </c>
      <c r="CW93" s="22">
        <f t="shared" si="67"/>
        <v>505.29666263090093</v>
      </c>
      <c r="CX93" s="62">
        <f t="shared" si="68"/>
        <v>779.6543036351286</v>
      </c>
      <c r="CY93" s="62">
        <f ca="1">AVERAGE(OFFSET($CX$3,0,0,'Données projet'!$E$13+1,1))-AVERAGE(OFFSET($H$3,0,0,'Données projet'!$E$13+1,1))</f>
        <v>351.7223836693733</v>
      </c>
      <c r="CZ93" s="62">
        <f t="shared" si="96"/>
        <v>339.34942976598518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3.8155126536295496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3.8155126536295496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183.33333333333334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6.3550942286383367E-14</v>
      </c>
      <c r="P94" s="14">
        <f t="shared" si="87"/>
        <v>1.0064464192543978E-12</v>
      </c>
      <c r="Q94" s="22">
        <f t="shared" si="54"/>
        <v>1.8635787380168604E-12</v>
      </c>
      <c r="R94" s="62">
        <f t="shared" si="55"/>
        <v>274.68682684284693</v>
      </c>
      <c r="S94" s="62">
        <f ca="1">AVERAGE(OFFSET($R$3,0,0,'Données projet'!$E$9+1,1))-AVERAGE(OFFSET($H$3,0,0,'Données projet'!$E$9+1,1))</f>
        <v>409.45931633551902</v>
      </c>
      <c r="T94" s="62">
        <f t="shared" si="88"/>
        <v>375.18886653687389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1.5837615431190477</v>
      </c>
      <c r="AA94" s="23">
        <f>EXP(-LN(2)/25)*AA93+(1-EXP(-LN(2)/25))/(LN(2)/25)*Calculateur!V94*Calculateur!X94*VLOOKUP('Données projet'!$B$9,Paramètres!$A$1:$I$89,3,0)*0.475*44/12</f>
        <v>3.5595300338727212</v>
      </c>
      <c r="AB94" s="23">
        <f>EXP(-LN(2)/2)*AB93+(1-EXP(-LN(2)/2))/(LN(2)/2)*V94*Y94*VLOOKUP('Données projet'!$B$9,Paramètres!$A$1:$I$89,3,0)*0.475*44/12</f>
        <v>7.6398319445897254E-9</v>
      </c>
      <c r="AC94" s="24">
        <f t="shared" si="57"/>
        <v>5.1432915846316005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5.6843418860808015E-14</v>
      </c>
      <c r="AJ94" s="14">
        <f>AI94*VLOOKUP('Données projet'!$B$10,Paramètres!$A$1:$I$89,3,0)*VLOOKUP('Données projet'!$B$10,Paramètres!$A$1:$I$89,5,0)</f>
        <v>3.3992364478763198E-14</v>
      </c>
      <c r="AK94" s="14">
        <f t="shared" si="89"/>
        <v>5.790027782444094E-13</v>
      </c>
      <c r="AL94" s="22">
        <f t="shared" si="58"/>
        <v>1.0676332069095257E-12</v>
      </c>
      <c r="AM94" s="62">
        <f t="shared" si="59"/>
        <v>274.68682684284613</v>
      </c>
      <c r="AN94" s="62">
        <f ca="1">AVERAGE(OFFSET($AM$3,0,0,'Données projet'!$E$10+1,1))-AVERAGE(OFFSET($H$3,0,0,'Données projet'!$E$10+1,1))</f>
        <v>212.90262675152454</v>
      </c>
      <c r="AO94" s="62">
        <f t="shared" si="90"/>
        <v>366.51899340890498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32.683226587165336</v>
      </c>
      <c r="AV94" s="23">
        <f>EXP(-LN(2)/25)*AV93+(1-EXP(-LN(2)/25))/(LN(2)/25)*Calculateur!AQ94*Calculateur!AS94*VLOOKUP('Données projet'!$B$10,Paramètres!$A$1:$I$89,3,0)*0.475*44/12</f>
        <v>0.61607454220447933</v>
      </c>
      <c r="AW94" s="23">
        <f>EXP(-LN(2)/2)*AW93+(1-EXP(-LN(2)/2))/(LN(2)/2)*AQ94*AT94*VLOOKUP('Données projet'!$B$10,Paramètres!$A$1:$I$89,3,0)*0.475*44/12</f>
        <v>7.2539904994926825E-7</v>
      </c>
      <c r="AX94" s="23">
        <f t="shared" si="60"/>
        <v>33.299301854768864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5.6843418860808015E-14</v>
      </c>
      <c r="BE94" s="14">
        <f>BD94*VLOOKUP('Données projet'!$B$11,Paramètres!$A$1:$I$89,3,0)*VLOOKUP('Données projet'!$B$11,Paramètres!$A$1:$I$89,5,0)</f>
        <v>4.9658410716801891E-14</v>
      </c>
      <c r="BF94" s="14">
        <f t="shared" si="91"/>
        <v>8.0934058173791862E-13</v>
      </c>
      <c r="BG94" s="22">
        <f t="shared" si="61"/>
        <v>1.4960899118586383E-12</v>
      </c>
      <c r="BH94" s="62">
        <f t="shared" si="62"/>
        <v>274.68682684284653</v>
      </c>
      <c r="BI94" s="62">
        <f ca="1">AVERAGE(OFFSET($BH$3,0,0,'Données projet'!$E$11+1,1))-AVERAGE(OFFSET($H$3,0,0,'Données projet'!$E$11+1,1))</f>
        <v>342.02279578180605</v>
      </c>
      <c r="BJ94" s="62">
        <f t="shared" si="92"/>
        <v>409.02379334777754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317.99999999999972</v>
      </c>
      <c r="BZ94" s="14">
        <f>BY94*VLOOKUP('Données projet'!$B$12,Paramètres!$A$1:$I$89,3,0)*VLOOKUP('Données projet'!$B$12,Paramètres!$A$1:$I$89,5,0)</f>
        <v>253.0007999999998</v>
      </c>
      <c r="CA94" s="14">
        <f t="shared" si="93"/>
        <v>61.228070105968683</v>
      </c>
      <c r="CB94" s="22">
        <f t="shared" si="64"/>
        <v>547.28194876789507</v>
      </c>
      <c r="CC94" s="62">
        <f t="shared" si="65"/>
        <v>821.96877561074007</v>
      </c>
      <c r="CD94" s="62">
        <f ca="1">AVERAGE(OFFSET($CC$3,0,0,'Données projet'!$E$12+1,1))-AVERAGE(OFFSET($H$3,0,0,'Données projet'!$E$12+1,1))</f>
        <v>376.47942810265266</v>
      </c>
      <c r="CE94" s="62">
        <f t="shared" si="94"/>
        <v>362.87951024071265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5.0030146354231224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5.0030146354231224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317.99999999999972</v>
      </c>
      <c r="CU94" s="18">
        <f>CT94*VLOOKUP('Données projet'!$B$13,Paramètres!$A$1:$I$89,3,0)*VLOOKUP('Données projet'!$B$13,Paramètres!$A$1:$I$89,5,0)</f>
        <v>233.1575999999998</v>
      </c>
      <c r="CV94" s="14">
        <f t="shared" si="95"/>
        <v>56.964885721091697</v>
      </c>
      <c r="CW94" s="22">
        <f t="shared" si="67"/>
        <v>505.29666263090093</v>
      </c>
      <c r="CX94" s="62">
        <f t="shared" si="68"/>
        <v>779.98348947374598</v>
      </c>
      <c r="CY94" s="62">
        <f ca="1">AVERAGE(OFFSET($CX$3,0,0,'Données projet'!$E$13+1,1))-AVERAGE(OFFSET($H$3,0,0,'Données projet'!$E$13+1,1))</f>
        <v>351.7223836693733</v>
      </c>
      <c r="CZ94" s="62">
        <f t="shared" si="96"/>
        <v>339.34942976598518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3.7406927777247976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3.7406927777247976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183.33333333333334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6.3550942286383367E-14</v>
      </c>
      <c r="P95" s="14">
        <f t="shared" si="87"/>
        <v>1.0064464192543978E-12</v>
      </c>
      <c r="Q95" s="22">
        <f t="shared" si="54"/>
        <v>1.8635787380168604E-12</v>
      </c>
      <c r="R95" s="62">
        <f t="shared" si="55"/>
        <v>275.0103020431136</v>
      </c>
      <c r="S95" s="62">
        <f ca="1">AVERAGE(OFFSET($R$3,0,0,'Données projet'!$E$9+1,1))-AVERAGE(OFFSET($H$3,0,0,'Données projet'!$E$9+1,1))</f>
        <v>409.45931633551902</v>
      </c>
      <c r="T95" s="62">
        <f t="shared" si="88"/>
        <v>375.18886653687389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1.55270494525764</v>
      </c>
      <c r="AA95" s="23">
        <f>EXP(-LN(2)/25)*AA94+(1-EXP(-LN(2)/25))/(LN(2)/25)*Calculateur!V95*Calculateur!X95*VLOOKUP('Données projet'!$B$9,Paramètres!$A$1:$I$89,3,0)*0.475*44/12</f>
        <v>3.4621944979089223</v>
      </c>
      <c r="AB95" s="23">
        <f>EXP(-LN(2)/2)*AB94+(1-EXP(-LN(2)/2))/(LN(2)/2)*V95*Y95*VLOOKUP('Données projet'!$B$9,Paramètres!$A$1:$I$89,3,0)*0.475*44/12</f>
        <v>5.402176975145003E-9</v>
      </c>
      <c r="AC95" s="24">
        <f t="shared" si="57"/>
        <v>5.0148994485687401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5.6843418860808015E-14</v>
      </c>
      <c r="AJ95" s="14">
        <f>AI95*VLOOKUP('Données projet'!$B$10,Paramètres!$A$1:$I$89,3,0)*VLOOKUP('Données projet'!$B$10,Paramètres!$A$1:$I$89,5,0)</f>
        <v>3.3992364478763198E-14</v>
      </c>
      <c r="AK95" s="14">
        <f t="shared" si="89"/>
        <v>5.790027782444094E-13</v>
      </c>
      <c r="AL95" s="22">
        <f t="shared" si="58"/>
        <v>1.0676332069095257E-12</v>
      </c>
      <c r="AM95" s="62">
        <f t="shared" si="59"/>
        <v>275.0103020431128</v>
      </c>
      <c r="AN95" s="62">
        <f ca="1">AVERAGE(OFFSET($AM$3,0,0,'Données projet'!$E$10+1,1))-AVERAGE(OFFSET($H$3,0,0,'Données projet'!$E$10+1,1))</f>
        <v>212.90262675152454</v>
      </c>
      <c r="AO95" s="62">
        <f t="shared" si="90"/>
        <v>366.51899340890498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32.042328448590844</v>
      </c>
      <c r="AV95" s="23">
        <f>EXP(-LN(2)/25)*AV94+(1-EXP(-LN(2)/25))/(LN(2)/25)*Calculateur!AQ95*Calculateur!AS95*VLOOKUP('Données projet'!$B$10,Paramètres!$A$1:$I$89,3,0)*0.475*44/12</f>
        <v>0.59922795144994567</v>
      </c>
      <c r="AW95" s="23">
        <f>EXP(-LN(2)/2)*AW94+(1-EXP(-LN(2)/2))/(LN(2)/2)*AQ95*AT95*VLOOKUP('Données projet'!$B$10,Paramètres!$A$1:$I$89,3,0)*0.475*44/12</f>
        <v>5.1293458728540668E-7</v>
      </c>
      <c r="AX95" s="23">
        <f t="shared" si="60"/>
        <v>32.641556912975382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5.6843418860808015E-14</v>
      </c>
      <c r="BE95" s="14">
        <f>BD95*VLOOKUP('Données projet'!$B$11,Paramètres!$A$1:$I$89,3,0)*VLOOKUP('Données projet'!$B$11,Paramètres!$A$1:$I$89,5,0)</f>
        <v>4.9658410716801891E-14</v>
      </c>
      <c r="BF95" s="14">
        <f t="shared" si="91"/>
        <v>8.0934058173791862E-13</v>
      </c>
      <c r="BG95" s="22">
        <f t="shared" si="61"/>
        <v>1.4960899118586383E-12</v>
      </c>
      <c r="BH95" s="62">
        <f t="shared" si="62"/>
        <v>275.0103020431132</v>
      </c>
      <c r="BI95" s="62">
        <f ca="1">AVERAGE(OFFSET($BH$3,0,0,'Données projet'!$E$11+1,1))-AVERAGE(OFFSET($H$3,0,0,'Données projet'!$E$11+1,1))</f>
        <v>342.02279578180605</v>
      </c>
      <c r="BJ95" s="62">
        <f t="shared" si="92"/>
        <v>409.02379334777754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317.99999999999972</v>
      </c>
      <c r="BZ95" s="14">
        <f>BY95*VLOOKUP('Données projet'!$B$12,Paramètres!$A$1:$I$89,3,0)*VLOOKUP('Données projet'!$B$12,Paramètres!$A$1:$I$89,5,0)</f>
        <v>253.0007999999998</v>
      </c>
      <c r="CA95" s="14">
        <f t="shared" si="93"/>
        <v>61.228070105968683</v>
      </c>
      <c r="CB95" s="22">
        <f t="shared" si="64"/>
        <v>547.28194876789507</v>
      </c>
      <c r="CC95" s="62">
        <f t="shared" si="65"/>
        <v>822.29225081100685</v>
      </c>
      <c r="CD95" s="62">
        <f ca="1">AVERAGE(OFFSET($CC$3,0,0,'Données projet'!$E$12+1,1))-AVERAGE(OFFSET($H$3,0,0,'Données projet'!$E$12+1,1))</f>
        <v>376.47942810265266</v>
      </c>
      <c r="CE95" s="62">
        <f t="shared" si="94"/>
        <v>362.87951024071265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4.9049085699600878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4.9049085699600878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317.99999999999972</v>
      </c>
      <c r="CU95" s="18">
        <f>CT95*VLOOKUP('Données projet'!$B$13,Paramètres!$A$1:$I$89,3,0)*VLOOKUP('Données projet'!$B$13,Paramètres!$A$1:$I$89,5,0)</f>
        <v>233.1575999999998</v>
      </c>
      <c r="CV95" s="14">
        <f t="shared" si="95"/>
        <v>56.964885721091697</v>
      </c>
      <c r="CW95" s="22">
        <f t="shared" si="67"/>
        <v>505.29666263090093</v>
      </c>
      <c r="CX95" s="62">
        <f t="shared" si="68"/>
        <v>780.30696467401265</v>
      </c>
      <c r="CY95" s="62">
        <f ca="1">AVERAGE(OFFSET($CX$3,0,0,'Données projet'!$E$13+1,1))-AVERAGE(OFFSET($H$3,0,0,'Données projet'!$E$13+1,1))</f>
        <v>351.7223836693733</v>
      </c>
      <c r="CZ95" s="62">
        <f t="shared" si="96"/>
        <v>339.34942976598518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3.6673400739509199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3.6673400739509199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183.33333333333334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6.3550942286383367E-14</v>
      </c>
      <c r="P96" s="14">
        <f t="shared" si="87"/>
        <v>1.0064464192543978E-12</v>
      </c>
      <c r="Q96" s="22">
        <f t="shared" si="54"/>
        <v>1.8635787380168604E-12</v>
      </c>
      <c r="R96" s="62">
        <f t="shared" si="55"/>
        <v>275.32816567183784</v>
      </c>
      <c r="S96" s="62">
        <f ca="1">AVERAGE(OFFSET($R$3,0,0,'Données projet'!$E$9+1,1))-AVERAGE(OFFSET($H$3,0,0,'Données projet'!$E$9+1,1))</f>
        <v>409.45931633551902</v>
      </c>
      <c r="T96" s="62">
        <f t="shared" si="88"/>
        <v>375.18886653687389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1.5222573483376403</v>
      </c>
      <c r="AA96" s="23">
        <f>EXP(-LN(2)/25)*AA95+(1-EXP(-LN(2)/25))/(LN(2)/25)*Calculateur!V96*Calculateur!X96*VLOOKUP('Données projet'!$B$9,Paramètres!$A$1:$I$89,3,0)*0.475*44/12</f>
        <v>3.3675206072947073</v>
      </c>
      <c r="AB96" s="23">
        <f>EXP(-LN(2)/2)*AB95+(1-EXP(-LN(2)/2))/(LN(2)/2)*V96*Y96*VLOOKUP('Données projet'!$B$9,Paramètres!$A$1:$I$89,3,0)*0.475*44/12</f>
        <v>3.8199159722948627E-9</v>
      </c>
      <c r="AC96" s="24">
        <f t="shared" si="57"/>
        <v>4.889777959452263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5.6843418860808015E-14</v>
      </c>
      <c r="AJ96" s="14">
        <f>AI96*VLOOKUP('Données projet'!$B$10,Paramètres!$A$1:$I$89,3,0)*VLOOKUP('Données projet'!$B$10,Paramètres!$A$1:$I$89,5,0)</f>
        <v>3.3992364478763198E-14</v>
      </c>
      <c r="AK96" s="14">
        <f t="shared" si="89"/>
        <v>5.790027782444094E-13</v>
      </c>
      <c r="AL96" s="22">
        <f t="shared" si="58"/>
        <v>1.0676332069095257E-12</v>
      </c>
      <c r="AM96" s="62">
        <f t="shared" si="59"/>
        <v>275.32816567183704</v>
      </c>
      <c r="AN96" s="62">
        <f ca="1">AVERAGE(OFFSET($AM$3,0,0,'Données projet'!$E$10+1,1))-AVERAGE(OFFSET($H$3,0,0,'Données projet'!$E$10+1,1))</f>
        <v>212.90262675152454</v>
      </c>
      <c r="AO96" s="62">
        <f t="shared" si="90"/>
        <v>366.51899340890498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31.413997931604531</v>
      </c>
      <c r="AV96" s="23">
        <f>EXP(-LN(2)/25)*AV95+(1-EXP(-LN(2)/25))/(LN(2)/25)*Calculateur!AQ96*Calculateur!AS96*VLOOKUP('Données projet'!$B$10,Paramètres!$A$1:$I$89,3,0)*0.475*44/12</f>
        <v>0.58284203160551851</v>
      </c>
      <c r="AW96" s="23">
        <f>EXP(-LN(2)/2)*AW95+(1-EXP(-LN(2)/2))/(LN(2)/2)*AQ96*AT96*VLOOKUP('Données projet'!$B$10,Paramètres!$A$1:$I$89,3,0)*0.475*44/12</f>
        <v>3.6269952497463413E-7</v>
      </c>
      <c r="AX96" s="23">
        <f t="shared" si="60"/>
        <v>31.996840325909574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5.6843418860808015E-14</v>
      </c>
      <c r="BE96" s="14">
        <f>BD96*VLOOKUP('Données projet'!$B$11,Paramètres!$A$1:$I$89,3,0)*VLOOKUP('Données projet'!$B$11,Paramètres!$A$1:$I$89,5,0)</f>
        <v>4.9658410716801891E-14</v>
      </c>
      <c r="BF96" s="14">
        <f t="shared" si="91"/>
        <v>8.0934058173791862E-13</v>
      </c>
      <c r="BG96" s="22">
        <f t="shared" si="61"/>
        <v>1.4960899118586383E-12</v>
      </c>
      <c r="BH96" s="62">
        <f t="shared" si="62"/>
        <v>275.32816567183744</v>
      </c>
      <c r="BI96" s="62">
        <f ca="1">AVERAGE(OFFSET($BH$3,0,0,'Données projet'!$E$11+1,1))-AVERAGE(OFFSET($H$3,0,0,'Données projet'!$E$11+1,1))</f>
        <v>342.02279578180605</v>
      </c>
      <c r="BJ96" s="62">
        <f t="shared" si="92"/>
        <v>409.02379334777754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317.99999999999972</v>
      </c>
      <c r="BZ96" s="14">
        <f>BY96*VLOOKUP('Données projet'!$B$12,Paramètres!$A$1:$I$89,3,0)*VLOOKUP('Données projet'!$B$12,Paramètres!$A$1:$I$89,5,0)</f>
        <v>253.0007999999998</v>
      </c>
      <c r="CA96" s="14">
        <f t="shared" si="93"/>
        <v>61.228070105968683</v>
      </c>
      <c r="CB96" s="22">
        <f t="shared" si="64"/>
        <v>547.28194876789507</v>
      </c>
      <c r="CC96" s="62">
        <f t="shared" si="65"/>
        <v>822.61011443973098</v>
      </c>
      <c r="CD96" s="62">
        <f ca="1">AVERAGE(OFFSET($CC$3,0,0,'Données projet'!$E$12+1,1))-AVERAGE(OFFSET($H$3,0,0,'Données projet'!$E$12+1,1))</f>
        <v>376.47942810265266</v>
      </c>
      <c r="CE96" s="62">
        <f t="shared" si="94"/>
        <v>362.87951024071265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4.8087263046019926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4.8087263046019926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317.99999999999972</v>
      </c>
      <c r="CU96" s="18">
        <f>CT96*VLOOKUP('Données projet'!$B$13,Paramètres!$A$1:$I$89,3,0)*VLOOKUP('Données projet'!$B$13,Paramètres!$A$1:$I$89,5,0)</f>
        <v>233.1575999999998</v>
      </c>
      <c r="CV96" s="14">
        <f t="shared" si="95"/>
        <v>56.964885721091697</v>
      </c>
      <c r="CW96" s="22">
        <f t="shared" si="67"/>
        <v>505.29666263090093</v>
      </c>
      <c r="CX96" s="62">
        <f t="shared" si="68"/>
        <v>780.62482830273689</v>
      </c>
      <c r="CY96" s="62">
        <f ca="1">AVERAGE(OFFSET($CX$3,0,0,'Données projet'!$E$13+1,1))-AVERAGE(OFFSET($H$3,0,0,'Données projet'!$E$13+1,1))</f>
        <v>351.7223836693733</v>
      </c>
      <c r="CZ96" s="62">
        <f t="shared" si="96"/>
        <v>339.34942976598518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3.5954257719573164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3.5954257719573164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183.33333333333334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6.3550942286383367E-14</v>
      </c>
      <c r="P97" s="14">
        <f t="shared" si="87"/>
        <v>1.0064464192543978E-12</v>
      </c>
      <c r="Q97" s="22">
        <f t="shared" si="54"/>
        <v>1.8635787380168604E-12</v>
      </c>
      <c r="R97" s="62">
        <f t="shared" si="55"/>
        <v>275.64051507724037</v>
      </c>
      <c r="S97" s="62">
        <f ca="1">AVERAGE(OFFSET($R$3,0,0,'Données projet'!$E$9+1,1))-AVERAGE(OFFSET($H$3,0,0,'Données projet'!$E$9+1,1))</f>
        <v>409.45931633551902</v>
      </c>
      <c r="T97" s="62">
        <f t="shared" si="88"/>
        <v>375.18886653687389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1.4924068102220414</v>
      </c>
      <c r="AA97" s="23">
        <f>EXP(-LN(2)/25)*AA96+(1-EXP(-LN(2)/25))/(LN(2)/25)*Calculateur!V97*Calculateur!X97*VLOOKUP('Données projet'!$B$9,Paramètres!$A$1:$I$89,3,0)*0.475*44/12</f>
        <v>3.2754355791980214</v>
      </c>
      <c r="AB97" s="23">
        <f>EXP(-LN(2)/2)*AB96+(1-EXP(-LN(2)/2))/(LN(2)/2)*V97*Y97*VLOOKUP('Données projet'!$B$9,Paramètres!$A$1:$I$89,3,0)*0.475*44/12</f>
        <v>2.7010884875725015E-9</v>
      </c>
      <c r="AC97" s="24">
        <f t="shared" si="57"/>
        <v>4.7678423921211506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5.6843418860808015E-14</v>
      </c>
      <c r="AJ97" s="14">
        <f>AI97*VLOOKUP('Données projet'!$B$10,Paramètres!$A$1:$I$89,3,0)*VLOOKUP('Données projet'!$B$10,Paramètres!$A$1:$I$89,5,0)</f>
        <v>3.3992364478763198E-14</v>
      </c>
      <c r="AK97" s="14">
        <f t="shared" si="89"/>
        <v>5.790027782444094E-13</v>
      </c>
      <c r="AL97" s="22">
        <f t="shared" si="58"/>
        <v>1.0676332069095257E-12</v>
      </c>
      <c r="AM97" s="62">
        <f t="shared" si="59"/>
        <v>275.64051507723957</v>
      </c>
      <c r="AN97" s="62">
        <f ca="1">AVERAGE(OFFSET($AM$3,0,0,'Données projet'!$E$10+1,1))-AVERAGE(OFFSET($H$3,0,0,'Données projet'!$E$10+1,1))</f>
        <v>212.90262675152454</v>
      </c>
      <c r="AO97" s="62">
        <f t="shared" si="90"/>
        <v>366.51899340890498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30.797988592812548</v>
      </c>
      <c r="AV97" s="23">
        <f>EXP(-LN(2)/25)*AV96+(1-EXP(-LN(2)/25))/(LN(2)/25)*Calculateur!AQ97*Calculateur!AS97*VLOOKUP('Données projet'!$B$10,Paramètres!$A$1:$I$89,3,0)*0.475*44/12</f>
        <v>0.56690418560093525</v>
      </c>
      <c r="AW97" s="23">
        <f>EXP(-LN(2)/2)*AW96+(1-EXP(-LN(2)/2))/(LN(2)/2)*AQ97*AT97*VLOOKUP('Données projet'!$B$10,Paramètres!$A$1:$I$89,3,0)*0.475*44/12</f>
        <v>2.5646729364270334E-7</v>
      </c>
      <c r="AX97" s="23">
        <f t="shared" si="60"/>
        <v>31.36489303488078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5.6843418860808015E-14</v>
      </c>
      <c r="BE97" s="14">
        <f>BD97*VLOOKUP('Données projet'!$B$11,Paramètres!$A$1:$I$89,3,0)*VLOOKUP('Données projet'!$B$11,Paramètres!$A$1:$I$89,5,0)</f>
        <v>4.9658410716801891E-14</v>
      </c>
      <c r="BF97" s="14">
        <f t="shared" si="91"/>
        <v>8.0934058173791862E-13</v>
      </c>
      <c r="BG97" s="22">
        <f t="shared" si="61"/>
        <v>1.4960899118586383E-12</v>
      </c>
      <c r="BH97" s="62">
        <f t="shared" si="62"/>
        <v>275.64051507723997</v>
      </c>
      <c r="BI97" s="62">
        <f ca="1">AVERAGE(OFFSET($BH$3,0,0,'Données projet'!$E$11+1,1))-AVERAGE(OFFSET($H$3,0,0,'Données projet'!$E$11+1,1))</f>
        <v>342.02279578180605</v>
      </c>
      <c r="BJ97" s="62">
        <f t="shared" si="92"/>
        <v>409.02379334777754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317.99999999999972</v>
      </c>
      <c r="BZ97" s="14">
        <f>BY97*VLOOKUP('Données projet'!$B$12,Paramètres!$A$1:$I$89,3,0)*VLOOKUP('Données projet'!$B$12,Paramètres!$A$1:$I$89,5,0)</f>
        <v>253.0007999999998</v>
      </c>
      <c r="CA97" s="14">
        <f t="shared" si="93"/>
        <v>61.228070105968683</v>
      </c>
      <c r="CB97" s="22">
        <f t="shared" si="64"/>
        <v>547.28194876789507</v>
      </c>
      <c r="CC97" s="62">
        <f t="shared" si="65"/>
        <v>822.92246384513351</v>
      </c>
      <c r="CD97" s="62">
        <f ca="1">AVERAGE(OFFSET($CC$3,0,0,'Données projet'!$E$12+1,1))-AVERAGE(OFFSET($H$3,0,0,'Données projet'!$E$12+1,1))</f>
        <v>376.47942810265266</v>
      </c>
      <c r="CE97" s="62">
        <f t="shared" si="94"/>
        <v>362.87951024071265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4.7144301148021803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4.7144301148021803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317.99999999999972</v>
      </c>
      <c r="CU97" s="18">
        <f>CT97*VLOOKUP('Données projet'!$B$13,Paramètres!$A$1:$I$89,3,0)*VLOOKUP('Données projet'!$B$13,Paramètres!$A$1:$I$89,5,0)</f>
        <v>233.1575999999998</v>
      </c>
      <c r="CV97" s="14">
        <f t="shared" si="95"/>
        <v>56.964885721091697</v>
      </c>
      <c r="CW97" s="22">
        <f t="shared" si="67"/>
        <v>505.29666263090093</v>
      </c>
      <c r="CX97" s="62">
        <f t="shared" si="68"/>
        <v>780.93717770813942</v>
      </c>
      <c r="CY97" s="62">
        <f ca="1">AVERAGE(OFFSET($CX$3,0,0,'Données projet'!$E$13+1,1))-AVERAGE(OFFSET($H$3,0,0,'Données projet'!$E$13+1,1))</f>
        <v>351.7223836693733</v>
      </c>
      <c r="CZ97" s="62">
        <f t="shared" si="96"/>
        <v>339.34942976598518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3.524921665562414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3.524921665562414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183.33333333333334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6.3550942286383367E-14</v>
      </c>
      <c r="P98" s="14">
        <f t="shared" si="87"/>
        <v>1.0064464192543978E-12</v>
      </c>
      <c r="Q98" s="22">
        <f t="shared" si="54"/>
        <v>1.8635787380168604E-12</v>
      </c>
      <c r="R98" s="62">
        <f t="shared" si="55"/>
        <v>275.94744591876781</v>
      </c>
      <c r="S98" s="62">
        <f ca="1">AVERAGE(OFFSET($R$3,0,0,'Données projet'!$E$9+1,1))-AVERAGE(OFFSET($H$3,0,0,'Données projet'!$E$9+1,1))</f>
        <v>409.45931633551902</v>
      </c>
      <c r="T98" s="62">
        <f t="shared" si="88"/>
        <v>375.18886653687389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1.4631416229518588</v>
      </c>
      <c r="AA98" s="23">
        <f>EXP(-LN(2)/25)*AA97+(1-EXP(-LN(2)/25))/(LN(2)/25)*Calculateur!V98*Calculateur!X98*VLOOKUP('Données projet'!$B$9,Paramètres!$A$1:$I$89,3,0)*0.475*44/12</f>
        <v>3.1858686210371805</v>
      </c>
      <c r="AB98" s="23">
        <f>EXP(-LN(2)/2)*AB97+(1-EXP(-LN(2)/2))/(LN(2)/2)*V98*Y98*VLOOKUP('Données projet'!$B$9,Paramètres!$A$1:$I$89,3,0)*0.475*44/12</f>
        <v>1.9099579861474313E-9</v>
      </c>
      <c r="AC98" s="24">
        <f t="shared" si="57"/>
        <v>4.6490102458989977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5.6843418860808015E-14</v>
      </c>
      <c r="AJ98" s="14">
        <f>AI98*VLOOKUP('Données projet'!$B$10,Paramètres!$A$1:$I$89,3,0)*VLOOKUP('Données projet'!$B$10,Paramètres!$A$1:$I$89,5,0)</f>
        <v>3.3992364478763198E-14</v>
      </c>
      <c r="AK98" s="14">
        <f t="shared" si="89"/>
        <v>5.790027782444094E-13</v>
      </c>
      <c r="AL98" s="22">
        <f t="shared" si="58"/>
        <v>1.0676332069095257E-12</v>
      </c>
      <c r="AM98" s="62">
        <f t="shared" si="59"/>
        <v>275.94744591876702</v>
      </c>
      <c r="AN98" s="62">
        <f ca="1">AVERAGE(OFFSET($AM$3,0,0,'Données projet'!$E$10+1,1))-AVERAGE(OFFSET($H$3,0,0,'Données projet'!$E$10+1,1))</f>
        <v>212.90262675152454</v>
      </c>
      <c r="AO98" s="62">
        <f t="shared" si="90"/>
        <v>366.51899340890498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30.194058821425678</v>
      </c>
      <c r="AV98" s="23">
        <f>EXP(-LN(2)/25)*AV97+(1-EXP(-LN(2)/25))/(LN(2)/25)*Calculateur!AQ98*Calculateur!AS98*VLOOKUP('Données projet'!$B$10,Paramètres!$A$1:$I$89,3,0)*0.475*44/12</f>
        <v>0.55140216083348226</v>
      </c>
      <c r="AW98" s="23">
        <f>EXP(-LN(2)/2)*AW97+(1-EXP(-LN(2)/2))/(LN(2)/2)*AQ98*AT98*VLOOKUP('Données projet'!$B$10,Paramètres!$A$1:$I$89,3,0)*0.475*44/12</f>
        <v>1.8134976248731706E-7</v>
      </c>
      <c r="AX98" s="23">
        <f t="shared" si="60"/>
        <v>30.745461163608923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5.6843418860808015E-14</v>
      </c>
      <c r="BE98" s="14">
        <f>BD98*VLOOKUP('Données projet'!$B$11,Paramètres!$A$1:$I$89,3,0)*VLOOKUP('Données projet'!$B$11,Paramètres!$A$1:$I$89,5,0)</f>
        <v>4.9658410716801891E-14</v>
      </c>
      <c r="BF98" s="14">
        <f t="shared" si="91"/>
        <v>8.0934058173791862E-13</v>
      </c>
      <c r="BG98" s="22">
        <f t="shared" si="61"/>
        <v>1.4960899118586383E-12</v>
      </c>
      <c r="BH98" s="62">
        <f t="shared" si="62"/>
        <v>275.94744591876741</v>
      </c>
      <c r="BI98" s="62">
        <f ca="1">AVERAGE(OFFSET($BH$3,0,0,'Données projet'!$E$11+1,1))-AVERAGE(OFFSET($H$3,0,0,'Données projet'!$E$11+1,1))</f>
        <v>342.02279578180605</v>
      </c>
      <c r="BJ98" s="62">
        <f t="shared" si="92"/>
        <v>409.02379334777754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317.99999999999972</v>
      </c>
      <c r="BZ98" s="14">
        <f>BY98*VLOOKUP('Données projet'!$B$12,Paramètres!$A$1:$I$89,3,0)*VLOOKUP('Données projet'!$B$12,Paramètres!$A$1:$I$89,5,0)</f>
        <v>253.0007999999998</v>
      </c>
      <c r="CA98" s="14">
        <f t="shared" si="93"/>
        <v>61.228070105968683</v>
      </c>
      <c r="CB98" s="22">
        <f t="shared" si="64"/>
        <v>547.28194876789507</v>
      </c>
      <c r="CC98" s="62">
        <f t="shared" si="65"/>
        <v>823.22939468666095</v>
      </c>
      <c r="CD98" s="62">
        <f ca="1">AVERAGE(OFFSET($CC$3,0,0,'Données projet'!$E$12+1,1))-AVERAGE(OFFSET($H$3,0,0,'Données projet'!$E$12+1,1))</f>
        <v>376.47942810265266</v>
      </c>
      <c r="CE98" s="62">
        <f t="shared" si="94"/>
        <v>362.87951024071265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4.621983015769346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4.621983015769346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317.99999999999972</v>
      </c>
      <c r="CU98" s="18">
        <f>CT98*VLOOKUP('Données projet'!$B$13,Paramètres!$A$1:$I$89,3,0)*VLOOKUP('Données projet'!$B$13,Paramètres!$A$1:$I$89,5,0)</f>
        <v>233.1575999999998</v>
      </c>
      <c r="CV98" s="14">
        <f t="shared" si="95"/>
        <v>56.964885721091697</v>
      </c>
      <c r="CW98" s="22">
        <f t="shared" si="67"/>
        <v>505.29666263090093</v>
      </c>
      <c r="CX98" s="62">
        <f t="shared" si="68"/>
        <v>781.24410854966686</v>
      </c>
      <c r="CY98" s="62">
        <f ca="1">AVERAGE(OFFSET($CX$3,0,0,'Données projet'!$E$13+1,1))-AVERAGE(OFFSET($H$3,0,0,'Données projet'!$E$13+1,1))</f>
        <v>351.7223836693733</v>
      </c>
      <c r="CZ98" s="62">
        <f t="shared" si="96"/>
        <v>339.34942976598518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3.4558001016906572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3.4558001016906572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183.33333333333334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6.3550942286383367E-14</v>
      </c>
      <c r="P99" s="14">
        <f t="shared" si="87"/>
        <v>1.0064464192543978E-12</v>
      </c>
      <c r="Q99" s="22">
        <f t="shared" ref="Q99:Q130" si="107">(O99+P99)*0.475*44/12</f>
        <v>1.8635787380168604E-12</v>
      </c>
      <c r="R99" s="62">
        <f t="shared" si="55"/>
        <v>276.2490521963893</v>
      </c>
      <c r="S99" s="62">
        <f ca="1">AVERAGE(OFFSET($R$3,0,0,'Données projet'!$E$9+1,1))-AVERAGE(OFFSET($H$3,0,0,'Données projet'!$E$9+1,1))</f>
        <v>409.45931633551902</v>
      </c>
      <c r="T99" s="62">
        <f t="shared" si="88"/>
        <v>375.18886653687389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1.434450308154043</v>
      </c>
      <c r="AA99" s="23">
        <f>EXP(-LN(2)/25)*AA98+(1-EXP(-LN(2)/25))/(LN(2)/25)*Calculateur!V99*Calculateur!X99*VLOOKUP('Données projet'!$B$9,Paramètres!$A$1:$I$89,3,0)*0.475*44/12</f>
        <v>3.0987508760573692</v>
      </c>
      <c r="AB99" s="23">
        <f>EXP(-LN(2)/2)*AB98+(1-EXP(-LN(2)/2))/(LN(2)/2)*V99*Y99*VLOOKUP('Données projet'!$B$9,Paramètres!$A$1:$I$89,3,0)*0.475*44/12</f>
        <v>1.3505442437862508E-9</v>
      </c>
      <c r="AC99" s="24">
        <f t="shared" si="57"/>
        <v>4.5332011855619569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5.6843418860808015E-14</v>
      </c>
      <c r="AJ99" s="14">
        <f>AI99*VLOOKUP('Données projet'!$B$10,Paramètres!$A$1:$I$89,3,0)*VLOOKUP('Données projet'!$B$10,Paramètres!$A$1:$I$89,5,0)</f>
        <v>3.3992364478763198E-14</v>
      </c>
      <c r="AK99" s="14">
        <f t="shared" si="89"/>
        <v>5.790027782444094E-13</v>
      </c>
      <c r="AL99" s="22">
        <f t="shared" si="58"/>
        <v>1.0676332069095257E-12</v>
      </c>
      <c r="AM99" s="62">
        <f t="shared" si="59"/>
        <v>276.2490521963885</v>
      </c>
      <c r="AN99" s="62">
        <f ca="1">AVERAGE(OFFSET($AM$3,0,0,'Données projet'!$E$10+1,1))-AVERAGE(OFFSET($H$3,0,0,'Données projet'!$E$10+1,1))</f>
        <v>212.90262675152454</v>
      </c>
      <c r="AO99" s="62">
        <f t="shared" si="90"/>
        <v>366.51899340890498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29.601971744494918</v>
      </c>
      <c r="AV99" s="23">
        <f>EXP(-LN(2)/25)*AV98+(1-EXP(-LN(2)/25))/(LN(2)/25)*Calculateur!AQ99*Calculateur!AS99*VLOOKUP('Données projet'!$B$10,Paramètres!$A$1:$I$89,3,0)*0.475*44/12</f>
        <v>0.53632403974851128</v>
      </c>
      <c r="AW99" s="23">
        <f>EXP(-LN(2)/2)*AW98+(1-EXP(-LN(2)/2))/(LN(2)/2)*AQ99*AT99*VLOOKUP('Données projet'!$B$10,Paramètres!$A$1:$I$89,3,0)*0.475*44/12</f>
        <v>1.2823364682135167E-7</v>
      </c>
      <c r="AX99" s="23">
        <f t="shared" si="60"/>
        <v>30.138295912477076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5.6843418860808015E-14</v>
      </c>
      <c r="BE99" s="14">
        <f>BD99*VLOOKUP('Données projet'!$B$11,Paramètres!$A$1:$I$89,3,0)*VLOOKUP('Données projet'!$B$11,Paramètres!$A$1:$I$89,5,0)</f>
        <v>4.9658410716801891E-14</v>
      </c>
      <c r="BF99" s="14">
        <f t="shared" si="91"/>
        <v>8.0934058173791862E-13</v>
      </c>
      <c r="BG99" s="22">
        <f t="shared" si="61"/>
        <v>1.4960899118586383E-12</v>
      </c>
      <c r="BH99" s="62">
        <f t="shared" si="62"/>
        <v>276.2490521963889</v>
      </c>
      <c r="BI99" s="62">
        <f ca="1">AVERAGE(OFFSET($BH$3,0,0,'Données projet'!$E$11+1,1))-AVERAGE(OFFSET($H$3,0,0,'Données projet'!$E$11+1,1))</f>
        <v>342.02279578180605</v>
      </c>
      <c r="BJ99" s="62">
        <f t="shared" si="92"/>
        <v>409.02379334777754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317.99999999999972</v>
      </c>
      <c r="BZ99" s="14">
        <f>BY99*VLOOKUP('Données projet'!$B$12,Paramètres!$A$1:$I$89,3,0)*VLOOKUP('Données projet'!$B$12,Paramètres!$A$1:$I$89,5,0)</f>
        <v>253.0007999999998</v>
      </c>
      <c r="CA99" s="14">
        <f t="shared" si="93"/>
        <v>61.228070105968683</v>
      </c>
      <c r="CB99" s="22">
        <f t="shared" si="64"/>
        <v>547.28194876789507</v>
      </c>
      <c r="CC99" s="62">
        <f t="shared" si="65"/>
        <v>823.5310009642825</v>
      </c>
      <c r="CD99" s="62">
        <f ca="1">AVERAGE(OFFSET($CC$3,0,0,'Données projet'!$E$12+1,1))-AVERAGE(OFFSET($H$3,0,0,'Données projet'!$E$12+1,1))</f>
        <v>376.47942810265266</v>
      </c>
      <c r="CE99" s="62">
        <f t="shared" si="94"/>
        <v>362.87951024071265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4.531348747961383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4.531348747961383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317.99999999999972</v>
      </c>
      <c r="CU99" s="18">
        <f>CT99*VLOOKUP('Données projet'!$B$13,Paramètres!$A$1:$I$89,3,0)*VLOOKUP('Données projet'!$B$13,Paramètres!$A$1:$I$89,5,0)</f>
        <v>233.1575999999998</v>
      </c>
      <c r="CV99" s="14">
        <f t="shared" si="95"/>
        <v>56.964885721091697</v>
      </c>
      <c r="CW99" s="22">
        <f t="shared" si="67"/>
        <v>505.29666263090093</v>
      </c>
      <c r="CX99" s="62">
        <f t="shared" si="68"/>
        <v>781.54571482728829</v>
      </c>
      <c r="CY99" s="62">
        <f ca="1">AVERAGE(OFFSET($CX$3,0,0,'Données projet'!$E$13+1,1))-AVERAGE(OFFSET($H$3,0,0,'Données projet'!$E$13+1,1))</f>
        <v>351.7223836693733</v>
      </c>
      <c r="CZ99" s="62">
        <f t="shared" si="96"/>
        <v>339.34942976598518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3.3880339695264343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3.3880339695264343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183.33333333333334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6.3550942286383367E-14</v>
      </c>
      <c r="P100" s="14">
        <f t="shared" si="87"/>
        <v>1.0064464192543978E-12</v>
      </c>
      <c r="Q100" s="22">
        <f t="shared" si="107"/>
        <v>1.8635787380168604E-12</v>
      </c>
      <c r="R100" s="62">
        <f t="shared" si="55"/>
        <v>276.54542627938469</v>
      </c>
      <c r="S100" s="62">
        <f ca="1">AVERAGE(OFFSET($R$3,0,0,'Données projet'!$E$9+1,1))-AVERAGE(OFFSET($H$3,0,0,'Données projet'!$E$9+1,1))</f>
        <v>409.45931633551902</v>
      </c>
      <c r="T100" s="62">
        <f t="shared" si="88"/>
        <v>375.18886653687389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1.4063216125394382</v>
      </c>
      <c r="AA100" s="23">
        <f>EXP(-LN(2)/25)*AA99+(1-EXP(-LN(2)/25))/(LN(2)/25)*Calculateur!V100*Calculateur!X100*VLOOKUP('Données projet'!$B$9,Paramètres!$A$1:$I$89,3,0)*0.475*44/12</f>
        <v>3.0140153703953541</v>
      </c>
      <c r="AB100" s="23">
        <f>EXP(-LN(2)/2)*AB99+(1-EXP(-LN(2)/2))/(LN(2)/2)*V100*Y100*VLOOKUP('Données projet'!$B$9,Paramètres!$A$1:$I$89,3,0)*0.475*44/12</f>
        <v>9.5497899307371567E-10</v>
      </c>
      <c r="AC100" s="24">
        <f t="shared" si="57"/>
        <v>4.4203369838897713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5.6843418860808015E-14</v>
      </c>
      <c r="AJ100" s="14">
        <f>AI100*VLOOKUP('Données projet'!$B$10,Paramètres!$A$1:$I$89,3,0)*VLOOKUP('Données projet'!$B$10,Paramètres!$A$1:$I$89,5,0)</f>
        <v>3.3992364478763198E-14</v>
      </c>
      <c r="AK100" s="14">
        <f t="shared" si="89"/>
        <v>5.790027782444094E-13</v>
      </c>
      <c r="AL100" s="22">
        <f t="shared" si="58"/>
        <v>1.0676332069095257E-12</v>
      </c>
      <c r="AM100" s="62">
        <f t="shared" si="59"/>
        <v>276.54542627938389</v>
      </c>
      <c r="AN100" s="62">
        <f ca="1">AVERAGE(OFFSET($AM$3,0,0,'Données projet'!$E$10+1,1))-AVERAGE(OFFSET($H$3,0,0,'Données projet'!$E$10+1,1))</f>
        <v>212.90262675152454</v>
      </c>
      <c r="AO100" s="62">
        <f t="shared" si="90"/>
        <v>366.51899340890498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29.021495134005313</v>
      </c>
      <c r="AV100" s="23">
        <f>EXP(-LN(2)/25)*AV99+(1-EXP(-LN(2)/25))/(LN(2)/25)*Calculateur!AQ100*Calculateur!AS100*VLOOKUP('Données projet'!$B$10,Paramètres!$A$1:$I$89,3,0)*0.475*44/12</f>
        <v>0.52165823067753281</v>
      </c>
      <c r="AW100" s="23">
        <f>EXP(-LN(2)/2)*AW99+(1-EXP(-LN(2)/2))/(LN(2)/2)*AQ100*AT100*VLOOKUP('Données projet'!$B$10,Paramètres!$A$1:$I$89,3,0)*0.475*44/12</f>
        <v>9.0674881243658531E-8</v>
      </c>
      <c r="AX100" s="23">
        <f t="shared" si="60"/>
        <v>29.543153455357729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5.6843418860808015E-14</v>
      </c>
      <c r="BE100" s="14">
        <f>BD100*VLOOKUP('Données projet'!$B$11,Paramètres!$A$1:$I$89,3,0)*VLOOKUP('Données projet'!$B$11,Paramètres!$A$1:$I$89,5,0)</f>
        <v>4.9658410716801891E-14</v>
      </c>
      <c r="BF100" s="14">
        <f t="shared" si="91"/>
        <v>8.0934058173791862E-13</v>
      </c>
      <c r="BG100" s="22">
        <f t="shared" si="61"/>
        <v>1.4960899118586383E-12</v>
      </c>
      <c r="BH100" s="62">
        <f t="shared" si="62"/>
        <v>276.54542627938429</v>
      </c>
      <c r="BI100" s="62">
        <f ca="1">AVERAGE(OFFSET($BH$3,0,0,'Données projet'!$E$11+1,1))-AVERAGE(OFFSET($H$3,0,0,'Données projet'!$E$11+1,1))</f>
        <v>342.02279578180605</v>
      </c>
      <c r="BJ100" s="62">
        <f t="shared" si="92"/>
        <v>409.02379334777754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317.99999999999972</v>
      </c>
      <c r="BZ100" s="14">
        <f>BY100*VLOOKUP('Données projet'!$B$12,Paramètres!$A$1:$I$89,3,0)*VLOOKUP('Données projet'!$B$12,Paramètres!$A$1:$I$89,5,0)</f>
        <v>253.0007999999998</v>
      </c>
      <c r="CA100" s="14">
        <f t="shared" si="93"/>
        <v>61.228070105968683</v>
      </c>
      <c r="CB100" s="22">
        <f t="shared" si="64"/>
        <v>547.28194876789507</v>
      </c>
      <c r="CC100" s="62">
        <f t="shared" si="65"/>
        <v>823.82737504727788</v>
      </c>
      <c r="CD100" s="62">
        <f ca="1">AVERAGE(OFFSET($CC$3,0,0,'Données projet'!$E$12+1,1))-AVERAGE(OFFSET($H$3,0,0,'Données projet'!$E$12+1,1))</f>
        <v>376.47942810265266</v>
      </c>
      <c r="CE100" s="62">
        <f t="shared" si="94"/>
        <v>362.87951024071265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4.4424917628636891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4.4424917628636891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317.99999999999972</v>
      </c>
      <c r="CU100" s="18">
        <f>CT100*VLOOKUP('Données projet'!$B$13,Paramètres!$A$1:$I$89,3,0)*VLOOKUP('Données projet'!$B$13,Paramètres!$A$1:$I$89,5,0)</f>
        <v>233.1575999999998</v>
      </c>
      <c r="CV100" s="14">
        <f t="shared" si="95"/>
        <v>56.964885721091697</v>
      </c>
      <c r="CW100" s="22">
        <f t="shared" si="67"/>
        <v>505.29666263090093</v>
      </c>
      <c r="CX100" s="62">
        <f t="shared" si="68"/>
        <v>781.84208891028379</v>
      </c>
      <c r="CY100" s="62">
        <f ca="1">AVERAGE(OFFSET($CX$3,0,0,'Données projet'!$E$13+1,1))-AVERAGE(OFFSET($H$3,0,0,'Données projet'!$E$13+1,1))</f>
        <v>351.7223836693733</v>
      </c>
      <c r="CZ100" s="62">
        <f t="shared" si="96"/>
        <v>339.34942976598518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3.3215966898806926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3.3215966898806926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183.33333333333334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6.3550942286383367E-14</v>
      </c>
      <c r="P101" s="14">
        <f t="shared" si="87"/>
        <v>1.0064464192543978E-12</v>
      </c>
      <c r="Q101" s="22">
        <f t="shared" si="107"/>
        <v>1.8635787380168604E-12</v>
      </c>
      <c r="R101" s="62">
        <f t="shared" si="55"/>
        <v>276.83665893463325</v>
      </c>
      <c r="S101" s="62">
        <f ca="1">AVERAGE(OFFSET($R$3,0,0,'Données projet'!$E$9+1,1))-AVERAGE(OFFSET($H$3,0,0,'Données projet'!$E$9+1,1))</f>
        <v>409.45931633551902</v>
      </c>
      <c r="T101" s="62">
        <f t="shared" si="88"/>
        <v>375.18886653687389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1.3787445034890256</v>
      </c>
      <c r="AA101" s="23">
        <f>EXP(-LN(2)/25)*AA100+(1-EXP(-LN(2)/25))/(LN(2)/25)*Calculateur!V101*Calculateur!X101*VLOOKUP('Données projet'!$B$9,Paramètres!$A$1:$I$89,3,0)*0.475*44/12</f>
        <v>2.9315969615917132</v>
      </c>
      <c r="AB101" s="23">
        <f>EXP(-LN(2)/2)*AB100+(1-EXP(-LN(2)/2))/(LN(2)/2)*V101*Y101*VLOOKUP('Données projet'!$B$9,Paramètres!$A$1:$I$89,3,0)*0.475*44/12</f>
        <v>6.7527212189312538E-10</v>
      </c>
      <c r="AC101" s="24">
        <f t="shared" si="57"/>
        <v>4.3103414657560108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5.6843418860808015E-14</v>
      </c>
      <c r="AJ101" s="14">
        <f>AI101*VLOOKUP('Données projet'!$B$10,Paramètres!$A$1:$I$89,3,0)*VLOOKUP('Données projet'!$B$10,Paramètres!$A$1:$I$89,5,0)</f>
        <v>3.3992364478763198E-14</v>
      </c>
      <c r="AK101" s="14">
        <f t="shared" si="89"/>
        <v>5.790027782444094E-13</v>
      </c>
      <c r="AL101" s="22">
        <f t="shared" si="58"/>
        <v>1.0676332069095257E-12</v>
      </c>
      <c r="AM101" s="62">
        <f t="shared" si="59"/>
        <v>276.83665893463245</v>
      </c>
      <c r="AN101" s="62">
        <f ca="1">AVERAGE(OFFSET($AM$3,0,0,'Données projet'!$E$10+1,1))-AVERAGE(OFFSET($H$3,0,0,'Données projet'!$E$10+1,1))</f>
        <v>212.90262675152454</v>
      </c>
      <c r="AO101" s="62">
        <f t="shared" si="90"/>
        <v>366.51899340890498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28.452401315791636</v>
      </c>
      <c r="AV101" s="23">
        <f>EXP(-LN(2)/25)*AV100+(1-EXP(-LN(2)/25))/(LN(2)/25)*Calculateur!AQ101*Calculateur!AS101*VLOOKUP('Données projet'!$B$10,Paramètres!$A$1:$I$89,3,0)*0.475*44/12</f>
        <v>0.50739345892684162</v>
      </c>
      <c r="AW101" s="23">
        <f>EXP(-LN(2)/2)*AW100+(1-EXP(-LN(2)/2))/(LN(2)/2)*AQ101*AT101*VLOOKUP('Données projet'!$B$10,Paramètres!$A$1:$I$89,3,0)*0.475*44/12</f>
        <v>6.4116823410675835E-8</v>
      </c>
      <c r="AX101" s="23">
        <f t="shared" si="60"/>
        <v>28.9597948388353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5.6843418860808015E-14</v>
      </c>
      <c r="BE101" s="14">
        <f>BD101*VLOOKUP('Données projet'!$B$11,Paramètres!$A$1:$I$89,3,0)*VLOOKUP('Données projet'!$B$11,Paramètres!$A$1:$I$89,5,0)</f>
        <v>4.9658410716801891E-14</v>
      </c>
      <c r="BF101" s="14">
        <f t="shared" si="91"/>
        <v>8.0934058173791862E-13</v>
      </c>
      <c r="BG101" s="22">
        <f t="shared" si="61"/>
        <v>1.4960899118586383E-12</v>
      </c>
      <c r="BH101" s="62">
        <f t="shared" si="62"/>
        <v>276.83665893463285</v>
      </c>
      <c r="BI101" s="62">
        <f ca="1">AVERAGE(OFFSET($BH$3,0,0,'Données projet'!$E$11+1,1))-AVERAGE(OFFSET($H$3,0,0,'Données projet'!$E$11+1,1))</f>
        <v>342.02279578180605</v>
      </c>
      <c r="BJ101" s="62">
        <f t="shared" si="92"/>
        <v>409.02379334777754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317.99999999999972</v>
      </c>
      <c r="BZ101" s="14">
        <f>BY101*VLOOKUP('Données projet'!$B$12,Paramètres!$A$1:$I$89,3,0)*VLOOKUP('Données projet'!$B$12,Paramètres!$A$1:$I$89,5,0)</f>
        <v>253.0007999999998</v>
      </c>
      <c r="CA101" s="14">
        <f t="shared" si="93"/>
        <v>61.228070105968683</v>
      </c>
      <c r="CB101" s="22">
        <f t="shared" si="64"/>
        <v>547.28194876789507</v>
      </c>
      <c r="CC101" s="62">
        <f t="shared" si="65"/>
        <v>824.11860770252645</v>
      </c>
      <c r="CD101" s="62">
        <f ca="1">AVERAGE(OFFSET($CC$3,0,0,'Données projet'!$E$12+1,1))-AVERAGE(OFFSET($H$3,0,0,'Données projet'!$E$12+1,1))</f>
        <v>376.47942810265266</v>
      </c>
      <c r="CE101" s="62">
        <f t="shared" si="94"/>
        <v>362.87951024071265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4.3553772090463516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4.3553772090463516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317.99999999999972</v>
      </c>
      <c r="CU101" s="18">
        <f>CT101*VLOOKUP('Données projet'!$B$13,Paramètres!$A$1:$I$89,3,0)*VLOOKUP('Données projet'!$B$13,Paramètres!$A$1:$I$89,5,0)</f>
        <v>233.1575999999998</v>
      </c>
      <c r="CV101" s="14">
        <f t="shared" si="95"/>
        <v>56.964885721091697</v>
      </c>
      <c r="CW101" s="22">
        <f t="shared" si="67"/>
        <v>505.29666263090093</v>
      </c>
      <c r="CX101" s="62">
        <f t="shared" si="68"/>
        <v>782.13332156553224</v>
      </c>
      <c r="CY101" s="62">
        <f ca="1">AVERAGE(OFFSET($CX$3,0,0,'Données projet'!$E$13+1,1))-AVERAGE(OFFSET($H$3,0,0,'Données projet'!$E$13+1,1))</f>
        <v>351.7223836693733</v>
      </c>
      <c r="CZ101" s="62">
        <f t="shared" si="96"/>
        <v>339.34942976598518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3.2564622047660645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3.2564622047660645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183.33333333333334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6.3550942286383367E-14</v>
      </c>
      <c r="P102" s="14">
        <f t="shared" si="87"/>
        <v>1.0064464192543978E-12</v>
      </c>
      <c r="Q102" s="22">
        <f t="shared" si="107"/>
        <v>1.8635787380168604E-12</v>
      </c>
      <c r="R102" s="62">
        <f t="shared" si="55"/>
        <v>277.12283935441201</v>
      </c>
      <c r="S102" s="62">
        <f ca="1">AVERAGE(OFFSET($R$3,0,0,'Données projet'!$E$9+1,1))-AVERAGE(OFFSET($H$3,0,0,'Données projet'!$E$9+1,1))</f>
        <v>409.45931633551902</v>
      </c>
      <c r="T102" s="62">
        <f t="shared" si="88"/>
        <v>375.18886653687389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1.351708164726716</v>
      </c>
      <c r="AA102" s="23">
        <f>EXP(-LN(2)/25)*AA101+(1-EXP(-LN(2)/25))/(LN(2)/25)*Calculateur!V102*Calculateur!X102*VLOOKUP('Données projet'!$B$9,Paramètres!$A$1:$I$89,3,0)*0.475*44/12</f>
        <v>2.8514322885110039</v>
      </c>
      <c r="AB102" s="23">
        <f>EXP(-LN(2)/2)*AB101+(1-EXP(-LN(2)/2))/(LN(2)/2)*V102*Y102*VLOOKUP('Données projet'!$B$9,Paramètres!$A$1:$I$89,3,0)*0.475*44/12</f>
        <v>4.7748949653685784E-10</v>
      </c>
      <c r="AC102" s="24">
        <f t="shared" si="57"/>
        <v>4.2031404537152088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5.6843418860808015E-14</v>
      </c>
      <c r="AJ102" s="14">
        <f>AI102*VLOOKUP('Données projet'!$B$10,Paramètres!$A$1:$I$89,3,0)*VLOOKUP('Données projet'!$B$10,Paramètres!$A$1:$I$89,5,0)</f>
        <v>3.3992364478763198E-14</v>
      </c>
      <c r="AK102" s="14">
        <f t="shared" si="89"/>
        <v>5.790027782444094E-13</v>
      </c>
      <c r="AL102" s="22">
        <f t="shared" si="58"/>
        <v>1.0676332069095257E-12</v>
      </c>
      <c r="AM102" s="62">
        <f t="shared" si="59"/>
        <v>277.12283935441121</v>
      </c>
      <c r="AN102" s="62">
        <f ca="1">AVERAGE(OFFSET($AM$3,0,0,'Données projet'!$E$10+1,1))-AVERAGE(OFFSET($H$3,0,0,'Données projet'!$E$10+1,1))</f>
        <v>212.90262675152454</v>
      </c>
      <c r="AO102" s="62">
        <f t="shared" si="90"/>
        <v>366.51899340890498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27.894467080240176</v>
      </c>
      <c r="AV102" s="23">
        <f>EXP(-LN(2)/25)*AV101+(1-EXP(-LN(2)/25))/(LN(2)/25)*Calculateur!AQ102*Calculateur!AS102*VLOOKUP('Données projet'!$B$10,Paramètres!$A$1:$I$89,3,0)*0.475*44/12</f>
        <v>0.49351875810982482</v>
      </c>
      <c r="AW102" s="23">
        <f>EXP(-LN(2)/2)*AW101+(1-EXP(-LN(2)/2))/(LN(2)/2)*AQ102*AT102*VLOOKUP('Données projet'!$B$10,Paramètres!$A$1:$I$89,3,0)*0.475*44/12</f>
        <v>4.5337440621829266E-8</v>
      </c>
      <c r="AX102" s="23">
        <f t="shared" si="60"/>
        <v>28.387985883687442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5.6843418860808015E-14</v>
      </c>
      <c r="BE102" s="14">
        <f>BD102*VLOOKUP('Données projet'!$B$11,Paramètres!$A$1:$I$89,3,0)*VLOOKUP('Données projet'!$B$11,Paramètres!$A$1:$I$89,5,0)</f>
        <v>4.9658410716801891E-14</v>
      </c>
      <c r="BF102" s="14">
        <f t="shared" si="91"/>
        <v>8.0934058173791862E-13</v>
      </c>
      <c r="BG102" s="22">
        <f t="shared" si="61"/>
        <v>1.4960899118586383E-12</v>
      </c>
      <c r="BH102" s="62">
        <f t="shared" si="62"/>
        <v>277.12283935441161</v>
      </c>
      <c r="BI102" s="62">
        <f ca="1">AVERAGE(OFFSET($BH$3,0,0,'Données projet'!$E$11+1,1))-AVERAGE(OFFSET($H$3,0,0,'Données projet'!$E$11+1,1))</f>
        <v>342.02279578180605</v>
      </c>
      <c r="BJ102" s="62">
        <f t="shared" si="92"/>
        <v>409.02379334777754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317.99999999999972</v>
      </c>
      <c r="BZ102" s="14">
        <f>BY102*VLOOKUP('Données projet'!$B$12,Paramètres!$A$1:$I$89,3,0)*VLOOKUP('Données projet'!$B$12,Paramètres!$A$1:$I$89,5,0)</f>
        <v>253.0007999999998</v>
      </c>
      <c r="CA102" s="14">
        <f t="shared" si="93"/>
        <v>61.228070105968683</v>
      </c>
      <c r="CB102" s="22">
        <f t="shared" si="64"/>
        <v>547.28194876789507</v>
      </c>
      <c r="CC102" s="62">
        <f t="shared" si="65"/>
        <v>824.40478812230526</v>
      </c>
      <c r="CD102" s="62">
        <f ca="1">AVERAGE(OFFSET($CC$3,0,0,'Données projet'!$E$12+1,1))-AVERAGE(OFFSET($H$3,0,0,'Données projet'!$E$12+1,1))</f>
        <v>376.47942810265266</v>
      </c>
      <c r="CE102" s="62">
        <f t="shared" si="94"/>
        <v>362.87951024071265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4.2699709184947405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4.2699709184947405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317.99999999999972</v>
      </c>
      <c r="CU102" s="18">
        <f>CT102*VLOOKUP('Données projet'!$B$13,Paramètres!$A$1:$I$89,3,0)*VLOOKUP('Données projet'!$B$13,Paramètres!$A$1:$I$89,5,0)</f>
        <v>233.1575999999998</v>
      </c>
      <c r="CV102" s="14">
        <f t="shared" si="95"/>
        <v>56.964885721091697</v>
      </c>
      <c r="CW102" s="22">
        <f t="shared" si="67"/>
        <v>505.29666263090093</v>
      </c>
      <c r="CX102" s="62">
        <f t="shared" si="68"/>
        <v>782.41950198531106</v>
      </c>
      <c r="CY102" s="62">
        <f ca="1">AVERAGE(OFFSET($CX$3,0,0,'Données projet'!$E$13+1,1))-AVERAGE(OFFSET($H$3,0,0,'Données projet'!$E$13+1,1))</f>
        <v>351.7223836693733</v>
      </c>
      <c r="CZ102" s="62">
        <f t="shared" si="96"/>
        <v>339.34942976598518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3.1926049671764214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3.1926049671764214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183.33333333333334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6.3550942286383367E-14</v>
      </c>
      <c r="P103" s="14">
        <f t="shared" si="87"/>
        <v>1.0064464192543978E-12</v>
      </c>
      <c r="Q103" s="22">
        <f t="shared" si="107"/>
        <v>1.8635787380168604E-12</v>
      </c>
      <c r="R103" s="62">
        <f t="shared" si="55"/>
        <v>277.40405518371108</v>
      </c>
      <c r="S103" s="62">
        <f ca="1">AVERAGE(OFFSET($R$3,0,0,'Données projet'!$E$9+1,1))-AVERAGE(OFFSET($H$3,0,0,'Données projet'!$E$9+1,1))</f>
        <v>409.45931633551902</v>
      </c>
      <c r="T103" s="62">
        <f t="shared" si="88"/>
        <v>375.18886653687389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1.3252019920769968</v>
      </c>
      <c r="AA103" s="23">
        <f>EXP(-LN(2)/25)*AA102+(1-EXP(-LN(2)/25))/(LN(2)/25)*Calculateur!V103*Calculateur!X103*VLOOKUP('Données projet'!$B$9,Paramètres!$A$1:$I$89,3,0)*0.475*44/12</f>
        <v>2.7734597226313635</v>
      </c>
      <c r="AB103" s="23">
        <f>EXP(-LN(2)/2)*AB102+(1-EXP(-LN(2)/2))/(LN(2)/2)*V103*Y103*VLOOKUP('Données projet'!$B$9,Paramètres!$A$1:$I$89,3,0)*0.475*44/12</f>
        <v>3.3763606094656269E-10</v>
      </c>
      <c r="AC103" s="24">
        <f t="shared" si="57"/>
        <v>4.0986617150459956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5.6843418860808015E-14</v>
      </c>
      <c r="AJ103" s="14">
        <f>AI103*VLOOKUP('Données projet'!$B$10,Paramètres!$A$1:$I$89,3,0)*VLOOKUP('Données projet'!$B$10,Paramètres!$A$1:$I$89,5,0)</f>
        <v>3.3992364478763198E-14</v>
      </c>
      <c r="AK103" s="14">
        <f t="shared" si="89"/>
        <v>5.790027782444094E-13</v>
      </c>
      <c r="AL103" s="22">
        <f t="shared" si="58"/>
        <v>1.0676332069095257E-12</v>
      </c>
      <c r="AM103" s="62">
        <f t="shared" si="59"/>
        <v>277.40405518371028</v>
      </c>
      <c r="AN103" s="62">
        <f ca="1">AVERAGE(OFFSET($AM$3,0,0,'Données projet'!$E$10+1,1))-AVERAGE(OFFSET($H$3,0,0,'Données projet'!$E$10+1,1))</f>
        <v>212.90262675152454</v>
      </c>
      <c r="AO103" s="62">
        <f t="shared" si="90"/>
        <v>366.51899340890498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27.347473594741597</v>
      </c>
      <c r="AV103" s="23">
        <f>EXP(-LN(2)/25)*AV102+(1-EXP(-LN(2)/25))/(LN(2)/25)*Calculateur!AQ103*Calculateur!AS103*VLOOKUP('Données projet'!$B$10,Paramètres!$A$1:$I$89,3,0)*0.475*44/12</f>
        <v>0.48002346171628812</v>
      </c>
      <c r="AW103" s="23">
        <f>EXP(-LN(2)/2)*AW102+(1-EXP(-LN(2)/2))/(LN(2)/2)*AQ103*AT103*VLOOKUP('Données projet'!$B$10,Paramètres!$A$1:$I$89,3,0)*0.475*44/12</f>
        <v>3.2058411705337918E-8</v>
      </c>
      <c r="AX103" s="23">
        <f t="shared" si="60"/>
        <v>27.827497088516299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5.6843418860808015E-14</v>
      </c>
      <c r="BE103" s="14">
        <f>BD103*VLOOKUP('Données projet'!$B$11,Paramètres!$A$1:$I$89,3,0)*VLOOKUP('Données projet'!$B$11,Paramètres!$A$1:$I$89,5,0)</f>
        <v>4.9658410716801891E-14</v>
      </c>
      <c r="BF103" s="14">
        <f t="shared" si="91"/>
        <v>8.0934058173791862E-13</v>
      </c>
      <c r="BG103" s="22">
        <f t="shared" si="61"/>
        <v>1.4960899118586383E-12</v>
      </c>
      <c r="BH103" s="62">
        <f t="shared" si="62"/>
        <v>277.40405518371068</v>
      </c>
      <c r="BI103" s="62">
        <f ca="1">AVERAGE(OFFSET($BH$3,0,0,'Données projet'!$E$11+1,1))-AVERAGE(OFFSET($H$3,0,0,'Données projet'!$E$11+1,1))</f>
        <v>342.02279578180605</v>
      </c>
      <c r="BJ103" s="62">
        <f t="shared" si="92"/>
        <v>409.02379334777754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317.99999999999972</v>
      </c>
      <c r="BZ103" s="14">
        <f>BY103*VLOOKUP('Données projet'!$B$12,Paramètres!$A$1:$I$89,3,0)*VLOOKUP('Données projet'!$B$12,Paramètres!$A$1:$I$89,5,0)</f>
        <v>253.0007999999998</v>
      </c>
      <c r="CA103" s="14">
        <f t="shared" si="93"/>
        <v>61.228070105968683</v>
      </c>
      <c r="CB103" s="22">
        <f t="shared" si="64"/>
        <v>547.28194876789507</v>
      </c>
      <c r="CC103" s="62">
        <f t="shared" si="65"/>
        <v>824.68600395160433</v>
      </c>
      <c r="CD103" s="62">
        <f ca="1">AVERAGE(OFFSET($CC$3,0,0,'Données projet'!$E$12+1,1))-AVERAGE(OFFSET($H$3,0,0,'Données projet'!$E$12+1,1))</f>
        <v>376.47942810265266</v>
      </c>
      <c r="CE103" s="62">
        <f t="shared" si="94"/>
        <v>362.87951024071265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4.1862393932081536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4.1862393932081536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317.99999999999972</v>
      </c>
      <c r="CU103" s="18">
        <f>CT103*VLOOKUP('Données projet'!$B$13,Paramètres!$A$1:$I$89,3,0)*VLOOKUP('Données projet'!$B$13,Paramètres!$A$1:$I$89,5,0)</f>
        <v>233.1575999999998</v>
      </c>
      <c r="CV103" s="14">
        <f t="shared" si="95"/>
        <v>56.964885721091697</v>
      </c>
      <c r="CW103" s="22">
        <f t="shared" si="67"/>
        <v>505.29666263090093</v>
      </c>
      <c r="CX103" s="62">
        <f t="shared" si="68"/>
        <v>782.70071781461013</v>
      </c>
      <c r="CY103" s="62">
        <f ca="1">AVERAGE(OFFSET($CX$3,0,0,'Données projet'!$E$13+1,1))-AVERAGE(OFFSET($H$3,0,0,'Données projet'!$E$13+1,1))</f>
        <v>351.7223836693733</v>
      </c>
      <c r="CZ103" s="62">
        <f t="shared" si="96"/>
        <v>339.34942976598518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3.129999931066842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3.129999931066842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183.33333333333334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6.3550942286383367E-14</v>
      </c>
      <c r="P104" s="14">
        <f t="shared" si="87"/>
        <v>1.0064464192543978E-12</v>
      </c>
      <c r="Q104" s="22">
        <f t="shared" si="107"/>
        <v>1.8635787380168604E-12</v>
      </c>
      <c r="R104" s="62">
        <f t="shared" si="55"/>
        <v>277.68039254707628</v>
      </c>
      <c r="S104" s="62">
        <f ca="1">AVERAGE(OFFSET($R$3,0,0,'Données projet'!$E$9+1,1))-AVERAGE(OFFSET($H$3,0,0,'Données projet'!$E$9+1,1))</f>
        <v>409.45931633551902</v>
      </c>
      <c r="T104" s="62">
        <f t="shared" si="88"/>
        <v>375.18886653687389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1.2992155893057697</v>
      </c>
      <c r="AA104" s="23">
        <f>EXP(-LN(2)/25)*AA103+(1-EXP(-LN(2)/25))/(LN(2)/25)*Calculateur!V104*Calculateur!X104*VLOOKUP('Données projet'!$B$9,Paramètres!$A$1:$I$89,3,0)*0.475*44/12</f>
        <v>2.6976193206661008</v>
      </c>
      <c r="AB104" s="23">
        <f>EXP(-LN(2)/2)*AB103+(1-EXP(-LN(2)/2))/(LN(2)/2)*V104*Y104*VLOOKUP('Données projet'!$B$9,Paramètres!$A$1:$I$89,3,0)*0.475*44/12</f>
        <v>2.3874474826842892E-10</v>
      </c>
      <c r="AC104" s="24">
        <f t="shared" si="57"/>
        <v>3.9968349102106151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5.6843418860808015E-14</v>
      </c>
      <c r="AJ104" s="14">
        <f>AI104*VLOOKUP('Données projet'!$B$10,Paramètres!$A$1:$I$89,3,0)*VLOOKUP('Données projet'!$B$10,Paramètres!$A$1:$I$89,5,0)</f>
        <v>3.3992364478763198E-14</v>
      </c>
      <c r="AK104" s="14">
        <f t="shared" si="89"/>
        <v>5.790027782444094E-13</v>
      </c>
      <c r="AL104" s="22">
        <f t="shared" si="58"/>
        <v>1.0676332069095257E-12</v>
      </c>
      <c r="AM104" s="62">
        <f t="shared" si="59"/>
        <v>277.68039254707548</v>
      </c>
      <c r="AN104" s="62">
        <f ca="1">AVERAGE(OFFSET($AM$3,0,0,'Données projet'!$E$10+1,1))-AVERAGE(OFFSET($H$3,0,0,'Données projet'!$E$10+1,1))</f>
        <v>212.90262675152454</v>
      </c>
      <c r="AO104" s="62">
        <f t="shared" si="90"/>
        <v>366.51899340890498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26.811206317860563</v>
      </c>
      <c r="AV104" s="23">
        <f>EXP(-LN(2)/25)*AV103+(1-EXP(-LN(2)/25))/(LN(2)/25)*Calculateur!AQ104*Calculateur!AS104*VLOOKUP('Données projet'!$B$10,Paramètres!$A$1:$I$89,3,0)*0.475*44/12</f>
        <v>0.46689719491231946</v>
      </c>
      <c r="AW104" s="23">
        <f>EXP(-LN(2)/2)*AW103+(1-EXP(-LN(2)/2))/(LN(2)/2)*AQ104*AT104*VLOOKUP('Données projet'!$B$10,Paramètres!$A$1:$I$89,3,0)*0.475*44/12</f>
        <v>2.2668720310914633E-8</v>
      </c>
      <c r="AX104" s="23">
        <f t="shared" si="60"/>
        <v>27.278103535441605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5.6843418860808015E-14</v>
      </c>
      <c r="BE104" s="14">
        <f>BD104*VLOOKUP('Données projet'!$B$11,Paramètres!$A$1:$I$89,3,0)*VLOOKUP('Données projet'!$B$11,Paramètres!$A$1:$I$89,5,0)</f>
        <v>4.9658410716801891E-14</v>
      </c>
      <c r="BF104" s="14">
        <f t="shared" si="91"/>
        <v>8.0934058173791862E-13</v>
      </c>
      <c r="BG104" s="22">
        <f t="shared" si="61"/>
        <v>1.4960899118586383E-12</v>
      </c>
      <c r="BH104" s="62">
        <f t="shared" si="62"/>
        <v>277.68039254707588</v>
      </c>
      <c r="BI104" s="62">
        <f ca="1">AVERAGE(OFFSET($BH$3,0,0,'Données projet'!$E$11+1,1))-AVERAGE(OFFSET($H$3,0,0,'Données projet'!$E$11+1,1))</f>
        <v>342.02279578180605</v>
      </c>
      <c r="BJ104" s="62">
        <f t="shared" si="92"/>
        <v>409.02379334777754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317.99999999999972</v>
      </c>
      <c r="BZ104" s="14">
        <f>BY104*VLOOKUP('Données projet'!$B$12,Paramètres!$A$1:$I$89,3,0)*VLOOKUP('Données projet'!$B$12,Paramètres!$A$1:$I$89,5,0)</f>
        <v>253.0007999999998</v>
      </c>
      <c r="CA104" s="14">
        <f t="shared" si="93"/>
        <v>61.228070105968683</v>
      </c>
      <c r="CB104" s="22">
        <f t="shared" si="64"/>
        <v>547.28194876789507</v>
      </c>
      <c r="CC104" s="62">
        <f t="shared" si="65"/>
        <v>824.96234131496954</v>
      </c>
      <c r="CD104" s="62">
        <f ca="1">AVERAGE(OFFSET($CC$3,0,0,'Données projet'!$E$12+1,1))-AVERAGE(OFFSET($H$3,0,0,'Données projet'!$E$12+1,1))</f>
        <v>376.47942810265266</v>
      </c>
      <c r="CE104" s="62">
        <f t="shared" si="94"/>
        <v>362.87951024071265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4.1041497920612491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4.1041497920612491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317.99999999999972</v>
      </c>
      <c r="CU104" s="18">
        <f>CT104*VLOOKUP('Données projet'!$B$13,Paramètres!$A$1:$I$89,3,0)*VLOOKUP('Données projet'!$B$13,Paramètres!$A$1:$I$89,5,0)</f>
        <v>233.1575999999998</v>
      </c>
      <c r="CV104" s="14">
        <f t="shared" si="95"/>
        <v>56.964885721091697</v>
      </c>
      <c r="CW104" s="22">
        <f t="shared" si="67"/>
        <v>505.29666263090093</v>
      </c>
      <c r="CX104" s="62">
        <f t="shared" si="68"/>
        <v>782.97705517797533</v>
      </c>
      <c r="CY104" s="62">
        <f ca="1">AVERAGE(OFFSET($CX$3,0,0,'Données projet'!$E$13+1,1))-AVERAGE(OFFSET($H$3,0,0,'Données projet'!$E$13+1,1))</f>
        <v>351.7223836693733</v>
      </c>
      <c r="CZ104" s="62">
        <f t="shared" si="96"/>
        <v>339.34942976598518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3.0686225415300701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3.0686225415300701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183.33333333333334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6.3550942286383367E-14</v>
      </c>
      <c r="P105" s="14">
        <f t="shared" si="87"/>
        <v>1.0064464192543978E-12</v>
      </c>
      <c r="Q105" s="22">
        <f t="shared" si="107"/>
        <v>1.8635787380168604E-12</v>
      </c>
      <c r="R105" s="62">
        <f t="shared" si="55"/>
        <v>277.95193607498481</v>
      </c>
      <c r="S105" s="62">
        <f ca="1">AVERAGE(OFFSET($R$3,0,0,'Données projet'!$E$9+1,1))-AVERAGE(OFFSET($H$3,0,0,'Données projet'!$E$9+1,1))</f>
        <v>409.45931633551902</v>
      </c>
      <c r="T105" s="62">
        <f t="shared" si="88"/>
        <v>375.18886653687389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1.2737387640427458</v>
      </c>
      <c r="AA105" s="23">
        <f>EXP(-LN(2)/25)*AA104+(1-EXP(-LN(2)/25))/(LN(2)/25)*Calculateur!V105*Calculateur!X105*VLOOKUP('Données projet'!$B$9,Paramètres!$A$1:$I$89,3,0)*0.475*44/12</f>
        <v>2.6238527784808516</v>
      </c>
      <c r="AB105" s="23">
        <f>EXP(-LN(2)/2)*AB104+(1-EXP(-LN(2)/2))/(LN(2)/2)*V105*Y105*VLOOKUP('Données projet'!$B$9,Paramètres!$A$1:$I$89,3,0)*0.475*44/12</f>
        <v>1.6881803047328134E-10</v>
      </c>
      <c r="AC105" s="24">
        <f t="shared" si="57"/>
        <v>3.8975915426924153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5.6843418860808015E-14</v>
      </c>
      <c r="AJ105" s="14">
        <f>AI105*VLOOKUP('Données projet'!$B$10,Paramètres!$A$1:$I$89,3,0)*VLOOKUP('Données projet'!$B$10,Paramètres!$A$1:$I$89,5,0)</f>
        <v>3.3992364478763198E-14</v>
      </c>
      <c r="AK105" s="14">
        <f t="shared" si="89"/>
        <v>5.790027782444094E-13</v>
      </c>
      <c r="AL105" s="22">
        <f t="shared" si="58"/>
        <v>1.0676332069095257E-12</v>
      </c>
      <c r="AM105" s="62">
        <f t="shared" si="59"/>
        <v>277.95193607498402</v>
      </c>
      <c r="AN105" s="62">
        <f ca="1">AVERAGE(OFFSET($AM$3,0,0,'Données projet'!$E$10+1,1))-AVERAGE(OFFSET($H$3,0,0,'Données projet'!$E$10+1,1))</f>
        <v>212.90262675152454</v>
      </c>
      <c r="AO105" s="62">
        <f t="shared" si="90"/>
        <v>366.51899340890498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26.285454915188424</v>
      </c>
      <c r="AV105" s="23">
        <f>EXP(-LN(2)/25)*AV104+(1-EXP(-LN(2)/25))/(LN(2)/25)*Calculateur!AQ105*Calculateur!AS105*VLOOKUP('Données projet'!$B$10,Paramètres!$A$1:$I$89,3,0)*0.475*44/12</f>
        <v>0.4541298665643857</v>
      </c>
      <c r="AW105" s="23">
        <f>EXP(-LN(2)/2)*AW104+(1-EXP(-LN(2)/2))/(LN(2)/2)*AQ105*AT105*VLOOKUP('Données projet'!$B$10,Paramètres!$A$1:$I$89,3,0)*0.475*44/12</f>
        <v>1.6029205852668959E-8</v>
      </c>
      <c r="AX105" s="23">
        <f t="shared" si="60"/>
        <v>26.739584797782015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5.6843418860808015E-14</v>
      </c>
      <c r="BE105" s="14">
        <f>BD105*VLOOKUP('Données projet'!$B$11,Paramètres!$A$1:$I$89,3,0)*VLOOKUP('Données projet'!$B$11,Paramètres!$A$1:$I$89,5,0)</f>
        <v>4.9658410716801891E-14</v>
      </c>
      <c r="BF105" s="14">
        <f t="shared" si="91"/>
        <v>8.0934058173791862E-13</v>
      </c>
      <c r="BG105" s="22">
        <f t="shared" si="61"/>
        <v>1.4960899118586383E-12</v>
      </c>
      <c r="BH105" s="62">
        <f t="shared" si="62"/>
        <v>277.95193607498442</v>
      </c>
      <c r="BI105" s="62">
        <f ca="1">AVERAGE(OFFSET($BH$3,0,0,'Données projet'!$E$11+1,1))-AVERAGE(OFFSET($H$3,0,0,'Données projet'!$E$11+1,1))</f>
        <v>342.02279578180605</v>
      </c>
      <c r="BJ105" s="62">
        <f t="shared" si="92"/>
        <v>409.02379334777754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317.99999999999972</v>
      </c>
      <c r="BZ105" s="14">
        <f>BY105*VLOOKUP('Données projet'!$B$12,Paramètres!$A$1:$I$89,3,0)*VLOOKUP('Données projet'!$B$12,Paramètres!$A$1:$I$89,5,0)</f>
        <v>253.0007999999998</v>
      </c>
      <c r="CA105" s="14">
        <f t="shared" si="93"/>
        <v>61.228070105968683</v>
      </c>
      <c r="CB105" s="22">
        <f t="shared" si="64"/>
        <v>547.28194876789507</v>
      </c>
      <c r="CC105" s="62">
        <f t="shared" si="65"/>
        <v>825.23388484287807</v>
      </c>
      <c r="CD105" s="62">
        <f ca="1">AVERAGE(OFFSET($CC$3,0,0,'Données projet'!$E$12+1,1))-AVERAGE(OFFSET($H$3,0,0,'Données projet'!$E$12+1,1))</f>
        <v>376.47942810265266</v>
      </c>
      <c r="CE105" s="62">
        <f t="shared" si="94"/>
        <v>362.87951024071265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4.0236699179231223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4.0236699179231223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317.99999999999972</v>
      </c>
      <c r="CU105" s="18">
        <f>CT105*VLOOKUP('Données projet'!$B$13,Paramètres!$A$1:$I$89,3,0)*VLOOKUP('Données projet'!$B$13,Paramètres!$A$1:$I$89,5,0)</f>
        <v>233.1575999999998</v>
      </c>
      <c r="CV105" s="14">
        <f t="shared" si="95"/>
        <v>56.964885721091697</v>
      </c>
      <c r="CW105" s="22">
        <f t="shared" si="67"/>
        <v>505.29666263090093</v>
      </c>
      <c r="CX105" s="62">
        <f t="shared" si="68"/>
        <v>783.24859870588386</v>
      </c>
      <c r="CY105" s="62">
        <f ca="1">AVERAGE(OFFSET($CX$3,0,0,'Données projet'!$E$13+1,1))-AVERAGE(OFFSET($H$3,0,0,'Données projet'!$E$13+1,1))</f>
        <v>351.7223836693733</v>
      </c>
      <c r="CZ105" s="62">
        <f t="shared" si="96"/>
        <v>339.34942976598518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3.0084487251656031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3.0084487251656031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183.33333333333334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6.3550942286383367E-14</v>
      </c>
      <c r="P106" s="14">
        <f t="shared" si="87"/>
        <v>1.0064464192543978E-12</v>
      </c>
      <c r="Q106" s="22">
        <f t="shared" si="107"/>
        <v>1.8635787380168604E-12</v>
      </c>
      <c r="R106" s="62">
        <f t="shared" si="55"/>
        <v>278.21876892976456</v>
      </c>
      <c r="S106" s="62">
        <f ca="1">AVERAGE(OFFSET($R$3,0,0,'Données projet'!$E$9+1,1))-AVERAGE(OFFSET($H$3,0,0,'Données projet'!$E$9+1,1))</f>
        <v>409.45931633551902</v>
      </c>
      <c r="T106" s="62">
        <f t="shared" si="88"/>
        <v>375.18886653687389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1.2487615237838008</v>
      </c>
      <c r="AA106" s="23">
        <f>EXP(-LN(2)/25)*AA105+(1-EXP(-LN(2)/25))/(LN(2)/25)*Calculateur!V106*Calculateur!X106*VLOOKUP('Données projet'!$B$9,Paramètres!$A$1:$I$89,3,0)*0.475*44/12</f>
        <v>2.552103386270872</v>
      </c>
      <c r="AB106" s="23">
        <f>EXP(-LN(2)/2)*AB105+(1-EXP(-LN(2)/2))/(LN(2)/2)*V106*Y106*VLOOKUP('Données projet'!$B$9,Paramètres!$A$1:$I$89,3,0)*0.475*44/12</f>
        <v>1.1937237413421446E-10</v>
      </c>
      <c r="AC106" s="24">
        <f t="shared" si="57"/>
        <v>3.8008649101740453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5.6843418860808015E-14</v>
      </c>
      <c r="AJ106" s="14">
        <f>AI106*VLOOKUP('Données projet'!$B$10,Paramètres!$A$1:$I$89,3,0)*VLOOKUP('Données projet'!$B$10,Paramètres!$A$1:$I$89,5,0)</f>
        <v>3.3992364478763198E-14</v>
      </c>
      <c r="AK106" s="14">
        <f t="shared" si="89"/>
        <v>5.790027782444094E-13</v>
      </c>
      <c r="AL106" s="22">
        <f t="shared" si="58"/>
        <v>1.0676332069095257E-12</v>
      </c>
      <c r="AM106" s="62">
        <f t="shared" si="59"/>
        <v>278.21876892976377</v>
      </c>
      <c r="AN106" s="62">
        <f ca="1">AVERAGE(OFFSET($AM$3,0,0,'Données projet'!$E$10+1,1))-AVERAGE(OFFSET($H$3,0,0,'Données projet'!$E$10+1,1))</f>
        <v>212.90262675152454</v>
      </c>
      <c r="AO106" s="62">
        <f t="shared" si="90"/>
        <v>366.51899340890498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25.770013176845996</v>
      </c>
      <c r="AV106" s="23">
        <f>EXP(-LN(2)/25)*AV105+(1-EXP(-LN(2)/25))/(LN(2)/25)*Calculateur!AQ106*Calculateur!AS106*VLOOKUP('Données projet'!$B$10,Paramètres!$A$1:$I$89,3,0)*0.475*44/12</f>
        <v>0.44171166148153079</v>
      </c>
      <c r="AW106" s="23">
        <f>EXP(-LN(2)/2)*AW105+(1-EXP(-LN(2)/2))/(LN(2)/2)*AQ106*AT106*VLOOKUP('Données projet'!$B$10,Paramètres!$A$1:$I$89,3,0)*0.475*44/12</f>
        <v>1.1334360155457316E-8</v>
      </c>
      <c r="AX106" s="23">
        <f t="shared" si="60"/>
        <v>26.211724849661888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5.6843418860808015E-14</v>
      </c>
      <c r="BE106" s="14">
        <f>BD106*VLOOKUP('Données projet'!$B$11,Paramètres!$A$1:$I$89,3,0)*VLOOKUP('Données projet'!$B$11,Paramètres!$A$1:$I$89,5,0)</f>
        <v>4.9658410716801891E-14</v>
      </c>
      <c r="BF106" s="14">
        <f t="shared" si="91"/>
        <v>8.0934058173791862E-13</v>
      </c>
      <c r="BG106" s="22">
        <f t="shared" si="61"/>
        <v>1.4960899118586383E-12</v>
      </c>
      <c r="BH106" s="62">
        <f t="shared" si="62"/>
        <v>278.21876892976417</v>
      </c>
      <c r="BI106" s="62">
        <f ca="1">AVERAGE(OFFSET($BH$3,0,0,'Données projet'!$E$11+1,1))-AVERAGE(OFFSET($H$3,0,0,'Données projet'!$E$11+1,1))</f>
        <v>342.02279578180605</v>
      </c>
      <c r="BJ106" s="62">
        <f t="shared" si="92"/>
        <v>409.02379334777754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317.99999999999972</v>
      </c>
      <c r="BZ106" s="14">
        <f>BY106*VLOOKUP('Données projet'!$B$12,Paramètres!$A$1:$I$89,3,0)*VLOOKUP('Données projet'!$B$12,Paramètres!$A$1:$I$89,5,0)</f>
        <v>253.0007999999998</v>
      </c>
      <c r="CA106" s="14">
        <f t="shared" si="93"/>
        <v>61.228070105968683</v>
      </c>
      <c r="CB106" s="22">
        <f t="shared" si="64"/>
        <v>547.28194876789507</v>
      </c>
      <c r="CC106" s="62">
        <f t="shared" si="65"/>
        <v>825.50071769765782</v>
      </c>
      <c r="CD106" s="62">
        <f ca="1">AVERAGE(OFFSET($CC$3,0,0,'Données projet'!$E$12+1,1))-AVERAGE(OFFSET($H$3,0,0,'Données projet'!$E$12+1,1))</f>
        <v>376.47942810265266</v>
      </c>
      <c r="CE106" s="62">
        <f t="shared" si="94"/>
        <v>362.87951024071265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3.9447682050289683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3.9447682050289683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317.99999999999972</v>
      </c>
      <c r="CU106" s="18">
        <f>CT106*VLOOKUP('Données projet'!$B$13,Paramètres!$A$1:$I$89,3,0)*VLOOKUP('Données projet'!$B$13,Paramètres!$A$1:$I$89,5,0)</f>
        <v>233.1575999999998</v>
      </c>
      <c r="CV106" s="14">
        <f t="shared" si="95"/>
        <v>56.964885721091697</v>
      </c>
      <c r="CW106" s="22">
        <f t="shared" si="67"/>
        <v>505.29666263090093</v>
      </c>
      <c r="CX106" s="62">
        <f t="shared" si="68"/>
        <v>783.51543156066361</v>
      </c>
      <c r="CY106" s="62">
        <f ca="1">AVERAGE(OFFSET($CX$3,0,0,'Données projet'!$E$13+1,1))-AVERAGE(OFFSET($H$3,0,0,'Données projet'!$E$13+1,1))</f>
        <v>351.7223836693733</v>
      </c>
      <c r="CZ106" s="62">
        <f t="shared" si="96"/>
        <v>339.34942976598518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2.9494548806376395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2.9494548806376395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183.33333333333334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6.3550942286383367E-14</v>
      </c>
      <c r="P107" s="14">
        <f t="shared" si="87"/>
        <v>1.0064464192543978E-12</v>
      </c>
      <c r="Q107" s="22">
        <f t="shared" si="107"/>
        <v>1.8635787380168604E-12</v>
      </c>
      <c r="R107" s="62">
        <f t="shared" si="55"/>
        <v>278.48097283106279</v>
      </c>
      <c r="S107" s="62">
        <f ca="1">AVERAGE(OFFSET($R$3,0,0,'Données projet'!$E$9+1,1))-AVERAGE(OFFSET($H$3,0,0,'Données projet'!$E$9+1,1))</f>
        <v>409.45931633551902</v>
      </c>
      <c r="T107" s="62">
        <f t="shared" si="88"/>
        <v>375.18886653687389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1.2242740719717213</v>
      </c>
      <c r="AA107" s="23">
        <f>EXP(-LN(2)/25)*AA106+(1-EXP(-LN(2)/25))/(LN(2)/25)*Calculateur!V107*Calculateur!X107*VLOOKUP('Données projet'!$B$9,Paramètres!$A$1:$I$89,3,0)*0.475*44/12</f>
        <v>2.4823159849640106</v>
      </c>
      <c r="AB107" s="23">
        <f>EXP(-LN(2)/2)*AB106+(1-EXP(-LN(2)/2))/(LN(2)/2)*V107*Y107*VLOOKUP('Données projet'!$B$9,Paramètres!$A$1:$I$89,3,0)*0.475*44/12</f>
        <v>8.4409015236640672E-11</v>
      </c>
      <c r="AC107" s="24">
        <f t="shared" si="57"/>
        <v>3.7065900570201409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5.6843418860808015E-14</v>
      </c>
      <c r="AJ107" s="14">
        <f>AI107*VLOOKUP('Données projet'!$B$10,Paramètres!$A$1:$I$89,3,0)*VLOOKUP('Données projet'!$B$10,Paramètres!$A$1:$I$89,5,0)</f>
        <v>3.3992364478763198E-14</v>
      </c>
      <c r="AK107" s="14">
        <f t="shared" si="89"/>
        <v>5.790027782444094E-13</v>
      </c>
      <c r="AL107" s="22">
        <f t="shared" si="58"/>
        <v>1.0676332069095257E-12</v>
      </c>
      <c r="AM107" s="62">
        <f t="shared" si="59"/>
        <v>278.48097283106199</v>
      </c>
      <c r="AN107" s="62">
        <f ca="1">AVERAGE(OFFSET($AM$3,0,0,'Données projet'!$E$10+1,1))-AVERAGE(OFFSET($H$3,0,0,'Données projet'!$E$10+1,1))</f>
        <v>212.90262675152454</v>
      </c>
      <c r="AO107" s="62">
        <f t="shared" si="90"/>
        <v>366.51899340890498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25.264678936604046</v>
      </c>
      <c r="AV107" s="23">
        <f>EXP(-LN(2)/25)*AV106+(1-EXP(-LN(2)/25))/(LN(2)/25)*Calculateur!AQ107*Calculateur!AS107*VLOOKUP('Données projet'!$B$10,Paramètres!$A$1:$I$89,3,0)*0.475*44/12</f>
        <v>0.42963303286971161</v>
      </c>
      <c r="AW107" s="23">
        <f>EXP(-LN(2)/2)*AW106+(1-EXP(-LN(2)/2))/(LN(2)/2)*AQ107*AT107*VLOOKUP('Données projet'!$B$10,Paramètres!$A$1:$I$89,3,0)*0.475*44/12</f>
        <v>8.0146029263344794E-9</v>
      </c>
      <c r="AX107" s="23">
        <f t="shared" si="60"/>
        <v>25.694311977488361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5.6843418860808015E-14</v>
      </c>
      <c r="BE107" s="14">
        <f>BD107*VLOOKUP('Données projet'!$B$11,Paramètres!$A$1:$I$89,3,0)*VLOOKUP('Données projet'!$B$11,Paramètres!$A$1:$I$89,5,0)</f>
        <v>4.9658410716801891E-14</v>
      </c>
      <c r="BF107" s="14">
        <f t="shared" si="91"/>
        <v>8.0934058173791862E-13</v>
      </c>
      <c r="BG107" s="22">
        <f t="shared" si="61"/>
        <v>1.4960899118586383E-12</v>
      </c>
      <c r="BH107" s="62">
        <f t="shared" si="62"/>
        <v>278.48097283106239</v>
      </c>
      <c r="BI107" s="62">
        <f ca="1">AVERAGE(OFFSET($BH$3,0,0,'Données projet'!$E$11+1,1))-AVERAGE(OFFSET($H$3,0,0,'Données projet'!$E$11+1,1))</f>
        <v>342.02279578180605</v>
      </c>
      <c r="BJ107" s="62">
        <f t="shared" si="92"/>
        <v>409.02379334777754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317.99999999999972</v>
      </c>
      <c r="BZ107" s="14">
        <f>BY107*VLOOKUP('Données projet'!$B$12,Paramètres!$A$1:$I$89,3,0)*VLOOKUP('Données projet'!$B$12,Paramètres!$A$1:$I$89,5,0)</f>
        <v>253.0007999999998</v>
      </c>
      <c r="CA107" s="14">
        <f t="shared" si="93"/>
        <v>61.228070105968683</v>
      </c>
      <c r="CB107" s="22">
        <f t="shared" si="64"/>
        <v>547.28194876789507</v>
      </c>
      <c r="CC107" s="62">
        <f t="shared" si="65"/>
        <v>825.76292159895593</v>
      </c>
      <c r="CD107" s="62">
        <f ca="1">AVERAGE(OFFSET($CC$3,0,0,'Données projet'!$E$12+1,1))-AVERAGE(OFFSET($H$3,0,0,'Données projet'!$E$12+1,1))</f>
        <v>376.47942810265266</v>
      </c>
      <c r="CE107" s="62">
        <f t="shared" si="94"/>
        <v>362.87951024071265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3.8674137065993754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3.8674137065993754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317.99999999999972</v>
      </c>
      <c r="CU107" s="18">
        <f>CT107*VLOOKUP('Données projet'!$B$13,Paramètres!$A$1:$I$89,3,0)*VLOOKUP('Données projet'!$B$13,Paramètres!$A$1:$I$89,5,0)</f>
        <v>233.1575999999998</v>
      </c>
      <c r="CV107" s="14">
        <f t="shared" si="95"/>
        <v>56.964885721091697</v>
      </c>
      <c r="CW107" s="22">
        <f t="shared" si="67"/>
        <v>505.29666263090093</v>
      </c>
      <c r="CX107" s="62">
        <f t="shared" si="68"/>
        <v>783.77763546196184</v>
      </c>
      <c r="CY107" s="62">
        <f ca="1">AVERAGE(OFFSET($CX$3,0,0,'Données projet'!$E$13+1,1))-AVERAGE(OFFSET($H$3,0,0,'Données projet'!$E$13+1,1))</f>
        <v>351.7223836693733</v>
      </c>
      <c r="CZ107" s="62">
        <f t="shared" si="96"/>
        <v>339.34942976598518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2.8916178694181771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2.8916178694181771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183.33333333333334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6.3550942286383367E-14</v>
      </c>
      <c r="P108" s="14">
        <f t="shared" si="87"/>
        <v>1.0064464192543978E-12</v>
      </c>
      <c r="Q108" s="22">
        <f t="shared" si="107"/>
        <v>1.8635787380168604E-12</v>
      </c>
      <c r="R108" s="62">
        <f t="shared" si="55"/>
        <v>278.73862808087364</v>
      </c>
      <c r="S108" s="62">
        <f ca="1">AVERAGE(OFFSET($R$3,0,0,'Données projet'!$E$9+1,1))-AVERAGE(OFFSET($H$3,0,0,'Données projet'!$E$9+1,1))</f>
        <v>409.45931633551902</v>
      </c>
      <c r="T108" s="62">
        <f t="shared" si="88"/>
        <v>375.18886653687389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1.200266804153806</v>
      </c>
      <c r="AA108" s="23">
        <f>EXP(-LN(2)/25)*AA107+(1-EXP(-LN(2)/25))/(LN(2)/25)*Calculateur!V108*Calculateur!X108*VLOOKUP('Données projet'!$B$9,Paramètres!$A$1:$I$89,3,0)*0.475*44/12</f>
        <v>2.4144369238158454</v>
      </c>
      <c r="AB108" s="23">
        <f>EXP(-LN(2)/2)*AB107+(1-EXP(-LN(2)/2))/(LN(2)/2)*V108*Y108*VLOOKUP('Données projet'!$B$9,Paramètres!$A$1:$I$89,3,0)*0.475*44/12</f>
        <v>5.968618706710723E-11</v>
      </c>
      <c r="AC108" s="24">
        <f t="shared" si="57"/>
        <v>3.6147037280293373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5.6843418860808015E-14</v>
      </c>
      <c r="AJ108" s="14">
        <f>AI108*VLOOKUP('Données projet'!$B$10,Paramètres!$A$1:$I$89,3,0)*VLOOKUP('Données projet'!$B$10,Paramètres!$A$1:$I$89,5,0)</f>
        <v>3.3992364478763198E-14</v>
      </c>
      <c r="AK108" s="14">
        <f t="shared" si="89"/>
        <v>5.790027782444094E-13</v>
      </c>
      <c r="AL108" s="22">
        <f t="shared" si="58"/>
        <v>1.0676332069095257E-12</v>
      </c>
      <c r="AM108" s="62">
        <f t="shared" si="59"/>
        <v>278.73862808087284</v>
      </c>
      <c r="AN108" s="62">
        <f ca="1">AVERAGE(OFFSET($AM$3,0,0,'Données projet'!$E$10+1,1))-AVERAGE(OFFSET($H$3,0,0,'Données projet'!$E$10+1,1))</f>
        <v>212.90262675152454</v>
      </c>
      <c r="AO108" s="62">
        <f t="shared" si="90"/>
        <v>366.51899340890498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24.769253992589789</v>
      </c>
      <c r="AV108" s="23">
        <f>EXP(-LN(2)/25)*AV107+(1-EXP(-LN(2)/25))/(LN(2)/25)*Calculateur!AQ108*Calculateur!AS108*VLOOKUP('Données projet'!$B$10,Paramètres!$A$1:$I$89,3,0)*0.475*44/12</f>
        <v>0.41788469499247011</v>
      </c>
      <c r="AW108" s="23">
        <f>EXP(-LN(2)/2)*AW107+(1-EXP(-LN(2)/2))/(LN(2)/2)*AQ108*AT108*VLOOKUP('Données projet'!$B$10,Paramètres!$A$1:$I$89,3,0)*0.475*44/12</f>
        <v>5.6671800777286582E-9</v>
      </c>
      <c r="AX108" s="23">
        <f t="shared" si="60"/>
        <v>25.187138693249437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5.6843418860808015E-14</v>
      </c>
      <c r="BE108" s="14">
        <f>BD108*VLOOKUP('Données projet'!$B$11,Paramètres!$A$1:$I$89,3,0)*VLOOKUP('Données projet'!$B$11,Paramètres!$A$1:$I$89,5,0)</f>
        <v>4.9658410716801891E-14</v>
      </c>
      <c r="BF108" s="14">
        <f t="shared" si="91"/>
        <v>8.0934058173791862E-13</v>
      </c>
      <c r="BG108" s="22">
        <f t="shared" si="61"/>
        <v>1.4960899118586383E-12</v>
      </c>
      <c r="BH108" s="62">
        <f t="shared" si="62"/>
        <v>278.73862808087324</v>
      </c>
      <c r="BI108" s="62">
        <f ca="1">AVERAGE(OFFSET($BH$3,0,0,'Données projet'!$E$11+1,1))-AVERAGE(OFFSET($H$3,0,0,'Données projet'!$E$11+1,1))</f>
        <v>342.02279578180605</v>
      </c>
      <c r="BJ108" s="62">
        <f t="shared" si="92"/>
        <v>409.02379334777754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317.99999999999972</v>
      </c>
      <c r="BZ108" s="14">
        <f>BY108*VLOOKUP('Données projet'!$B$12,Paramètres!$A$1:$I$89,3,0)*VLOOKUP('Données projet'!$B$12,Paramètres!$A$1:$I$89,5,0)</f>
        <v>253.0007999999998</v>
      </c>
      <c r="CA108" s="14">
        <f t="shared" si="93"/>
        <v>61.228070105968683</v>
      </c>
      <c r="CB108" s="22">
        <f t="shared" si="64"/>
        <v>547.28194876789507</v>
      </c>
      <c r="CC108" s="62">
        <f t="shared" si="65"/>
        <v>826.02057684876684</v>
      </c>
      <c r="CD108" s="62">
        <f ca="1">AVERAGE(OFFSET($CC$3,0,0,'Données projet'!$E$12+1,1))-AVERAGE(OFFSET($H$3,0,0,'Données projet'!$E$12+1,1))</f>
        <v>376.47942810265266</v>
      </c>
      <c r="CE108" s="62">
        <f t="shared" si="94"/>
        <v>362.87951024071265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3.7915760827024019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3.7915760827024019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317.99999999999972</v>
      </c>
      <c r="CU108" s="18">
        <f>CT108*VLOOKUP('Données projet'!$B$13,Paramètres!$A$1:$I$89,3,0)*VLOOKUP('Données projet'!$B$13,Paramètres!$A$1:$I$89,5,0)</f>
        <v>233.1575999999998</v>
      </c>
      <c r="CV108" s="14">
        <f t="shared" si="95"/>
        <v>56.964885721091697</v>
      </c>
      <c r="CW108" s="22">
        <f t="shared" si="67"/>
        <v>505.29666263090093</v>
      </c>
      <c r="CX108" s="62">
        <f t="shared" si="68"/>
        <v>784.03529071177263</v>
      </c>
      <c r="CY108" s="62">
        <f ca="1">AVERAGE(OFFSET($CX$3,0,0,'Données projet'!$E$13+1,1))-AVERAGE(OFFSET($H$3,0,0,'Données projet'!$E$13+1,1))</f>
        <v>351.7223836693733</v>
      </c>
      <c r="CZ108" s="62">
        <f t="shared" si="96"/>
        <v>339.34942976598518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2.8349150067116349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2.8349150067116349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183.33333333333334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6.3550942286383367E-14</v>
      </c>
      <c r="P109" s="14">
        <f t="shared" si="87"/>
        <v>1.0064464192543978E-12</v>
      </c>
      <c r="Q109" s="22">
        <f t="shared" si="107"/>
        <v>1.8635787380168604E-12</v>
      </c>
      <c r="R109" s="62">
        <f t="shared" si="55"/>
        <v>278.99181358813098</v>
      </c>
      <c r="S109" s="62">
        <f ca="1">AVERAGE(OFFSET($R$3,0,0,'Données projet'!$E$9+1,1))-AVERAGE(OFFSET($H$3,0,0,'Données projet'!$E$9+1,1))</f>
        <v>409.45931633551902</v>
      </c>
      <c r="T109" s="62">
        <f t="shared" si="88"/>
        <v>375.18886653687389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1.1767303042148125</v>
      </c>
      <c r="AA109" s="23">
        <f>EXP(-LN(2)/25)*AA108+(1-EXP(-LN(2)/25))/(LN(2)/25)*Calculateur!V109*Calculateur!X109*VLOOKUP('Données projet'!$B$9,Paramètres!$A$1:$I$89,3,0)*0.475*44/12</f>
        <v>2.3484140191643816</v>
      </c>
      <c r="AB109" s="23">
        <f>EXP(-LN(2)/2)*AB108+(1-EXP(-LN(2)/2))/(LN(2)/2)*V109*Y109*VLOOKUP('Données projet'!$B$9,Paramètres!$A$1:$I$89,3,0)*0.475*44/12</f>
        <v>4.2204507618320336E-11</v>
      </c>
      <c r="AC109" s="24">
        <f t="shared" si="57"/>
        <v>3.5251443234213986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5.6843418860808015E-14</v>
      </c>
      <c r="AJ109" s="14">
        <f>AI109*VLOOKUP('Données projet'!$B$10,Paramètres!$A$1:$I$89,3,0)*VLOOKUP('Données projet'!$B$10,Paramètres!$A$1:$I$89,5,0)</f>
        <v>3.3992364478763198E-14</v>
      </c>
      <c r="AK109" s="14">
        <f t="shared" si="89"/>
        <v>5.790027782444094E-13</v>
      </c>
      <c r="AL109" s="22">
        <f t="shared" si="58"/>
        <v>1.0676332069095257E-12</v>
      </c>
      <c r="AM109" s="62">
        <f t="shared" si="59"/>
        <v>278.99181358813019</v>
      </c>
      <c r="AN109" s="62">
        <f ca="1">AVERAGE(OFFSET($AM$3,0,0,'Données projet'!$E$10+1,1))-AVERAGE(OFFSET($H$3,0,0,'Données projet'!$E$10+1,1))</f>
        <v>212.90262675152454</v>
      </c>
      <c r="AO109" s="62">
        <f t="shared" si="90"/>
        <v>366.51899340890498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24.283544029548271</v>
      </c>
      <c r="AV109" s="23">
        <f>EXP(-LN(2)/25)*AV108+(1-EXP(-LN(2)/25))/(LN(2)/25)*Calculateur!AQ109*Calculateur!AS109*VLOOKUP('Données projet'!$B$10,Paramètres!$A$1:$I$89,3,0)*0.475*44/12</f>
        <v>0.40645761603230002</v>
      </c>
      <c r="AW109" s="23">
        <f>EXP(-LN(2)/2)*AW108+(1-EXP(-LN(2)/2))/(LN(2)/2)*AQ109*AT109*VLOOKUP('Données projet'!$B$10,Paramètres!$A$1:$I$89,3,0)*0.475*44/12</f>
        <v>4.0073014631672397E-9</v>
      </c>
      <c r="AX109" s="23">
        <f t="shared" si="60"/>
        <v>24.69000164958787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5.6843418860808015E-14</v>
      </c>
      <c r="BE109" s="14">
        <f>BD109*VLOOKUP('Données projet'!$B$11,Paramètres!$A$1:$I$89,3,0)*VLOOKUP('Données projet'!$B$11,Paramètres!$A$1:$I$89,5,0)</f>
        <v>4.9658410716801891E-14</v>
      </c>
      <c r="BF109" s="14">
        <f t="shared" si="91"/>
        <v>8.0934058173791862E-13</v>
      </c>
      <c r="BG109" s="22">
        <f t="shared" si="61"/>
        <v>1.4960899118586383E-12</v>
      </c>
      <c r="BH109" s="62">
        <f t="shared" si="62"/>
        <v>278.99181358813058</v>
      </c>
      <c r="BI109" s="62">
        <f ca="1">AVERAGE(OFFSET($BH$3,0,0,'Données projet'!$E$11+1,1))-AVERAGE(OFFSET($H$3,0,0,'Données projet'!$E$11+1,1))</f>
        <v>342.02279578180605</v>
      </c>
      <c r="BJ109" s="62">
        <f t="shared" si="92"/>
        <v>409.02379334777754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317.99999999999972</v>
      </c>
      <c r="BZ109" s="14">
        <f>BY109*VLOOKUP('Données projet'!$B$12,Paramètres!$A$1:$I$89,3,0)*VLOOKUP('Données projet'!$B$12,Paramètres!$A$1:$I$89,5,0)</f>
        <v>253.0007999999998</v>
      </c>
      <c r="CA109" s="14">
        <f t="shared" si="93"/>
        <v>61.228070105968683</v>
      </c>
      <c r="CB109" s="22">
        <f t="shared" si="64"/>
        <v>547.28194876789507</v>
      </c>
      <c r="CC109" s="62">
        <f t="shared" si="65"/>
        <v>826.27376235602424</v>
      </c>
      <c r="CD109" s="62">
        <f ca="1">AVERAGE(OFFSET($CC$3,0,0,'Données projet'!$E$12+1,1))-AVERAGE(OFFSET($H$3,0,0,'Données projet'!$E$12+1,1))</f>
        <v>376.47942810265266</v>
      </c>
      <c r="CE109" s="62">
        <f t="shared" si="94"/>
        <v>362.87951024071265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3.7172255883536645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3.7172255883536645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317.99999999999972</v>
      </c>
      <c r="CU109" s="18">
        <f>CT109*VLOOKUP('Données projet'!$B$13,Paramètres!$A$1:$I$89,3,0)*VLOOKUP('Données projet'!$B$13,Paramètres!$A$1:$I$89,5,0)</f>
        <v>233.1575999999998</v>
      </c>
      <c r="CV109" s="14">
        <f t="shared" si="95"/>
        <v>56.964885721091697</v>
      </c>
      <c r="CW109" s="22">
        <f t="shared" si="67"/>
        <v>505.29666263090093</v>
      </c>
      <c r="CX109" s="62">
        <f t="shared" si="68"/>
        <v>784.28847621903003</v>
      </c>
      <c r="CY109" s="62">
        <f ca="1">AVERAGE(OFFSET($CX$3,0,0,'Données projet'!$E$13+1,1))-AVERAGE(OFFSET($H$3,0,0,'Données projet'!$E$13+1,1))</f>
        <v>351.7223836693733</v>
      </c>
      <c r="CZ109" s="62">
        <f t="shared" si="96"/>
        <v>339.34942976598518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2.7793240525574365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2.7793240525574365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183.33333333333334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6.3550942286383367E-14</v>
      </c>
      <c r="P110" s="14">
        <f t="shared" si="87"/>
        <v>1.0064464192543978E-12</v>
      </c>
      <c r="Q110" s="22">
        <f t="shared" si="107"/>
        <v>1.8635787380168604E-12</v>
      </c>
      <c r="R110" s="62">
        <f t="shared" si="55"/>
        <v>279.24060689287552</v>
      </c>
      <c r="S110" s="62">
        <f ca="1">AVERAGE(OFFSET($R$3,0,0,'Données projet'!$E$9+1,1))-AVERAGE(OFFSET($H$3,0,0,'Données projet'!$E$9+1,1))</f>
        <v>409.45931633551902</v>
      </c>
      <c r="T110" s="62">
        <f t="shared" si="88"/>
        <v>375.18886653687389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1.1536553406837753</v>
      </c>
      <c r="AA110" s="23">
        <f>EXP(-LN(2)/25)*AA109+(1-EXP(-LN(2)/25))/(LN(2)/25)*Calculateur!V110*Calculateur!X110*VLOOKUP('Données projet'!$B$9,Paramètres!$A$1:$I$89,3,0)*0.475*44/12</f>
        <v>2.2841965143126055</v>
      </c>
      <c r="AB110" s="23">
        <f>EXP(-LN(2)/2)*AB109+(1-EXP(-LN(2)/2))/(LN(2)/2)*V110*Y110*VLOOKUP('Données projet'!$B$9,Paramètres!$A$1:$I$89,3,0)*0.475*44/12</f>
        <v>2.9843093533553615E-11</v>
      </c>
      <c r="AC110" s="24">
        <f t="shared" si="57"/>
        <v>3.4378518550262238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5.6843418860808015E-14</v>
      </c>
      <c r="AJ110" s="14">
        <f>AI110*VLOOKUP('Données projet'!$B$10,Paramètres!$A$1:$I$89,3,0)*VLOOKUP('Données projet'!$B$10,Paramètres!$A$1:$I$89,5,0)</f>
        <v>3.3992364478763198E-14</v>
      </c>
      <c r="AK110" s="14">
        <f t="shared" si="89"/>
        <v>5.790027782444094E-13</v>
      </c>
      <c r="AL110" s="22">
        <f t="shared" si="58"/>
        <v>1.0676332069095257E-12</v>
      </c>
      <c r="AM110" s="62">
        <f t="shared" si="59"/>
        <v>279.24060689287472</v>
      </c>
      <c r="AN110" s="62">
        <f ca="1">AVERAGE(OFFSET($AM$3,0,0,'Données projet'!$E$10+1,1))-AVERAGE(OFFSET($H$3,0,0,'Données projet'!$E$10+1,1))</f>
        <v>212.90262675152454</v>
      </c>
      <c r="AO110" s="62">
        <f t="shared" si="90"/>
        <v>366.51899340890498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23.807358542628172</v>
      </c>
      <c r="AV110" s="23">
        <f>EXP(-LN(2)/25)*AV109+(1-EXP(-LN(2)/25))/(LN(2)/25)*Calculateur!AQ110*Calculateur!AS110*VLOOKUP('Données projet'!$B$10,Paramètres!$A$1:$I$89,3,0)*0.475*44/12</f>
        <v>0.3953430111472197</v>
      </c>
      <c r="AW110" s="23">
        <f>EXP(-LN(2)/2)*AW109+(1-EXP(-LN(2)/2))/(LN(2)/2)*AQ110*AT110*VLOOKUP('Données projet'!$B$10,Paramètres!$A$1:$I$89,3,0)*0.475*44/12</f>
        <v>2.8335900388643291E-9</v>
      </c>
      <c r="AX110" s="23">
        <f t="shared" si="60"/>
        <v>24.202701556608982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5.6843418860808015E-14</v>
      </c>
      <c r="BE110" s="14">
        <f>BD110*VLOOKUP('Données projet'!$B$11,Paramètres!$A$1:$I$89,3,0)*VLOOKUP('Données projet'!$B$11,Paramètres!$A$1:$I$89,5,0)</f>
        <v>4.9658410716801891E-14</v>
      </c>
      <c r="BF110" s="14">
        <f t="shared" si="91"/>
        <v>8.0934058173791862E-13</v>
      </c>
      <c r="BG110" s="22">
        <f t="shared" si="61"/>
        <v>1.4960899118586383E-12</v>
      </c>
      <c r="BH110" s="62">
        <f t="shared" si="62"/>
        <v>279.24060689287512</v>
      </c>
      <c r="BI110" s="62">
        <f ca="1">AVERAGE(OFFSET($BH$3,0,0,'Données projet'!$E$11+1,1))-AVERAGE(OFFSET($H$3,0,0,'Données projet'!$E$11+1,1))</f>
        <v>342.02279578180605</v>
      </c>
      <c r="BJ110" s="62">
        <f t="shared" si="92"/>
        <v>409.02379334777754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317.99999999999972</v>
      </c>
      <c r="BZ110" s="14">
        <f>BY110*VLOOKUP('Données projet'!$B$12,Paramètres!$A$1:$I$89,3,0)*VLOOKUP('Données projet'!$B$12,Paramètres!$A$1:$I$89,5,0)</f>
        <v>253.0007999999998</v>
      </c>
      <c r="CA110" s="14">
        <f t="shared" si="93"/>
        <v>61.228070105968683</v>
      </c>
      <c r="CB110" s="22">
        <f t="shared" si="64"/>
        <v>547.28194876789507</v>
      </c>
      <c r="CC110" s="62">
        <f t="shared" si="65"/>
        <v>826.52255566076872</v>
      </c>
      <c r="CD110" s="62">
        <f ca="1">AVERAGE(OFFSET($CC$3,0,0,'Données projet'!$E$12+1,1))-AVERAGE(OFFSET($H$3,0,0,'Données projet'!$E$12+1,1))</f>
        <v>376.47942810265266</v>
      </c>
      <c r="CE110" s="62">
        <f t="shared" si="94"/>
        <v>362.87951024071265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3.6443330618497822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3.6443330618497822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317.99999999999972</v>
      </c>
      <c r="CU110" s="18">
        <f>CT110*VLOOKUP('Données projet'!$B$13,Paramètres!$A$1:$I$89,3,0)*VLOOKUP('Données projet'!$B$13,Paramètres!$A$1:$I$89,5,0)</f>
        <v>233.1575999999998</v>
      </c>
      <c r="CV110" s="14">
        <f t="shared" si="95"/>
        <v>56.964885721091697</v>
      </c>
      <c r="CW110" s="22">
        <f t="shared" si="67"/>
        <v>505.29666263090093</v>
      </c>
      <c r="CX110" s="62">
        <f t="shared" si="68"/>
        <v>784.53726952377451</v>
      </c>
      <c r="CY110" s="62">
        <f ca="1">AVERAGE(OFFSET($CX$3,0,0,'Données projet'!$E$13+1,1))-AVERAGE(OFFSET($H$3,0,0,'Données projet'!$E$13+1,1))</f>
        <v>351.7223836693733</v>
      </c>
      <c r="CZ110" s="62">
        <f t="shared" si="96"/>
        <v>339.34942976598518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2.7248232031070683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2.7248232031070683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183.33333333333334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6.3550942286383367E-14</v>
      </c>
      <c r="P111" s="14">
        <f t="shared" si="87"/>
        <v>1.0064464192543978E-12</v>
      </c>
      <c r="Q111" s="22">
        <f t="shared" si="107"/>
        <v>1.8635787380168604E-12</v>
      </c>
      <c r="R111" s="62">
        <f t="shared" si="55"/>
        <v>279.4850841900012</v>
      </c>
      <c r="S111" s="62">
        <f ca="1">AVERAGE(OFFSET($R$3,0,0,'Données projet'!$E$9+1,1))-AVERAGE(OFFSET($H$3,0,0,'Données projet'!$E$9+1,1))</f>
        <v>409.45931633551902</v>
      </c>
      <c r="T111" s="62">
        <f t="shared" si="88"/>
        <v>375.18886653687389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1.1310328631132436</v>
      </c>
      <c r="AA111" s="23">
        <f>EXP(-LN(2)/25)*AA110+(1-EXP(-LN(2)/25))/(LN(2)/25)*Calculateur!V111*Calculateur!X111*VLOOKUP('Données projet'!$B$9,Paramètres!$A$1:$I$89,3,0)*0.475*44/12</f>
        <v>2.2217350405080531</v>
      </c>
      <c r="AB111" s="23">
        <f>EXP(-LN(2)/2)*AB110+(1-EXP(-LN(2)/2))/(LN(2)/2)*V111*Y111*VLOOKUP('Données projet'!$B$9,Paramètres!$A$1:$I$89,3,0)*0.475*44/12</f>
        <v>2.1102253809160168E-11</v>
      </c>
      <c r="AC111" s="24">
        <f t="shared" si="57"/>
        <v>3.3527679036423992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5.6843418860808015E-14</v>
      </c>
      <c r="AJ111" s="14">
        <f>AI111*VLOOKUP('Données projet'!$B$10,Paramètres!$A$1:$I$89,3,0)*VLOOKUP('Données projet'!$B$10,Paramètres!$A$1:$I$89,5,0)</f>
        <v>3.3992364478763198E-14</v>
      </c>
      <c r="AK111" s="14">
        <f t="shared" si="89"/>
        <v>5.790027782444094E-13</v>
      </c>
      <c r="AL111" s="22">
        <f t="shared" si="58"/>
        <v>1.0676332069095257E-12</v>
      </c>
      <c r="AM111" s="62">
        <f t="shared" si="59"/>
        <v>279.48508419000041</v>
      </c>
      <c r="AN111" s="62">
        <f ca="1">AVERAGE(OFFSET($AM$3,0,0,'Données projet'!$E$10+1,1))-AVERAGE(OFFSET($H$3,0,0,'Données projet'!$E$10+1,1))</f>
        <v>212.90262675152454</v>
      </c>
      <c r="AO111" s="62">
        <f t="shared" si="90"/>
        <v>366.51899340890498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23.34051076266211</v>
      </c>
      <c r="AV111" s="23">
        <f>EXP(-LN(2)/25)*AV110+(1-EXP(-LN(2)/25))/(LN(2)/25)*Calculateur!AQ111*Calculateur!AS111*VLOOKUP('Données projet'!$B$10,Paramètres!$A$1:$I$89,3,0)*0.475*44/12</f>
        <v>0.38453233571721357</v>
      </c>
      <c r="AW111" s="23">
        <f>EXP(-LN(2)/2)*AW110+(1-EXP(-LN(2)/2))/(LN(2)/2)*AQ111*AT111*VLOOKUP('Données projet'!$B$10,Paramètres!$A$1:$I$89,3,0)*0.475*44/12</f>
        <v>2.0036507315836199E-9</v>
      </c>
      <c r="AX111" s="23">
        <f t="shared" si="60"/>
        <v>23.725043100382976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5.6843418860808015E-14</v>
      </c>
      <c r="BE111" s="14">
        <f>BD111*VLOOKUP('Données projet'!$B$11,Paramètres!$A$1:$I$89,3,0)*VLOOKUP('Données projet'!$B$11,Paramètres!$A$1:$I$89,5,0)</f>
        <v>4.9658410716801891E-14</v>
      </c>
      <c r="BF111" s="14">
        <f t="shared" si="91"/>
        <v>8.0934058173791862E-13</v>
      </c>
      <c r="BG111" s="22">
        <f t="shared" si="61"/>
        <v>1.4960899118586383E-12</v>
      </c>
      <c r="BH111" s="62">
        <f t="shared" si="62"/>
        <v>279.4850841900008</v>
      </c>
      <c r="BI111" s="62">
        <f ca="1">AVERAGE(OFFSET($BH$3,0,0,'Données projet'!$E$11+1,1))-AVERAGE(OFFSET($H$3,0,0,'Données projet'!$E$11+1,1))</f>
        <v>342.02279578180605</v>
      </c>
      <c r="BJ111" s="62">
        <f t="shared" si="92"/>
        <v>409.02379334777754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317.99999999999972</v>
      </c>
      <c r="BZ111" s="14">
        <f>BY111*VLOOKUP('Données projet'!$B$12,Paramètres!$A$1:$I$89,3,0)*VLOOKUP('Données projet'!$B$12,Paramètres!$A$1:$I$89,5,0)</f>
        <v>253.0007999999998</v>
      </c>
      <c r="CA111" s="14">
        <f t="shared" si="93"/>
        <v>61.228070105968683</v>
      </c>
      <c r="CB111" s="22">
        <f t="shared" si="64"/>
        <v>547.28194876789507</v>
      </c>
      <c r="CC111" s="62">
        <f t="shared" si="65"/>
        <v>826.76703295789434</v>
      </c>
      <c r="CD111" s="62">
        <f ca="1">AVERAGE(OFFSET($CC$3,0,0,'Données projet'!$E$12+1,1))-AVERAGE(OFFSET($H$3,0,0,'Données projet'!$E$12+1,1))</f>
        <v>376.47942810265266</v>
      </c>
      <c r="CE111" s="62">
        <f t="shared" si="94"/>
        <v>362.87951024071265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3.5728699133305901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3.5728699133305901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317.99999999999972</v>
      </c>
      <c r="CU111" s="18">
        <f>CT111*VLOOKUP('Données projet'!$B$13,Paramètres!$A$1:$I$89,3,0)*VLOOKUP('Données projet'!$B$13,Paramètres!$A$1:$I$89,5,0)</f>
        <v>233.1575999999998</v>
      </c>
      <c r="CV111" s="14">
        <f t="shared" si="95"/>
        <v>56.964885721091697</v>
      </c>
      <c r="CW111" s="22">
        <f t="shared" si="67"/>
        <v>505.29666263090093</v>
      </c>
      <c r="CX111" s="62">
        <f t="shared" si="68"/>
        <v>784.78174682090025</v>
      </c>
      <c r="CY111" s="62">
        <f ca="1">AVERAGE(OFFSET($CX$3,0,0,'Données projet'!$E$13+1,1))-AVERAGE(OFFSET($H$3,0,0,'Données projet'!$E$13+1,1))</f>
        <v>351.7223836693733</v>
      </c>
      <c r="CZ111" s="62">
        <f t="shared" si="96"/>
        <v>339.34942976598518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2.6713910820721858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2.6713910820721858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183.33333333333334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6.3550942286383367E-14</v>
      </c>
      <c r="P112" s="14">
        <f t="shared" si="87"/>
        <v>1.0064464192543978E-12</v>
      </c>
      <c r="Q112" s="22">
        <f t="shared" si="107"/>
        <v>1.8635787380168604E-12</v>
      </c>
      <c r="R112" s="62">
        <f t="shared" si="55"/>
        <v>279.72532035259115</v>
      </c>
      <c r="S112" s="62">
        <f ca="1">AVERAGE(OFFSET($R$3,0,0,'Données projet'!$E$9+1,1))-AVERAGE(OFFSET($H$3,0,0,'Données projet'!$E$9+1,1))</f>
        <v>409.45931633551902</v>
      </c>
      <c r="T112" s="62">
        <f t="shared" si="88"/>
        <v>375.18886653687389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1.1088539985295212</v>
      </c>
      <c r="AA112" s="23">
        <f>EXP(-LN(2)/25)*AA111+(1-EXP(-LN(2)/25))/(LN(2)/25)*Calculateur!V112*Calculateur!X112*VLOOKUP('Données projet'!$B$9,Paramètres!$A$1:$I$89,3,0)*0.475*44/12</f>
        <v>2.1609815789893925</v>
      </c>
      <c r="AB112" s="23">
        <f>EXP(-LN(2)/2)*AB111+(1-EXP(-LN(2)/2))/(LN(2)/2)*V112*Y112*VLOOKUP('Données projet'!$B$9,Paramètres!$A$1:$I$89,3,0)*0.475*44/12</f>
        <v>1.4921546766776807E-11</v>
      </c>
      <c r="AC112" s="24">
        <f t="shared" si="57"/>
        <v>3.269835577533835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5.6843418860808015E-14</v>
      </c>
      <c r="AJ112" s="14">
        <f>AI112*VLOOKUP('Données projet'!$B$10,Paramètres!$A$1:$I$89,3,0)*VLOOKUP('Données projet'!$B$10,Paramètres!$A$1:$I$89,5,0)</f>
        <v>3.3992364478763198E-14</v>
      </c>
      <c r="AK112" s="14">
        <f t="shared" si="89"/>
        <v>5.790027782444094E-13</v>
      </c>
      <c r="AL112" s="22">
        <f t="shared" si="58"/>
        <v>1.0676332069095257E-12</v>
      </c>
      <c r="AM112" s="62">
        <f t="shared" si="59"/>
        <v>279.72532035259036</v>
      </c>
      <c r="AN112" s="62">
        <f ca="1">AVERAGE(OFFSET($AM$3,0,0,'Données projet'!$E$10+1,1))-AVERAGE(OFFSET($H$3,0,0,'Données projet'!$E$10+1,1))</f>
        <v>212.90262675152454</v>
      </c>
      <c r="AO112" s="62">
        <f t="shared" si="90"/>
        <v>366.51899340890498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22.882817582912153</v>
      </c>
      <c r="AV112" s="23">
        <f>EXP(-LN(2)/25)*AV111+(1-EXP(-LN(2)/25))/(LN(2)/25)*Calculateur!AQ112*Calculateur!AS112*VLOOKUP('Données projet'!$B$10,Paramètres!$A$1:$I$89,3,0)*0.475*44/12</f>
        <v>0.37401727877534968</v>
      </c>
      <c r="AW112" s="23">
        <f>EXP(-LN(2)/2)*AW111+(1-EXP(-LN(2)/2))/(LN(2)/2)*AQ112*AT112*VLOOKUP('Données projet'!$B$10,Paramètres!$A$1:$I$89,3,0)*0.475*44/12</f>
        <v>1.4167950194321646E-9</v>
      </c>
      <c r="AX112" s="23">
        <f t="shared" si="60"/>
        <v>23.256834863104295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5.6843418860808015E-14</v>
      </c>
      <c r="BE112" s="14">
        <f>BD112*VLOOKUP('Données projet'!$B$11,Paramètres!$A$1:$I$89,3,0)*VLOOKUP('Données projet'!$B$11,Paramètres!$A$1:$I$89,5,0)</f>
        <v>4.9658410716801891E-14</v>
      </c>
      <c r="BF112" s="14">
        <f t="shared" si="91"/>
        <v>8.0934058173791862E-13</v>
      </c>
      <c r="BG112" s="22">
        <f t="shared" si="61"/>
        <v>1.4960899118586383E-12</v>
      </c>
      <c r="BH112" s="62">
        <f t="shared" si="62"/>
        <v>279.72532035259076</v>
      </c>
      <c r="BI112" s="62">
        <f ca="1">AVERAGE(OFFSET($BH$3,0,0,'Données projet'!$E$11+1,1))-AVERAGE(OFFSET($H$3,0,0,'Données projet'!$E$11+1,1))</f>
        <v>342.02279578180605</v>
      </c>
      <c r="BJ112" s="62">
        <f t="shared" si="92"/>
        <v>409.02379334777754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317.99999999999972</v>
      </c>
      <c r="BZ112" s="14">
        <f>BY112*VLOOKUP('Données projet'!$B$12,Paramètres!$A$1:$I$89,3,0)*VLOOKUP('Données projet'!$B$12,Paramètres!$A$1:$I$89,5,0)</f>
        <v>253.0007999999998</v>
      </c>
      <c r="CA112" s="14">
        <f t="shared" si="93"/>
        <v>61.228070105968683</v>
      </c>
      <c r="CB112" s="22">
        <f t="shared" si="64"/>
        <v>547.28194876789507</v>
      </c>
      <c r="CC112" s="62">
        <f t="shared" si="65"/>
        <v>827.00726912048435</v>
      </c>
      <c r="CD112" s="62">
        <f ca="1">AVERAGE(OFFSET($CC$3,0,0,'Données projet'!$E$12+1,1))-AVERAGE(OFFSET($H$3,0,0,'Données projet'!$E$12+1,1))</f>
        <v>376.47942810265266</v>
      </c>
      <c r="CE112" s="62">
        <f t="shared" si="94"/>
        <v>362.87951024071265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3.5028081135656426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3.5028081135656426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317.99999999999972</v>
      </c>
      <c r="CU112" s="18">
        <f>CT112*VLOOKUP('Données projet'!$B$13,Paramètres!$A$1:$I$89,3,0)*VLOOKUP('Données projet'!$B$13,Paramètres!$A$1:$I$89,5,0)</f>
        <v>233.1575999999998</v>
      </c>
      <c r="CV112" s="14">
        <f t="shared" si="95"/>
        <v>56.964885721091697</v>
      </c>
      <c r="CW112" s="22">
        <f t="shared" si="67"/>
        <v>505.29666263090093</v>
      </c>
      <c r="CX112" s="62">
        <f t="shared" si="68"/>
        <v>785.02198298349026</v>
      </c>
      <c r="CY112" s="62">
        <f ca="1">AVERAGE(OFFSET($CX$3,0,0,'Données projet'!$E$13+1,1))-AVERAGE(OFFSET($H$3,0,0,'Données projet'!$E$13+1,1))</f>
        <v>351.7223836693733</v>
      </c>
      <c r="CZ112" s="62">
        <f t="shared" si="96"/>
        <v>339.34942976598518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2.6190067323404218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2.6190067323404218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183.33333333333334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6.3550942286383367E-14</v>
      </c>
      <c r="P113" s="14">
        <f t="shared" si="87"/>
        <v>1.0064464192543978E-12</v>
      </c>
      <c r="Q113" s="22">
        <f t="shared" si="107"/>
        <v>1.8635787380168604E-12</v>
      </c>
      <c r="R113" s="62">
        <f t="shared" si="55"/>
        <v>279.96138895484773</v>
      </c>
      <c r="S113" s="62">
        <f ca="1">AVERAGE(OFFSET($R$3,0,0,'Données projet'!$E$9+1,1))-AVERAGE(OFFSET($H$3,0,0,'Données projet'!$E$9+1,1))</f>
        <v>409.45931633551902</v>
      </c>
      <c r="T113" s="62">
        <f t="shared" si="88"/>
        <v>375.18886653687389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1.087110047952514</v>
      </c>
      <c r="AA113" s="23">
        <f>EXP(-LN(2)/25)*AA112+(1-EXP(-LN(2)/25))/(LN(2)/25)*Calculateur!V113*Calculateur!X113*VLOOKUP('Données projet'!$B$9,Paramètres!$A$1:$I$89,3,0)*0.475*44/12</f>
        <v>2.1018894240708454</v>
      </c>
      <c r="AB113" s="23">
        <f>EXP(-LN(2)/2)*AB112+(1-EXP(-LN(2)/2))/(LN(2)/2)*V113*Y113*VLOOKUP('Données projet'!$B$9,Paramètres!$A$1:$I$89,3,0)*0.475*44/12</f>
        <v>1.0551126904580084E-11</v>
      </c>
      <c r="AC113" s="24">
        <f t="shared" si="57"/>
        <v>3.1889994720339105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5.6843418860808015E-14</v>
      </c>
      <c r="AJ113" s="14">
        <f>AI113*VLOOKUP('Données projet'!$B$10,Paramètres!$A$1:$I$89,3,0)*VLOOKUP('Données projet'!$B$10,Paramètres!$A$1:$I$89,5,0)</f>
        <v>3.3992364478763198E-14</v>
      </c>
      <c r="AK113" s="14">
        <f t="shared" si="89"/>
        <v>5.790027782444094E-13</v>
      </c>
      <c r="AL113" s="22">
        <f t="shared" si="58"/>
        <v>1.0676332069095257E-12</v>
      </c>
      <c r="AM113" s="62">
        <f t="shared" si="59"/>
        <v>279.96138895484694</v>
      </c>
      <c r="AN113" s="62">
        <f ca="1">AVERAGE(OFFSET($AM$3,0,0,'Données projet'!$E$10+1,1))-AVERAGE(OFFSET($H$3,0,0,'Données projet'!$E$10+1,1))</f>
        <v>212.90262675152454</v>
      </c>
      <c r="AO113" s="62">
        <f t="shared" si="90"/>
        <v>366.51899340890498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22.434099487251817</v>
      </c>
      <c r="AV113" s="23">
        <f>EXP(-LN(2)/25)*AV112+(1-EXP(-LN(2)/25))/(LN(2)/25)*Calculateur!AQ113*Calculateur!AS113*VLOOKUP('Données projet'!$B$10,Paramètres!$A$1:$I$89,3,0)*0.475*44/12</f>
        <v>0.36378975661852386</v>
      </c>
      <c r="AW113" s="23">
        <f>EXP(-LN(2)/2)*AW112+(1-EXP(-LN(2)/2))/(LN(2)/2)*AQ113*AT113*VLOOKUP('Données projet'!$B$10,Paramètres!$A$1:$I$89,3,0)*0.475*44/12</f>
        <v>1.0018253657918099E-9</v>
      </c>
      <c r="AX113" s="23">
        <f t="shared" si="60"/>
        <v>22.797889244872167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5.6843418860808015E-14</v>
      </c>
      <c r="BE113" s="14">
        <f>BD113*VLOOKUP('Données projet'!$B$11,Paramètres!$A$1:$I$89,3,0)*VLOOKUP('Données projet'!$B$11,Paramètres!$A$1:$I$89,5,0)</f>
        <v>4.9658410716801891E-14</v>
      </c>
      <c r="BF113" s="14">
        <f t="shared" si="91"/>
        <v>8.0934058173791862E-13</v>
      </c>
      <c r="BG113" s="22">
        <f t="shared" si="61"/>
        <v>1.4960899118586383E-12</v>
      </c>
      <c r="BH113" s="62">
        <f t="shared" si="62"/>
        <v>279.96138895484734</v>
      </c>
      <c r="BI113" s="62">
        <f ca="1">AVERAGE(OFFSET($BH$3,0,0,'Données projet'!$E$11+1,1))-AVERAGE(OFFSET($H$3,0,0,'Données projet'!$E$11+1,1))</f>
        <v>342.02279578180605</v>
      </c>
      <c r="BJ113" s="62">
        <f t="shared" si="92"/>
        <v>409.02379334777754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317.99999999999972</v>
      </c>
      <c r="BZ113" s="14">
        <f>BY113*VLOOKUP('Données projet'!$B$12,Paramètres!$A$1:$I$89,3,0)*VLOOKUP('Données projet'!$B$12,Paramètres!$A$1:$I$89,5,0)</f>
        <v>253.0007999999998</v>
      </c>
      <c r="CA113" s="14">
        <f t="shared" si="93"/>
        <v>61.228070105968683</v>
      </c>
      <c r="CB113" s="22">
        <f t="shared" si="64"/>
        <v>547.28194876789507</v>
      </c>
      <c r="CC113" s="62">
        <f t="shared" si="65"/>
        <v>827.24333772274099</v>
      </c>
      <c r="CD113" s="62">
        <f ca="1">AVERAGE(OFFSET($CC$3,0,0,'Données projet'!$E$12+1,1))-AVERAGE(OFFSET($H$3,0,0,'Données projet'!$E$12+1,1))</f>
        <v>376.47942810265266</v>
      </c>
      <c r="CE113" s="62">
        <f t="shared" si="94"/>
        <v>362.87951024071265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3.4341201829606076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3.4341201829606076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317.99999999999972</v>
      </c>
      <c r="CU113" s="18">
        <f>CT113*VLOOKUP('Données projet'!$B$13,Paramètres!$A$1:$I$89,3,0)*VLOOKUP('Données projet'!$B$13,Paramètres!$A$1:$I$89,5,0)</f>
        <v>233.1575999999998</v>
      </c>
      <c r="CV113" s="14">
        <f t="shared" si="95"/>
        <v>56.964885721091697</v>
      </c>
      <c r="CW113" s="22">
        <f t="shared" si="67"/>
        <v>505.29666263090093</v>
      </c>
      <c r="CX113" s="62">
        <f t="shared" si="68"/>
        <v>785.25805158574678</v>
      </c>
      <c r="CY113" s="62">
        <f ca="1">AVERAGE(OFFSET($CX$3,0,0,'Données projet'!$E$13+1,1))-AVERAGE(OFFSET($H$3,0,0,'Données projet'!$E$13+1,1))</f>
        <v>351.7223836693733</v>
      </c>
      <c r="CZ113" s="62">
        <f t="shared" si="96"/>
        <v>339.34942976598518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2.567649607755599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2.567649607755599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183.33333333333334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6.3550942286383367E-14</v>
      </c>
      <c r="P114" s="14">
        <f t="shared" si="87"/>
        <v>1.0064464192543978E-12</v>
      </c>
      <c r="Q114" s="22">
        <f t="shared" si="107"/>
        <v>1.8635787380168604E-12</v>
      </c>
      <c r="R114" s="62">
        <f t="shared" si="55"/>
        <v>280.19336229462544</v>
      </c>
      <c r="S114" s="62">
        <f ca="1">AVERAGE(OFFSET($R$3,0,0,'Données projet'!$E$9+1,1))-AVERAGE(OFFSET($H$3,0,0,'Données projet'!$E$9+1,1))</f>
        <v>409.45931633551902</v>
      </c>
      <c r="T114" s="62">
        <f t="shared" si="88"/>
        <v>375.18886653687389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1.0657924829838215</v>
      </c>
      <c r="AA114" s="23">
        <f>EXP(-LN(2)/25)*AA113+(1-EXP(-LN(2)/25))/(LN(2)/25)*Calculateur!V114*Calculateur!X114*VLOOKUP('Données projet'!$B$9,Paramètres!$A$1:$I$89,3,0)*0.475*44/12</f>
        <v>2.0444131472360674</v>
      </c>
      <c r="AB114" s="23">
        <f>EXP(-LN(2)/2)*AB113+(1-EXP(-LN(2)/2))/(LN(2)/2)*V114*Y114*VLOOKUP('Données projet'!$B$9,Paramètres!$A$1:$I$89,3,0)*0.475*44/12</f>
        <v>7.4607733833884037E-12</v>
      </c>
      <c r="AC114" s="24">
        <f t="shared" si="57"/>
        <v>3.1102056302273495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5.6843418860808015E-14</v>
      </c>
      <c r="AJ114" s="14">
        <f>AI114*VLOOKUP('Données projet'!$B$10,Paramètres!$A$1:$I$89,3,0)*VLOOKUP('Données projet'!$B$10,Paramètres!$A$1:$I$89,5,0)</f>
        <v>3.3992364478763198E-14</v>
      </c>
      <c r="AK114" s="14">
        <f t="shared" si="89"/>
        <v>5.790027782444094E-13</v>
      </c>
      <c r="AL114" s="22">
        <f t="shared" si="58"/>
        <v>1.0676332069095257E-12</v>
      </c>
      <c r="AM114" s="62">
        <f t="shared" si="59"/>
        <v>280.19336229462465</v>
      </c>
      <c r="AN114" s="62">
        <f ca="1">AVERAGE(OFFSET($AM$3,0,0,'Données projet'!$E$10+1,1))-AVERAGE(OFFSET($H$3,0,0,'Données projet'!$E$10+1,1))</f>
        <v>212.90262675152454</v>
      </c>
      <c r="AO114" s="62">
        <f t="shared" si="90"/>
        <v>366.51899340890498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21.994180479756366</v>
      </c>
      <c r="AV114" s="23">
        <f>EXP(-LN(2)/25)*AV113+(1-EXP(-LN(2)/25))/(LN(2)/25)*Calculateur!AQ114*Calculateur!AS114*VLOOKUP('Données projet'!$B$10,Paramètres!$A$1:$I$89,3,0)*0.475*44/12</f>
        <v>0.35384190659291848</v>
      </c>
      <c r="AW114" s="23">
        <f>EXP(-LN(2)/2)*AW113+(1-EXP(-LN(2)/2))/(LN(2)/2)*AQ114*AT114*VLOOKUP('Données projet'!$B$10,Paramètres!$A$1:$I$89,3,0)*0.475*44/12</f>
        <v>7.0839750971608228E-10</v>
      </c>
      <c r="AX114" s="23">
        <f t="shared" si="60"/>
        <v>22.348022387057682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5.6843418860808015E-14</v>
      </c>
      <c r="BE114" s="14">
        <f>BD114*VLOOKUP('Données projet'!$B$11,Paramètres!$A$1:$I$89,3,0)*VLOOKUP('Données projet'!$B$11,Paramètres!$A$1:$I$89,5,0)</f>
        <v>4.9658410716801891E-14</v>
      </c>
      <c r="BF114" s="14">
        <f t="shared" si="91"/>
        <v>8.0934058173791862E-13</v>
      </c>
      <c r="BG114" s="22">
        <f t="shared" si="61"/>
        <v>1.4960899118586383E-12</v>
      </c>
      <c r="BH114" s="62">
        <f t="shared" si="62"/>
        <v>280.19336229462505</v>
      </c>
      <c r="BI114" s="62">
        <f ca="1">AVERAGE(OFFSET($BH$3,0,0,'Données projet'!$E$11+1,1))-AVERAGE(OFFSET($H$3,0,0,'Données projet'!$E$11+1,1))</f>
        <v>342.02279578180605</v>
      </c>
      <c r="BJ114" s="62">
        <f t="shared" si="92"/>
        <v>409.02379334777754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317.99999999999972</v>
      </c>
      <c r="BZ114" s="14">
        <f>BY114*VLOOKUP('Données projet'!$B$12,Paramètres!$A$1:$I$89,3,0)*VLOOKUP('Données projet'!$B$12,Paramètres!$A$1:$I$89,5,0)</f>
        <v>253.0007999999998</v>
      </c>
      <c r="CA114" s="14">
        <f t="shared" si="93"/>
        <v>61.228070105968683</v>
      </c>
      <c r="CB114" s="22">
        <f t="shared" si="64"/>
        <v>547.28194876789507</v>
      </c>
      <c r="CC114" s="62">
        <f t="shared" si="65"/>
        <v>827.47531106251859</v>
      </c>
      <c r="CD114" s="62">
        <f ca="1">AVERAGE(OFFSET($CC$3,0,0,'Données projet'!$E$12+1,1))-AVERAGE(OFFSET($H$3,0,0,'Données projet'!$E$12+1,1))</f>
        <v>376.47942810265266</v>
      </c>
      <c r="CE114" s="62">
        <f t="shared" si="94"/>
        <v>362.87951024071265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3.3667791807792367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3.3667791807792367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317.99999999999972</v>
      </c>
      <c r="CU114" s="18">
        <f>CT114*VLOOKUP('Données projet'!$B$13,Paramètres!$A$1:$I$89,3,0)*VLOOKUP('Données projet'!$B$13,Paramètres!$A$1:$I$89,5,0)</f>
        <v>233.1575999999998</v>
      </c>
      <c r="CV114" s="14">
        <f t="shared" si="95"/>
        <v>56.964885721091697</v>
      </c>
      <c r="CW114" s="22">
        <f t="shared" si="67"/>
        <v>505.29666263090093</v>
      </c>
      <c r="CX114" s="62">
        <f t="shared" si="68"/>
        <v>785.49002492552449</v>
      </c>
      <c r="CY114" s="62">
        <f ca="1">AVERAGE(OFFSET($CX$3,0,0,'Données projet'!$E$13+1,1))-AVERAGE(OFFSET($H$3,0,0,'Données projet'!$E$13+1,1))</f>
        <v>351.7223836693733</v>
      </c>
      <c r="CZ114" s="62">
        <f t="shared" si="96"/>
        <v>339.34942976598518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2.5172995650591319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2.5172995650591319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183.33333333333334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6.3550942286383367E-14</v>
      </c>
      <c r="P115" s="14">
        <f t="shared" si="87"/>
        <v>1.0064464192543978E-12</v>
      </c>
      <c r="Q115" s="22">
        <f t="shared" si="107"/>
        <v>1.8635787380168604E-12</v>
      </c>
      <c r="R115" s="62">
        <f t="shared" si="55"/>
        <v>280.42131141557275</v>
      </c>
      <c r="S115" s="62">
        <f ca="1">AVERAGE(OFFSET($R$3,0,0,'Données projet'!$E$9+1,1))-AVERAGE(OFFSET($H$3,0,0,'Données projet'!$E$9+1,1))</f>
        <v>409.45931633551902</v>
      </c>
      <c r="T115" s="62">
        <f t="shared" si="88"/>
        <v>375.18886653687389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1.0448929424617344</v>
      </c>
      <c r="AA115" s="23">
        <f>EXP(-LN(2)/25)*AA114+(1-EXP(-LN(2)/25))/(LN(2)/25)*Calculateur!V115*Calculateur!X115*VLOOKUP('Données projet'!$B$9,Paramètres!$A$1:$I$89,3,0)*0.475*44/12</f>
        <v>1.9885085622138823</v>
      </c>
      <c r="AB115" s="23">
        <f>EXP(-LN(2)/2)*AB114+(1-EXP(-LN(2)/2))/(LN(2)/2)*V115*Y115*VLOOKUP('Données projet'!$B$9,Paramètres!$A$1:$I$89,3,0)*0.475*44/12</f>
        <v>5.275563452290042E-12</v>
      </c>
      <c r="AC115" s="24">
        <f t="shared" si="57"/>
        <v>3.0334015046808922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5.6843418860808015E-14</v>
      </c>
      <c r="AJ115" s="14">
        <f>AI115*VLOOKUP('Données projet'!$B$10,Paramètres!$A$1:$I$89,3,0)*VLOOKUP('Données projet'!$B$10,Paramètres!$A$1:$I$89,5,0)</f>
        <v>3.3992364478763198E-14</v>
      </c>
      <c r="AK115" s="14">
        <f t="shared" si="89"/>
        <v>5.790027782444094E-13</v>
      </c>
      <c r="AL115" s="22">
        <f t="shared" si="58"/>
        <v>1.0676332069095257E-12</v>
      </c>
      <c r="AM115" s="62">
        <f t="shared" si="59"/>
        <v>280.42131141557195</v>
      </c>
      <c r="AN115" s="62">
        <f ca="1">AVERAGE(OFFSET($AM$3,0,0,'Données projet'!$E$10+1,1))-AVERAGE(OFFSET($H$3,0,0,'Données projet'!$E$10+1,1))</f>
        <v>212.90262675152454</v>
      </c>
      <c r="AO115" s="62">
        <f t="shared" si="90"/>
        <v>366.51899340890498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21.562888015673803</v>
      </c>
      <c r="AV115" s="23">
        <f>EXP(-LN(2)/25)*AV114+(1-EXP(-LN(2)/25))/(LN(2)/25)*Calculateur!AQ115*Calculateur!AS115*VLOOKUP('Données projet'!$B$10,Paramètres!$A$1:$I$89,3,0)*0.475*44/12</f>
        <v>0.34416608104939794</v>
      </c>
      <c r="AW115" s="23">
        <f>EXP(-LN(2)/2)*AW114+(1-EXP(-LN(2)/2))/(LN(2)/2)*AQ115*AT115*VLOOKUP('Données projet'!$B$10,Paramètres!$A$1:$I$89,3,0)*0.475*44/12</f>
        <v>5.0091268289590496E-10</v>
      </c>
      <c r="AX115" s="23">
        <f t="shared" si="60"/>
        <v>21.907054097224112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5.6843418860808015E-14</v>
      </c>
      <c r="BE115" s="14">
        <f>BD115*VLOOKUP('Données projet'!$B$11,Paramètres!$A$1:$I$89,3,0)*VLOOKUP('Données projet'!$B$11,Paramètres!$A$1:$I$89,5,0)</f>
        <v>4.9658410716801891E-14</v>
      </c>
      <c r="BF115" s="14">
        <f t="shared" si="91"/>
        <v>8.0934058173791862E-13</v>
      </c>
      <c r="BG115" s="22">
        <f t="shared" si="61"/>
        <v>1.4960899118586383E-12</v>
      </c>
      <c r="BH115" s="62">
        <f t="shared" si="62"/>
        <v>280.42131141557235</v>
      </c>
      <c r="BI115" s="62">
        <f ca="1">AVERAGE(OFFSET($BH$3,0,0,'Données projet'!$E$11+1,1))-AVERAGE(OFFSET($H$3,0,0,'Données projet'!$E$11+1,1))</f>
        <v>342.02279578180605</v>
      </c>
      <c r="BJ115" s="62">
        <f t="shared" si="92"/>
        <v>409.02379334777754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317.99999999999972</v>
      </c>
      <c r="BZ115" s="14">
        <f>BY115*VLOOKUP('Données projet'!$B$12,Paramètres!$A$1:$I$89,3,0)*VLOOKUP('Données projet'!$B$12,Paramètres!$A$1:$I$89,5,0)</f>
        <v>253.0007999999998</v>
      </c>
      <c r="CA115" s="14">
        <f t="shared" si="93"/>
        <v>61.228070105968683</v>
      </c>
      <c r="CB115" s="22">
        <f t="shared" si="64"/>
        <v>547.28194876789507</v>
      </c>
      <c r="CC115" s="62">
        <f t="shared" si="65"/>
        <v>827.703260183466</v>
      </c>
      <c r="CD115" s="62">
        <f ca="1">AVERAGE(OFFSET($CC$3,0,0,'Données projet'!$E$12+1,1))-AVERAGE(OFFSET($H$3,0,0,'Données projet'!$E$12+1,1))</f>
        <v>376.47942810265266</v>
      </c>
      <c r="CE115" s="62">
        <f t="shared" si="94"/>
        <v>362.87951024071265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3.3007586945766865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3.3007586945766865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317.99999999999972</v>
      </c>
      <c r="CU115" s="18">
        <f>CT115*VLOOKUP('Données projet'!$B$13,Paramètres!$A$1:$I$89,3,0)*VLOOKUP('Données projet'!$B$13,Paramètres!$A$1:$I$89,5,0)</f>
        <v>233.1575999999998</v>
      </c>
      <c r="CV115" s="14">
        <f t="shared" si="95"/>
        <v>56.964885721091697</v>
      </c>
      <c r="CW115" s="22">
        <f t="shared" si="67"/>
        <v>505.29666263090093</v>
      </c>
      <c r="CX115" s="62">
        <f t="shared" si="68"/>
        <v>785.7179740464718</v>
      </c>
      <c r="CY115" s="62">
        <f ca="1">AVERAGE(OFFSET($CX$3,0,0,'Données projet'!$E$13+1,1))-AVERAGE(OFFSET($H$3,0,0,'Données projet'!$E$13+1,1))</f>
        <v>351.7223836693733</v>
      </c>
      <c r="CZ115" s="62">
        <f t="shared" si="96"/>
        <v>339.34942976598518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2.4679368559894486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2.4679368559894486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183.33333333333334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6.3550942286383367E-14</v>
      </c>
      <c r="P116" s="14">
        <f t="shared" si="87"/>
        <v>1.0064464192543978E-12</v>
      </c>
      <c r="Q116" s="22">
        <f t="shared" si="107"/>
        <v>1.8635787380168604E-12</v>
      </c>
      <c r="R116" s="62">
        <f t="shared" si="55"/>
        <v>280.6453061288895</v>
      </c>
      <c r="S116" s="62">
        <f ca="1">AVERAGE(OFFSET($R$3,0,0,'Données projet'!$E$9+1,1))-AVERAGE(OFFSET($H$3,0,0,'Données projet'!$E$9+1,1))</f>
        <v>409.45931633551902</v>
      </c>
      <c r="T116" s="62">
        <f t="shared" si="88"/>
        <v>375.18886653687389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1.0244032291818244</v>
      </c>
      <c r="AA116" s="23">
        <f>EXP(-LN(2)/25)*AA115+(1-EXP(-LN(2)/25))/(LN(2)/25)*Calculateur!V116*Calculateur!X116*VLOOKUP('Données projet'!$B$9,Paramètres!$A$1:$I$89,3,0)*0.475*44/12</f>
        <v>1.9341326910090231</v>
      </c>
      <c r="AB116" s="23">
        <f>EXP(-LN(2)/2)*AB115+(1-EXP(-LN(2)/2))/(LN(2)/2)*V116*Y116*VLOOKUP('Données projet'!$B$9,Paramètres!$A$1:$I$89,3,0)*0.475*44/12</f>
        <v>3.7303866916942019E-12</v>
      </c>
      <c r="AC116" s="24">
        <f t="shared" si="57"/>
        <v>2.9585359201945778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5.6843418860808015E-14</v>
      </c>
      <c r="AJ116" s="14">
        <f>AI116*VLOOKUP('Données projet'!$B$10,Paramètres!$A$1:$I$89,3,0)*VLOOKUP('Données projet'!$B$10,Paramètres!$A$1:$I$89,5,0)</f>
        <v>3.3992364478763198E-14</v>
      </c>
      <c r="AK116" s="14">
        <f t="shared" si="89"/>
        <v>5.790027782444094E-13</v>
      </c>
      <c r="AL116" s="22">
        <f t="shared" si="58"/>
        <v>1.0676332069095257E-12</v>
      </c>
      <c r="AM116" s="62">
        <f t="shared" si="59"/>
        <v>280.64530612888871</v>
      </c>
      <c r="AN116" s="62">
        <f ca="1">AVERAGE(OFFSET($AM$3,0,0,'Données projet'!$E$10+1,1))-AVERAGE(OFFSET($H$3,0,0,'Données projet'!$E$10+1,1))</f>
        <v>212.90262675152454</v>
      </c>
      <c r="AO116" s="62">
        <f t="shared" si="90"/>
        <v>366.51899340890498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21.14005293374947</v>
      </c>
      <c r="AV116" s="23">
        <f>EXP(-LN(2)/25)*AV115+(1-EXP(-LN(2)/25))/(LN(2)/25)*Calculateur!AQ116*Calculateur!AS116*VLOOKUP('Données projet'!$B$10,Paramètres!$A$1:$I$89,3,0)*0.475*44/12</f>
        <v>0.33475484146419454</v>
      </c>
      <c r="AW116" s="23">
        <f>EXP(-LN(2)/2)*AW115+(1-EXP(-LN(2)/2))/(LN(2)/2)*AQ116*AT116*VLOOKUP('Données projet'!$B$10,Paramètres!$A$1:$I$89,3,0)*0.475*44/12</f>
        <v>3.5419875485804114E-10</v>
      </c>
      <c r="AX116" s="23">
        <f t="shared" si="60"/>
        <v>21.474807775567861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5.6843418860808015E-14</v>
      </c>
      <c r="BE116" s="14">
        <f>BD116*VLOOKUP('Données projet'!$B$11,Paramètres!$A$1:$I$89,3,0)*VLOOKUP('Données projet'!$B$11,Paramètres!$A$1:$I$89,5,0)</f>
        <v>4.9658410716801891E-14</v>
      </c>
      <c r="BF116" s="14">
        <f t="shared" si="91"/>
        <v>8.0934058173791862E-13</v>
      </c>
      <c r="BG116" s="22">
        <f t="shared" si="61"/>
        <v>1.4960899118586383E-12</v>
      </c>
      <c r="BH116" s="62">
        <f t="shared" si="62"/>
        <v>280.6453061288891</v>
      </c>
      <c r="BI116" s="62">
        <f ca="1">AVERAGE(OFFSET($BH$3,0,0,'Données projet'!$E$11+1,1))-AVERAGE(OFFSET($H$3,0,0,'Données projet'!$E$11+1,1))</f>
        <v>342.02279578180605</v>
      </c>
      <c r="BJ116" s="62">
        <f t="shared" si="92"/>
        <v>409.02379334777754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317.99999999999972</v>
      </c>
      <c r="BZ116" s="14">
        <f>BY116*VLOOKUP('Données projet'!$B$12,Paramètres!$A$1:$I$89,3,0)*VLOOKUP('Données projet'!$B$12,Paramètres!$A$1:$I$89,5,0)</f>
        <v>253.0007999999998</v>
      </c>
      <c r="CA116" s="14">
        <f t="shared" si="93"/>
        <v>61.228070105968683</v>
      </c>
      <c r="CB116" s="22">
        <f t="shared" si="64"/>
        <v>547.28194876789507</v>
      </c>
      <c r="CC116" s="62">
        <f t="shared" si="65"/>
        <v>827.92725489678264</v>
      </c>
      <c r="CD116" s="62">
        <f ca="1">AVERAGE(OFFSET($CC$3,0,0,'Données projet'!$E$12+1,1))-AVERAGE(OFFSET($H$3,0,0,'Données projet'!$E$12+1,1))</f>
        <v>376.47942810265266</v>
      </c>
      <c r="CE116" s="62">
        <f t="shared" si="94"/>
        <v>362.87951024071265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3.236032829840048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3.236032829840048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317.99999999999972</v>
      </c>
      <c r="CU116" s="18">
        <f>CT116*VLOOKUP('Données projet'!$B$13,Paramètres!$A$1:$I$89,3,0)*VLOOKUP('Données projet'!$B$13,Paramètres!$A$1:$I$89,5,0)</f>
        <v>233.1575999999998</v>
      </c>
      <c r="CV116" s="14">
        <f t="shared" si="95"/>
        <v>56.964885721091697</v>
      </c>
      <c r="CW116" s="22">
        <f t="shared" si="67"/>
        <v>505.29666263090093</v>
      </c>
      <c r="CX116" s="62">
        <f t="shared" si="68"/>
        <v>785.94196875978855</v>
      </c>
      <c r="CY116" s="62">
        <f ca="1">AVERAGE(OFFSET($CX$3,0,0,'Données projet'!$E$13+1,1))-AVERAGE(OFFSET($H$3,0,0,'Données projet'!$E$13+1,1))</f>
        <v>351.7223836693733</v>
      </c>
      <c r="CZ116" s="62">
        <f t="shared" si="96"/>
        <v>339.34942976598518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2.4195421195363425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2.4195421195363425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183.33333333333334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6.3550942286383367E-14</v>
      </c>
      <c r="P117" s="14">
        <f t="shared" si="87"/>
        <v>1.0064464192543978E-12</v>
      </c>
      <c r="Q117" s="22">
        <f t="shared" si="107"/>
        <v>1.8635787380168604E-12</v>
      </c>
      <c r="R117" s="62">
        <f t="shared" si="55"/>
        <v>280.86541503470733</v>
      </c>
      <c r="S117" s="62">
        <f ca="1">AVERAGE(OFFSET($R$3,0,0,'Données projet'!$E$9+1,1))-AVERAGE(OFFSET($H$3,0,0,'Données projet'!$E$9+1,1))</f>
        <v>409.45931633551902</v>
      </c>
      <c r="T117" s="62">
        <f t="shared" si="88"/>
        <v>375.18886653687389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1.0043153066818422</v>
      </c>
      <c r="AA117" s="23">
        <f>EXP(-LN(2)/25)*AA116+(1-EXP(-LN(2)/25))/(LN(2)/25)*Calculateur!V117*Calculateur!X117*VLOOKUP('Données projet'!$B$9,Paramètres!$A$1:$I$89,3,0)*0.475*44/12</f>
        <v>1.8812437308617636</v>
      </c>
      <c r="AB117" s="23">
        <f>EXP(-LN(2)/2)*AB116+(1-EXP(-LN(2)/2))/(LN(2)/2)*V117*Y117*VLOOKUP('Données projet'!$B$9,Paramètres!$A$1:$I$89,3,0)*0.475*44/12</f>
        <v>2.637781726145021E-12</v>
      </c>
      <c r="AC117" s="24">
        <f t="shared" si="57"/>
        <v>2.8855590375462437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5.6843418860808015E-14</v>
      </c>
      <c r="AJ117" s="14">
        <f>AI117*VLOOKUP('Données projet'!$B$10,Paramètres!$A$1:$I$89,3,0)*VLOOKUP('Données projet'!$B$10,Paramètres!$A$1:$I$89,5,0)</f>
        <v>3.3992364478763198E-14</v>
      </c>
      <c r="AK117" s="14">
        <f t="shared" si="89"/>
        <v>5.790027782444094E-13</v>
      </c>
      <c r="AL117" s="22">
        <f t="shared" si="58"/>
        <v>1.0676332069095257E-12</v>
      </c>
      <c r="AM117" s="62">
        <f t="shared" si="59"/>
        <v>280.86541503470653</v>
      </c>
      <c r="AN117" s="62">
        <f ca="1">AVERAGE(OFFSET($AM$3,0,0,'Données projet'!$E$10+1,1))-AVERAGE(OFFSET($H$3,0,0,'Données projet'!$E$10+1,1))</f>
        <v>212.90262675152454</v>
      </c>
      <c r="AO117" s="62">
        <f t="shared" si="90"/>
        <v>366.51899340890498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20.72550938987774</v>
      </c>
      <c r="AV117" s="23">
        <f>EXP(-LN(2)/25)*AV116+(1-EXP(-LN(2)/25))/(LN(2)/25)*Calculateur!AQ117*Calculateur!AS117*VLOOKUP('Données projet'!$B$10,Paramètres!$A$1:$I$89,3,0)*0.475*44/12</f>
        <v>0.3256009527203641</v>
      </c>
      <c r="AW117" s="23">
        <f>EXP(-LN(2)/2)*AW116+(1-EXP(-LN(2)/2))/(LN(2)/2)*AQ117*AT117*VLOOKUP('Données projet'!$B$10,Paramètres!$A$1:$I$89,3,0)*0.475*44/12</f>
        <v>2.5045634144795248E-10</v>
      </c>
      <c r="AX117" s="23">
        <f t="shared" si="60"/>
        <v>21.05111034284856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5.6843418860808015E-14</v>
      </c>
      <c r="BE117" s="14">
        <f>BD117*VLOOKUP('Données projet'!$B$11,Paramètres!$A$1:$I$89,3,0)*VLOOKUP('Données projet'!$B$11,Paramètres!$A$1:$I$89,5,0)</f>
        <v>4.9658410716801891E-14</v>
      </c>
      <c r="BF117" s="14">
        <f t="shared" si="91"/>
        <v>8.0934058173791862E-13</v>
      </c>
      <c r="BG117" s="22">
        <f t="shared" si="61"/>
        <v>1.4960899118586383E-12</v>
      </c>
      <c r="BH117" s="62">
        <f t="shared" si="62"/>
        <v>280.86541503470693</v>
      </c>
      <c r="BI117" s="62">
        <f ca="1">AVERAGE(OFFSET($BH$3,0,0,'Données projet'!$E$11+1,1))-AVERAGE(OFFSET($H$3,0,0,'Données projet'!$E$11+1,1))</f>
        <v>342.02279578180605</v>
      </c>
      <c r="BJ117" s="62">
        <f t="shared" si="92"/>
        <v>409.02379334777754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317.99999999999972</v>
      </c>
      <c r="BZ117" s="14">
        <f>BY117*VLOOKUP('Données projet'!$B$12,Paramètres!$A$1:$I$89,3,0)*VLOOKUP('Données projet'!$B$12,Paramètres!$A$1:$I$89,5,0)</f>
        <v>253.0007999999998</v>
      </c>
      <c r="CA117" s="14">
        <f t="shared" si="93"/>
        <v>61.228070105968683</v>
      </c>
      <c r="CB117" s="22">
        <f t="shared" si="64"/>
        <v>547.28194876789507</v>
      </c>
      <c r="CC117" s="62">
        <f t="shared" si="65"/>
        <v>828.14736380260047</v>
      </c>
      <c r="CD117" s="62">
        <f ca="1">AVERAGE(OFFSET($CC$3,0,0,'Données projet'!$E$12+1,1))-AVERAGE(OFFSET($H$3,0,0,'Données projet'!$E$12+1,1))</f>
        <v>376.47942810265266</v>
      </c>
      <c r="CE117" s="62">
        <f t="shared" si="94"/>
        <v>362.87951024071265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3.1725761998320157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3.1725761998320157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317.99999999999972</v>
      </c>
      <c r="CU117" s="18">
        <f>CT117*VLOOKUP('Données projet'!$B$13,Paramètres!$A$1:$I$89,3,0)*VLOOKUP('Données projet'!$B$13,Paramètres!$A$1:$I$89,5,0)</f>
        <v>233.1575999999998</v>
      </c>
      <c r="CV117" s="14">
        <f t="shared" si="95"/>
        <v>56.964885721091697</v>
      </c>
      <c r="CW117" s="22">
        <f t="shared" si="67"/>
        <v>505.29666263090093</v>
      </c>
      <c r="CX117" s="62">
        <f t="shared" si="68"/>
        <v>786.16207766560638</v>
      </c>
      <c r="CY117" s="62">
        <f ca="1">AVERAGE(OFFSET($CX$3,0,0,'Données projet'!$E$13+1,1))-AVERAGE(OFFSET($H$3,0,0,'Données projet'!$E$13+1,1))</f>
        <v>351.7223836693733</v>
      </c>
      <c r="CZ117" s="62">
        <f t="shared" si="96"/>
        <v>339.34942976598518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2.372096374347207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2.372096374347207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183.33333333333334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6.3550942286383367E-14</v>
      </c>
      <c r="P118" s="14">
        <f t="shared" si="87"/>
        <v>1.0064464192543978E-12</v>
      </c>
      <c r="Q118" s="22">
        <f t="shared" si="107"/>
        <v>1.8635787380168604E-12</v>
      </c>
      <c r="R118" s="62">
        <f t="shared" si="55"/>
        <v>281.08170554309913</v>
      </c>
      <c r="S118" s="62">
        <f ca="1">AVERAGE(OFFSET($R$3,0,0,'Données projet'!$E$9+1,1))-AVERAGE(OFFSET($H$3,0,0,'Données projet'!$E$9+1,1))</f>
        <v>409.45931633551902</v>
      </c>
      <c r="T118" s="62">
        <f t="shared" si="88"/>
        <v>375.18886653687389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0.98462129608966187</v>
      </c>
      <c r="AA118" s="23">
        <f>EXP(-LN(2)/25)*AA117+(1-EXP(-LN(2)/25))/(LN(2)/25)*Calculateur!V118*Calculateur!X118*VLOOKUP('Données projet'!$B$9,Paramètres!$A$1:$I$89,3,0)*0.475*44/12</f>
        <v>1.8298010221110406</v>
      </c>
      <c r="AB118" s="23">
        <f>EXP(-LN(2)/2)*AB117+(1-EXP(-LN(2)/2))/(LN(2)/2)*V118*Y118*VLOOKUP('Données projet'!$B$9,Paramètres!$A$1:$I$89,3,0)*0.475*44/12</f>
        <v>1.8651933458471009E-12</v>
      </c>
      <c r="AC118" s="24">
        <f t="shared" si="57"/>
        <v>2.8144223182025678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5.6843418860808015E-14</v>
      </c>
      <c r="AJ118" s="14">
        <f>AI118*VLOOKUP('Données projet'!$B$10,Paramètres!$A$1:$I$89,3,0)*VLOOKUP('Données projet'!$B$10,Paramètres!$A$1:$I$89,5,0)</f>
        <v>3.3992364478763198E-14</v>
      </c>
      <c r="AK118" s="14">
        <f t="shared" si="89"/>
        <v>5.790027782444094E-13</v>
      </c>
      <c r="AL118" s="22">
        <f t="shared" si="58"/>
        <v>1.0676332069095257E-12</v>
      </c>
      <c r="AM118" s="62">
        <f t="shared" si="59"/>
        <v>281.08170554309834</v>
      </c>
      <c r="AN118" s="62">
        <f ca="1">AVERAGE(OFFSET($AM$3,0,0,'Données projet'!$E$10+1,1))-AVERAGE(OFFSET($H$3,0,0,'Données projet'!$E$10+1,1))</f>
        <v>212.90262675152454</v>
      </c>
      <c r="AO118" s="62">
        <f t="shared" si="90"/>
        <v>366.51899340890498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20.319094792054738</v>
      </c>
      <c r="AV118" s="23">
        <f>EXP(-LN(2)/25)*AV117+(1-EXP(-LN(2)/25))/(LN(2)/25)*Calculateur!AQ118*Calculateur!AS118*VLOOKUP('Données projet'!$B$10,Paramètres!$A$1:$I$89,3,0)*0.475*44/12</f>
        <v>0.31669737754561583</v>
      </c>
      <c r="AW118" s="23">
        <f>EXP(-LN(2)/2)*AW117+(1-EXP(-LN(2)/2))/(LN(2)/2)*AQ118*AT118*VLOOKUP('Données projet'!$B$10,Paramètres!$A$1:$I$89,3,0)*0.475*44/12</f>
        <v>1.7709937742902057E-10</v>
      </c>
      <c r="AX118" s="23">
        <f t="shared" si="60"/>
        <v>20.635792169777453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5.6843418860808015E-14</v>
      </c>
      <c r="BE118" s="14">
        <f>BD118*VLOOKUP('Données projet'!$B$11,Paramètres!$A$1:$I$89,3,0)*VLOOKUP('Données projet'!$B$11,Paramètres!$A$1:$I$89,5,0)</f>
        <v>4.9658410716801891E-14</v>
      </c>
      <c r="BF118" s="14">
        <f t="shared" si="91"/>
        <v>8.0934058173791862E-13</v>
      </c>
      <c r="BG118" s="22">
        <f t="shared" si="61"/>
        <v>1.4960899118586383E-12</v>
      </c>
      <c r="BH118" s="62">
        <f t="shared" si="62"/>
        <v>281.08170554309874</v>
      </c>
      <c r="BI118" s="62">
        <f ca="1">AVERAGE(OFFSET($BH$3,0,0,'Données projet'!$E$11+1,1))-AVERAGE(OFFSET($H$3,0,0,'Données projet'!$E$11+1,1))</f>
        <v>342.02279578180605</v>
      </c>
      <c r="BJ118" s="62">
        <f t="shared" si="92"/>
        <v>409.02379334777754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317.99999999999972</v>
      </c>
      <c r="BZ118" s="14">
        <f>BY118*VLOOKUP('Données projet'!$B$12,Paramètres!$A$1:$I$89,3,0)*VLOOKUP('Données projet'!$B$12,Paramètres!$A$1:$I$89,5,0)</f>
        <v>253.0007999999998</v>
      </c>
      <c r="CA118" s="14">
        <f t="shared" si="93"/>
        <v>61.228070105968683</v>
      </c>
      <c r="CB118" s="22">
        <f t="shared" si="64"/>
        <v>547.28194876789507</v>
      </c>
      <c r="CC118" s="62">
        <f t="shared" si="65"/>
        <v>828.36365431099239</v>
      </c>
      <c r="CD118" s="62">
        <f ca="1">AVERAGE(OFFSET($CC$3,0,0,'Données projet'!$E$12+1,1))-AVERAGE(OFFSET($H$3,0,0,'Données projet'!$E$12+1,1))</f>
        <v>376.47942810265266</v>
      </c>
      <c r="CE118" s="62">
        <f t="shared" si="94"/>
        <v>362.87951024071265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3.1103639156337186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3.1103639156337186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317.99999999999972</v>
      </c>
      <c r="CU118" s="18">
        <f>CT118*VLOOKUP('Données projet'!$B$13,Paramètres!$A$1:$I$89,3,0)*VLOOKUP('Données projet'!$B$13,Paramètres!$A$1:$I$89,5,0)</f>
        <v>233.1575999999998</v>
      </c>
      <c r="CV118" s="14">
        <f t="shared" si="95"/>
        <v>56.964885721091697</v>
      </c>
      <c r="CW118" s="22">
        <f t="shared" si="67"/>
        <v>505.29666263090093</v>
      </c>
      <c r="CX118" s="62">
        <f t="shared" si="68"/>
        <v>786.37836817399818</v>
      </c>
      <c r="CY118" s="62">
        <f ca="1">AVERAGE(OFFSET($CX$3,0,0,'Données projet'!$E$13+1,1))-AVERAGE(OFFSET($H$3,0,0,'Données projet'!$E$13+1,1))</f>
        <v>351.7223836693733</v>
      </c>
      <c r="CZ118" s="62">
        <f t="shared" si="96"/>
        <v>339.34942976598518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2.3255810112821833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2.3255810112821833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183.33333333333334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6.3550942286383367E-14</v>
      </c>
      <c r="P119" s="14">
        <f t="shared" si="87"/>
        <v>1.0064464192543978E-12</v>
      </c>
      <c r="Q119" s="22">
        <f t="shared" si="107"/>
        <v>1.8635787380168604E-12</v>
      </c>
      <c r="R119" s="62">
        <f t="shared" si="55"/>
        <v>281.29424389472337</v>
      </c>
      <c r="S119" s="62">
        <f ca="1">AVERAGE(OFFSET($R$3,0,0,'Données projet'!$E$9+1,1))-AVERAGE(OFFSET($H$3,0,0,'Données projet'!$E$9+1,1))</f>
        <v>409.45931633551902</v>
      </c>
      <c r="T119" s="62">
        <f t="shared" si="88"/>
        <v>375.18886653687389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0.96531347303303383</v>
      </c>
      <c r="AA119" s="23">
        <f>EXP(-LN(2)/25)*AA118+(1-EXP(-LN(2)/25))/(LN(2)/25)*Calculateur!V119*Calculateur!X119*VLOOKUP('Données projet'!$B$9,Paramètres!$A$1:$I$89,3,0)*0.475*44/12</f>
        <v>1.7797650169363606</v>
      </c>
      <c r="AB119" s="23">
        <f>EXP(-LN(2)/2)*AB118+(1-EXP(-LN(2)/2))/(LN(2)/2)*V119*Y119*VLOOKUP('Données projet'!$B$9,Paramètres!$A$1:$I$89,3,0)*0.475*44/12</f>
        <v>1.3188908630725105E-12</v>
      </c>
      <c r="AC119" s="24">
        <f t="shared" si="57"/>
        <v>2.7450784899707132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5.6843418860808015E-14</v>
      </c>
      <c r="AJ119" s="14">
        <f>AI119*VLOOKUP('Données projet'!$B$10,Paramètres!$A$1:$I$89,3,0)*VLOOKUP('Données projet'!$B$10,Paramètres!$A$1:$I$89,5,0)</f>
        <v>3.3992364478763198E-14</v>
      </c>
      <c r="AK119" s="14">
        <f t="shared" si="89"/>
        <v>5.790027782444094E-13</v>
      </c>
      <c r="AL119" s="22">
        <f t="shared" si="58"/>
        <v>1.0676332069095257E-12</v>
      </c>
      <c r="AM119" s="62">
        <f t="shared" si="59"/>
        <v>281.29424389472257</v>
      </c>
      <c r="AN119" s="62">
        <f ca="1">AVERAGE(OFFSET($AM$3,0,0,'Données projet'!$E$10+1,1))-AVERAGE(OFFSET($H$3,0,0,'Données projet'!$E$10+1,1))</f>
        <v>212.90262675152454</v>
      </c>
      <c r="AO119" s="62">
        <f t="shared" si="90"/>
        <v>366.51899340890498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19.92064973660662</v>
      </c>
      <c r="AV119" s="23">
        <f>EXP(-LN(2)/25)*AV118+(1-EXP(-LN(2)/25))/(LN(2)/25)*Calculateur!AQ119*Calculateur!AS119*VLOOKUP('Données projet'!$B$10,Paramètres!$A$1:$I$89,3,0)*0.475*44/12</f>
        <v>0.30803727110223972</v>
      </c>
      <c r="AW119" s="23">
        <f>EXP(-LN(2)/2)*AW118+(1-EXP(-LN(2)/2))/(LN(2)/2)*AQ119*AT119*VLOOKUP('Données projet'!$B$10,Paramètres!$A$1:$I$89,3,0)*0.475*44/12</f>
        <v>1.2522817072397624E-10</v>
      </c>
      <c r="AX119" s="23">
        <f t="shared" si="60"/>
        <v>20.22868700783409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5.6843418860808015E-14</v>
      </c>
      <c r="BE119" s="14">
        <f>BD119*VLOOKUP('Données projet'!$B$11,Paramètres!$A$1:$I$89,3,0)*VLOOKUP('Données projet'!$B$11,Paramètres!$A$1:$I$89,5,0)</f>
        <v>4.9658410716801891E-14</v>
      </c>
      <c r="BF119" s="14">
        <f t="shared" si="91"/>
        <v>8.0934058173791862E-13</v>
      </c>
      <c r="BG119" s="22">
        <f t="shared" si="61"/>
        <v>1.4960899118586383E-12</v>
      </c>
      <c r="BH119" s="62">
        <f t="shared" si="62"/>
        <v>281.29424389472297</v>
      </c>
      <c r="BI119" s="62">
        <f ca="1">AVERAGE(OFFSET($BH$3,0,0,'Données projet'!$E$11+1,1))-AVERAGE(OFFSET($H$3,0,0,'Données projet'!$E$11+1,1))</f>
        <v>342.02279578180605</v>
      </c>
      <c r="BJ119" s="62">
        <f t="shared" si="92"/>
        <v>409.02379334777754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317.99999999999972</v>
      </c>
      <c r="BZ119" s="14">
        <f>BY119*VLOOKUP('Données projet'!$B$12,Paramètres!$A$1:$I$89,3,0)*VLOOKUP('Données projet'!$B$12,Paramètres!$A$1:$I$89,5,0)</f>
        <v>253.0007999999998</v>
      </c>
      <c r="CA119" s="14">
        <f t="shared" si="93"/>
        <v>61.228070105968683</v>
      </c>
      <c r="CB119" s="22">
        <f t="shared" si="64"/>
        <v>547.28194876789507</v>
      </c>
      <c r="CC119" s="62">
        <f t="shared" si="65"/>
        <v>828.57619266261656</v>
      </c>
      <c r="CD119" s="62">
        <f ca="1">AVERAGE(OFFSET($CC$3,0,0,'Données projet'!$E$12+1,1))-AVERAGE(OFFSET($H$3,0,0,'Données projet'!$E$12+1,1))</f>
        <v>376.47942810265266</v>
      </c>
      <c r="CE119" s="62">
        <f t="shared" si="94"/>
        <v>362.87951024071265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3.0493715763828035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3.0493715763828035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317.99999999999972</v>
      </c>
      <c r="CU119" s="18">
        <f>CT119*VLOOKUP('Données projet'!$B$13,Paramètres!$A$1:$I$89,3,0)*VLOOKUP('Données projet'!$B$13,Paramètres!$A$1:$I$89,5,0)</f>
        <v>233.1575999999998</v>
      </c>
      <c r="CV119" s="14">
        <f t="shared" si="95"/>
        <v>56.964885721091697</v>
      </c>
      <c r="CW119" s="22">
        <f t="shared" si="67"/>
        <v>505.29666263090093</v>
      </c>
      <c r="CX119" s="62">
        <f t="shared" si="68"/>
        <v>786.59090652562236</v>
      </c>
      <c r="CY119" s="62">
        <f ca="1">AVERAGE(OFFSET($CX$3,0,0,'Données projet'!$E$13+1,1))-AVERAGE(OFFSET($H$3,0,0,'Données projet'!$E$13+1,1))</f>
        <v>351.7223836693733</v>
      </c>
      <c r="CZ119" s="62">
        <f t="shared" si="96"/>
        <v>339.34942976598518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2.2799777861152948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2.2799777861152948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183.33333333333334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6.3550942286383367E-14</v>
      </c>
      <c r="P120" s="14">
        <f t="shared" si="87"/>
        <v>1.0064464192543978E-12</v>
      </c>
      <c r="Q120" s="22">
        <f t="shared" si="107"/>
        <v>1.8635787380168604E-12</v>
      </c>
      <c r="R120" s="62">
        <f t="shared" si="55"/>
        <v>281.50309518111152</v>
      </c>
      <c r="S120" s="62">
        <f ca="1">AVERAGE(OFFSET($R$3,0,0,'Données projet'!$E$9+1,1))-AVERAGE(OFFSET($H$3,0,0,'Données projet'!$E$9+1,1))</f>
        <v>409.45931633551902</v>
      </c>
      <c r="T120" s="62">
        <f t="shared" si="88"/>
        <v>375.18886653687389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0.94638426460993708</v>
      </c>
      <c r="AA120" s="23">
        <f>EXP(-LN(2)/25)*AA119+(1-EXP(-LN(2)/25))/(LN(2)/25)*Calculateur!V120*Calculateur!X120*VLOOKUP('Données projet'!$B$9,Paramètres!$A$1:$I$89,3,0)*0.475*44/12</f>
        <v>1.7310972489544612</v>
      </c>
      <c r="AB120" s="23">
        <f>EXP(-LN(2)/2)*AB119+(1-EXP(-LN(2)/2))/(LN(2)/2)*V120*Y120*VLOOKUP('Données projet'!$B$9,Paramètres!$A$1:$I$89,3,0)*0.475*44/12</f>
        <v>9.3259667292355046E-13</v>
      </c>
      <c r="AC120" s="24">
        <f t="shared" si="57"/>
        <v>2.6774815135653309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5.6843418860808015E-14</v>
      </c>
      <c r="AJ120" s="14">
        <f>AI120*VLOOKUP('Données projet'!$B$10,Paramètres!$A$1:$I$89,3,0)*VLOOKUP('Données projet'!$B$10,Paramètres!$A$1:$I$89,5,0)</f>
        <v>3.3992364478763198E-14</v>
      </c>
      <c r="AK120" s="14">
        <f t="shared" si="89"/>
        <v>5.790027782444094E-13</v>
      </c>
      <c r="AL120" s="22">
        <f t="shared" si="58"/>
        <v>1.0676332069095257E-12</v>
      </c>
      <c r="AM120" s="62">
        <f t="shared" si="59"/>
        <v>281.50309518111072</v>
      </c>
      <c r="AN120" s="62">
        <f ca="1">AVERAGE(OFFSET($AM$3,0,0,'Données projet'!$E$10+1,1))-AVERAGE(OFFSET($H$3,0,0,'Données projet'!$E$10+1,1))</f>
        <v>212.90262675152454</v>
      </c>
      <c r="AO120" s="62">
        <f t="shared" si="90"/>
        <v>366.51899340890498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19.530017945668352</v>
      </c>
      <c r="AV120" s="23">
        <f>EXP(-LN(2)/25)*AV119+(1-EXP(-LN(2)/25))/(LN(2)/25)*Calculateur!AQ120*Calculateur!AS120*VLOOKUP('Données projet'!$B$10,Paramètres!$A$1:$I$89,3,0)*0.475*44/12</f>
        <v>0.29961397572497289</v>
      </c>
      <c r="AW120" s="23">
        <f>EXP(-LN(2)/2)*AW119+(1-EXP(-LN(2)/2))/(LN(2)/2)*AQ120*AT120*VLOOKUP('Données projet'!$B$10,Paramètres!$A$1:$I$89,3,0)*0.475*44/12</f>
        <v>8.8549688714510285E-11</v>
      </c>
      <c r="AX120" s="23">
        <f t="shared" si="60"/>
        <v>19.829631921481877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5.6843418860808015E-14</v>
      </c>
      <c r="BE120" s="14">
        <f>BD120*VLOOKUP('Données projet'!$B$11,Paramètres!$A$1:$I$89,3,0)*VLOOKUP('Données projet'!$B$11,Paramètres!$A$1:$I$89,5,0)</f>
        <v>4.9658410716801891E-14</v>
      </c>
      <c r="BF120" s="14">
        <f t="shared" si="91"/>
        <v>8.0934058173791862E-13</v>
      </c>
      <c r="BG120" s="22">
        <f t="shared" si="61"/>
        <v>1.4960899118586383E-12</v>
      </c>
      <c r="BH120" s="62">
        <f t="shared" si="62"/>
        <v>281.50309518111112</v>
      </c>
      <c r="BI120" s="62">
        <f ca="1">AVERAGE(OFFSET($BH$3,0,0,'Données projet'!$E$11+1,1))-AVERAGE(OFFSET($H$3,0,0,'Données projet'!$E$11+1,1))</f>
        <v>342.02279578180605</v>
      </c>
      <c r="BJ120" s="62">
        <f t="shared" si="92"/>
        <v>409.02379334777754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317.99999999999972</v>
      </c>
      <c r="BZ120" s="14">
        <f>BY120*VLOOKUP('Données projet'!$B$12,Paramètres!$A$1:$I$89,3,0)*VLOOKUP('Données projet'!$B$12,Paramètres!$A$1:$I$89,5,0)</f>
        <v>253.0007999999998</v>
      </c>
      <c r="CA120" s="14">
        <f t="shared" si="93"/>
        <v>61.228070105968683</v>
      </c>
      <c r="CB120" s="22">
        <f t="shared" si="64"/>
        <v>547.28194876789507</v>
      </c>
      <c r="CC120" s="62">
        <f t="shared" si="65"/>
        <v>828.78504394900472</v>
      </c>
      <c r="CD120" s="62">
        <f ca="1">AVERAGE(OFFSET($CC$3,0,0,'Données projet'!$E$12+1,1))-AVERAGE(OFFSET($H$3,0,0,'Données projet'!$E$12+1,1))</f>
        <v>376.47942810265266</v>
      </c>
      <c r="CE120" s="62">
        <f t="shared" si="94"/>
        <v>362.87951024071265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2.9895752597029452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2.9895752597029452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317.99999999999972</v>
      </c>
      <c r="CU120" s="18">
        <f>CT120*VLOOKUP('Données projet'!$B$13,Paramètres!$A$1:$I$89,3,0)*VLOOKUP('Données projet'!$B$13,Paramètres!$A$1:$I$89,5,0)</f>
        <v>233.1575999999998</v>
      </c>
      <c r="CV120" s="14">
        <f t="shared" si="95"/>
        <v>56.964885721091697</v>
      </c>
      <c r="CW120" s="22">
        <f t="shared" si="67"/>
        <v>505.29666263090093</v>
      </c>
      <c r="CX120" s="62">
        <f t="shared" si="68"/>
        <v>786.79975781201051</v>
      </c>
      <c r="CY120" s="62">
        <f ca="1">AVERAGE(OFFSET($CX$3,0,0,'Données projet'!$E$13+1,1))-AVERAGE(OFFSET($H$3,0,0,'Données projet'!$E$13+1,1))</f>
        <v>351.7223836693733</v>
      </c>
      <c r="CZ120" s="62">
        <f t="shared" si="96"/>
        <v>339.34942976598518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2.2352688123787083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2.2352688123787083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183.33333333333334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6.3550942286383367E-14</v>
      </c>
      <c r="P121" s="14">
        <f t="shared" si="87"/>
        <v>1.0064464192543978E-12</v>
      </c>
      <c r="Q121" s="22">
        <f t="shared" si="107"/>
        <v>1.8635787380168604E-12</v>
      </c>
      <c r="R121" s="62">
        <f t="shared" si="55"/>
        <v>281.70832336460228</v>
      </c>
      <c r="S121" s="62">
        <f ca="1">AVERAGE(OFFSET($R$3,0,0,'Données projet'!$E$9+1,1))-AVERAGE(OFFSET($H$3,0,0,'Données projet'!$E$9+1,1))</f>
        <v>409.45931633551902</v>
      </c>
      <c r="T121" s="62">
        <f t="shared" si="88"/>
        <v>375.18886653687389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0.92782624641834022</v>
      </c>
      <c r="AA121" s="23">
        <f>EXP(-LN(2)/25)*AA120+(1-EXP(-LN(2)/25))/(LN(2)/25)*Calculateur!V121*Calculateur!X121*VLOOKUP('Données projet'!$B$9,Paramètres!$A$1:$I$89,3,0)*0.475*44/12</f>
        <v>1.6837603036473536</v>
      </c>
      <c r="AB121" s="23">
        <f>EXP(-LN(2)/2)*AB120+(1-EXP(-LN(2)/2))/(LN(2)/2)*V121*Y121*VLOOKUP('Données projet'!$B$9,Paramètres!$A$1:$I$89,3,0)*0.475*44/12</f>
        <v>6.5944543153625525E-13</v>
      </c>
      <c r="AC121" s="24">
        <f t="shared" si="57"/>
        <v>2.6115865500663533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5.6843418860808015E-14</v>
      </c>
      <c r="AJ121" s="14">
        <f>AI121*VLOOKUP('Données projet'!$B$10,Paramètres!$A$1:$I$89,3,0)*VLOOKUP('Données projet'!$B$10,Paramètres!$A$1:$I$89,5,0)</f>
        <v>3.3992364478763198E-14</v>
      </c>
      <c r="AK121" s="14">
        <f t="shared" si="89"/>
        <v>5.790027782444094E-13</v>
      </c>
      <c r="AL121" s="22">
        <f t="shared" si="58"/>
        <v>1.0676332069095257E-12</v>
      </c>
      <c r="AM121" s="62">
        <f t="shared" si="59"/>
        <v>281.70832336460148</v>
      </c>
      <c r="AN121" s="62">
        <f ca="1">AVERAGE(OFFSET($AM$3,0,0,'Données projet'!$E$10+1,1))-AVERAGE(OFFSET($H$3,0,0,'Données projet'!$E$10+1,1))</f>
        <v>212.90262675152454</v>
      </c>
      <c r="AO121" s="62">
        <f t="shared" si="90"/>
        <v>366.51899340890498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19.147046205888515</v>
      </c>
      <c r="AV121" s="23">
        <f>EXP(-LN(2)/25)*AV120+(1-EXP(-LN(2)/25))/(LN(2)/25)*Calculateur!AQ121*Calculateur!AS121*VLOOKUP('Données projet'!$B$10,Paramètres!$A$1:$I$89,3,0)*0.475*44/12</f>
        <v>0.29142101580275931</v>
      </c>
      <c r="AW121" s="23">
        <f>EXP(-LN(2)/2)*AW120+(1-EXP(-LN(2)/2))/(LN(2)/2)*AQ121*AT121*VLOOKUP('Données projet'!$B$10,Paramètres!$A$1:$I$89,3,0)*0.475*44/12</f>
        <v>6.2614085361988121E-11</v>
      </c>
      <c r="AX121" s="23">
        <f t="shared" si="60"/>
        <v>19.438467221753886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5.6843418860808015E-14</v>
      </c>
      <c r="BE121" s="14">
        <f>BD121*VLOOKUP('Données projet'!$B$11,Paramètres!$A$1:$I$89,3,0)*VLOOKUP('Données projet'!$B$11,Paramètres!$A$1:$I$89,5,0)</f>
        <v>4.9658410716801891E-14</v>
      </c>
      <c r="BF121" s="14">
        <f t="shared" si="91"/>
        <v>8.0934058173791862E-13</v>
      </c>
      <c r="BG121" s="22">
        <f t="shared" si="61"/>
        <v>1.4960899118586383E-12</v>
      </c>
      <c r="BH121" s="62">
        <f t="shared" si="62"/>
        <v>281.70832336460188</v>
      </c>
      <c r="BI121" s="62">
        <f ca="1">AVERAGE(OFFSET($BH$3,0,0,'Données projet'!$E$11+1,1))-AVERAGE(OFFSET($H$3,0,0,'Données projet'!$E$11+1,1))</f>
        <v>342.02279578180605</v>
      </c>
      <c r="BJ121" s="62">
        <f t="shared" si="92"/>
        <v>409.02379334777754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317.99999999999972</v>
      </c>
      <c r="BZ121" s="14">
        <f>BY121*VLOOKUP('Données projet'!$B$12,Paramètres!$A$1:$I$89,3,0)*VLOOKUP('Données projet'!$B$12,Paramètres!$A$1:$I$89,5,0)</f>
        <v>253.0007999999998</v>
      </c>
      <c r="CA121" s="14">
        <f t="shared" si="93"/>
        <v>61.228070105968683</v>
      </c>
      <c r="CB121" s="22">
        <f t="shared" si="64"/>
        <v>547.28194876789507</v>
      </c>
      <c r="CC121" s="62">
        <f t="shared" si="65"/>
        <v>828.99027213249542</v>
      </c>
      <c r="CD121" s="62">
        <f ca="1">AVERAGE(OFFSET($CC$3,0,0,'Données projet'!$E$12+1,1))-AVERAGE(OFFSET($H$3,0,0,'Données projet'!$E$12+1,1))</f>
        <v>376.47942810265266</v>
      </c>
      <c r="CE121" s="62">
        <f t="shared" si="94"/>
        <v>362.87951024071265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2.9309515123210272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2.9309515123210272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317.99999999999972</v>
      </c>
      <c r="CU121" s="18">
        <f>CT121*VLOOKUP('Données projet'!$B$13,Paramètres!$A$1:$I$89,3,0)*VLOOKUP('Données projet'!$B$13,Paramètres!$A$1:$I$89,5,0)</f>
        <v>233.1575999999998</v>
      </c>
      <c r="CV121" s="14">
        <f t="shared" si="95"/>
        <v>56.964885721091697</v>
      </c>
      <c r="CW121" s="22">
        <f t="shared" si="67"/>
        <v>505.29666263090093</v>
      </c>
      <c r="CX121" s="62">
        <f t="shared" si="68"/>
        <v>787.00498599550133</v>
      </c>
      <c r="CY121" s="62">
        <f ca="1">AVERAGE(OFFSET($CX$3,0,0,'Données projet'!$E$13+1,1))-AVERAGE(OFFSET($H$3,0,0,'Données projet'!$E$13+1,1))</f>
        <v>351.7223836693733</v>
      </c>
      <c r="CZ121" s="62">
        <f t="shared" si="96"/>
        <v>339.34942976598518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2.1914365543473151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2.1914365543473151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183.33333333333334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6.3550942286383367E-14</v>
      </c>
      <c r="P122" s="14">
        <f t="shared" si="87"/>
        <v>1.0064464192543978E-12</v>
      </c>
      <c r="Q122" s="22">
        <f t="shared" si="107"/>
        <v>1.8635787380168604E-12</v>
      </c>
      <c r="R122" s="62">
        <f t="shared" si="55"/>
        <v>281.90999129793101</v>
      </c>
      <c r="S122" s="62">
        <f ca="1">AVERAGE(OFFSET($R$3,0,0,'Données projet'!$E$9+1,1))-AVERAGE(OFFSET($H$3,0,0,'Données projet'!$E$9+1,1))</f>
        <v>409.45931633551902</v>
      </c>
      <c r="T122" s="62">
        <f t="shared" si="88"/>
        <v>375.18886653687389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0.90963213964420708</v>
      </c>
      <c r="AA122" s="23">
        <f>EXP(-LN(2)/25)*AA121+(1-EXP(-LN(2)/25))/(LN(2)/25)*Calculateur!V122*Calculateur!X122*VLOOKUP('Données projet'!$B$9,Paramètres!$A$1:$I$89,3,0)*0.475*44/12</f>
        <v>1.6377177895990107</v>
      </c>
      <c r="AB122" s="23">
        <f>EXP(-LN(2)/2)*AB121+(1-EXP(-LN(2)/2))/(LN(2)/2)*V122*Y122*VLOOKUP('Données projet'!$B$9,Paramètres!$A$1:$I$89,3,0)*0.475*44/12</f>
        <v>4.6629833646177523E-13</v>
      </c>
      <c r="AC122" s="24">
        <f t="shared" si="57"/>
        <v>2.5473499292436843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5.6843418860808015E-14</v>
      </c>
      <c r="AJ122" s="14">
        <f>AI122*VLOOKUP('Données projet'!$B$10,Paramètres!$A$1:$I$89,3,0)*VLOOKUP('Données projet'!$B$10,Paramètres!$A$1:$I$89,5,0)</f>
        <v>3.3992364478763198E-14</v>
      </c>
      <c r="AK122" s="14">
        <f t="shared" si="89"/>
        <v>5.790027782444094E-13</v>
      </c>
      <c r="AL122" s="22">
        <f t="shared" si="58"/>
        <v>1.0676332069095257E-12</v>
      </c>
      <c r="AM122" s="62">
        <f t="shared" si="59"/>
        <v>281.90999129793022</v>
      </c>
      <c r="AN122" s="62">
        <f ca="1">AVERAGE(OFFSET($AM$3,0,0,'Données projet'!$E$10+1,1))-AVERAGE(OFFSET($H$3,0,0,'Données projet'!$E$10+1,1))</f>
        <v>212.90262675152454</v>
      </c>
      <c r="AO122" s="62">
        <f t="shared" si="90"/>
        <v>366.51899340890498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18.771584308336067</v>
      </c>
      <c r="AV122" s="23">
        <f>EXP(-LN(2)/25)*AV121+(1-EXP(-LN(2)/25))/(LN(2)/25)*Calculateur!AQ122*Calculateur!AS122*VLOOKUP('Données projet'!$B$10,Paramètres!$A$1:$I$89,3,0)*0.475*44/12</f>
        <v>0.28345209280046768</v>
      </c>
      <c r="AW122" s="23">
        <f>EXP(-LN(2)/2)*AW121+(1-EXP(-LN(2)/2))/(LN(2)/2)*AQ122*AT122*VLOOKUP('Données projet'!$B$10,Paramètres!$A$1:$I$89,3,0)*0.475*44/12</f>
        <v>4.4274844357255142E-11</v>
      </c>
      <c r="AX122" s="23">
        <f t="shared" si="60"/>
        <v>19.055036401180807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5.6843418860808015E-14</v>
      </c>
      <c r="BE122" s="14">
        <f>BD122*VLOOKUP('Données projet'!$B$11,Paramètres!$A$1:$I$89,3,0)*VLOOKUP('Données projet'!$B$11,Paramètres!$A$1:$I$89,5,0)</f>
        <v>4.9658410716801891E-14</v>
      </c>
      <c r="BF122" s="14">
        <f t="shared" si="91"/>
        <v>8.0934058173791862E-13</v>
      </c>
      <c r="BG122" s="22">
        <f t="shared" si="61"/>
        <v>1.4960899118586383E-12</v>
      </c>
      <c r="BH122" s="62">
        <f t="shared" si="62"/>
        <v>281.90999129793062</v>
      </c>
      <c r="BI122" s="62">
        <f ca="1">AVERAGE(OFFSET($BH$3,0,0,'Données projet'!$E$11+1,1))-AVERAGE(OFFSET($H$3,0,0,'Données projet'!$E$11+1,1))</f>
        <v>342.02279578180605</v>
      </c>
      <c r="BJ122" s="62">
        <f t="shared" si="92"/>
        <v>409.02379334777754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317.99999999999972</v>
      </c>
      <c r="BZ122" s="14">
        <f>BY122*VLOOKUP('Données projet'!$B$12,Paramètres!$A$1:$I$89,3,0)*VLOOKUP('Données projet'!$B$12,Paramètres!$A$1:$I$89,5,0)</f>
        <v>253.0007999999998</v>
      </c>
      <c r="CA122" s="14">
        <f t="shared" si="93"/>
        <v>61.228070105968683</v>
      </c>
      <c r="CB122" s="22">
        <f t="shared" si="64"/>
        <v>547.28194876789507</v>
      </c>
      <c r="CC122" s="62">
        <f t="shared" si="65"/>
        <v>829.19194006582416</v>
      </c>
      <c r="CD122" s="62">
        <f ca="1">AVERAGE(OFFSET($CC$3,0,0,'Données projet'!$E$12+1,1))-AVERAGE(OFFSET($H$3,0,0,'Données projet'!$E$12+1,1))</f>
        <v>376.47942810265266</v>
      </c>
      <c r="CE122" s="62">
        <f t="shared" si="94"/>
        <v>362.87951024071265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2.8734773408683134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2.8734773408683134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317.99999999999972</v>
      </c>
      <c r="CU122" s="18">
        <f>CT122*VLOOKUP('Données projet'!$B$13,Paramètres!$A$1:$I$89,3,0)*VLOOKUP('Données projet'!$B$13,Paramètres!$A$1:$I$89,5,0)</f>
        <v>233.1575999999998</v>
      </c>
      <c r="CV122" s="14">
        <f t="shared" si="95"/>
        <v>56.964885721091697</v>
      </c>
      <c r="CW122" s="22">
        <f t="shared" si="67"/>
        <v>505.29666263090093</v>
      </c>
      <c r="CX122" s="62">
        <f t="shared" si="68"/>
        <v>787.20665392883006</v>
      </c>
      <c r="CY122" s="62">
        <f ca="1">AVERAGE(OFFSET($CX$3,0,0,'Données projet'!$E$13+1,1))-AVERAGE(OFFSET($H$3,0,0,'Données projet'!$E$13+1,1))</f>
        <v>351.7223836693733</v>
      </c>
      <c r="CZ122" s="62">
        <f t="shared" si="96"/>
        <v>339.34942976598518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2.1484638201608797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2.1484638201608797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183.33333333333334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6.3550942286383367E-14</v>
      </c>
      <c r="P123" s="14">
        <f t="shared" si="87"/>
        <v>1.0064464192543978E-12</v>
      </c>
      <c r="Q123" s="22">
        <f t="shared" si="107"/>
        <v>1.8635787380168604E-12</v>
      </c>
      <c r="R123" s="62">
        <f t="shared" si="55"/>
        <v>282.10816074347849</v>
      </c>
      <c r="S123" s="62">
        <f ca="1">AVERAGE(OFFSET($R$3,0,0,'Données projet'!$E$9+1,1))-AVERAGE(OFFSET($H$3,0,0,'Données projet'!$E$9+1,1))</f>
        <v>409.45931633551902</v>
      </c>
      <c r="T123" s="62">
        <f t="shared" si="88"/>
        <v>375.18886653687389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0.89179480820660539</v>
      </c>
      <c r="AA123" s="23">
        <f>EXP(-LN(2)/25)*AA122+(1-EXP(-LN(2)/25))/(LN(2)/25)*Calculateur!V123*Calculateur!X123*VLOOKUP('Données projet'!$B$9,Paramètres!$A$1:$I$89,3,0)*0.475*44/12</f>
        <v>1.5929343105185902</v>
      </c>
      <c r="AB123" s="23">
        <f>EXP(-LN(2)/2)*AB122+(1-EXP(-LN(2)/2))/(LN(2)/2)*V123*Y123*VLOOKUP('Données projet'!$B$9,Paramètres!$A$1:$I$89,3,0)*0.475*44/12</f>
        <v>3.2972271576812763E-13</v>
      </c>
      <c r="AC123" s="24">
        <f t="shared" si="57"/>
        <v>2.4847291187255252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5.6843418860808015E-14</v>
      </c>
      <c r="AJ123" s="14">
        <f>AI123*VLOOKUP('Données projet'!$B$10,Paramètres!$A$1:$I$89,3,0)*VLOOKUP('Données projet'!$B$10,Paramètres!$A$1:$I$89,5,0)</f>
        <v>3.3992364478763198E-14</v>
      </c>
      <c r="AK123" s="14">
        <f t="shared" si="89"/>
        <v>5.790027782444094E-13</v>
      </c>
      <c r="AL123" s="22">
        <f t="shared" si="58"/>
        <v>1.0676332069095257E-12</v>
      </c>
      <c r="AM123" s="62">
        <f t="shared" si="59"/>
        <v>282.1081607434777</v>
      </c>
      <c r="AN123" s="62">
        <f ca="1">AVERAGE(OFFSET($AM$3,0,0,'Données projet'!$E$10+1,1))-AVERAGE(OFFSET($H$3,0,0,'Données projet'!$E$10+1,1))</f>
        <v>212.90262675152454</v>
      </c>
      <c r="AO123" s="62">
        <f t="shared" si="90"/>
        <v>366.51899340890498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18.403484989585476</v>
      </c>
      <c r="AV123" s="23">
        <f>EXP(-LN(2)/25)*AV122+(1-EXP(-LN(2)/25))/(LN(2)/25)*Calculateur!AQ123*Calculateur!AS123*VLOOKUP('Données projet'!$B$10,Paramètres!$A$1:$I$89,3,0)*0.475*44/12</f>
        <v>0.27570108041674118</v>
      </c>
      <c r="AW123" s="23">
        <f>EXP(-LN(2)/2)*AW122+(1-EXP(-LN(2)/2))/(LN(2)/2)*AQ123*AT123*VLOOKUP('Données projet'!$B$10,Paramètres!$A$1:$I$89,3,0)*0.475*44/12</f>
        <v>3.130704268099406E-11</v>
      </c>
      <c r="AX123" s="23">
        <f t="shared" si="60"/>
        <v>18.679186070033523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5.6843418860808015E-14</v>
      </c>
      <c r="BE123" s="14">
        <f>BD123*VLOOKUP('Données projet'!$B$11,Paramètres!$A$1:$I$89,3,0)*VLOOKUP('Données projet'!$B$11,Paramètres!$A$1:$I$89,5,0)</f>
        <v>4.9658410716801891E-14</v>
      </c>
      <c r="BF123" s="14">
        <f t="shared" si="91"/>
        <v>8.0934058173791862E-13</v>
      </c>
      <c r="BG123" s="22">
        <f t="shared" si="61"/>
        <v>1.4960899118586383E-12</v>
      </c>
      <c r="BH123" s="62">
        <f t="shared" si="62"/>
        <v>282.10816074347809</v>
      </c>
      <c r="BI123" s="62">
        <f ca="1">AVERAGE(OFFSET($BH$3,0,0,'Données projet'!$E$11+1,1))-AVERAGE(OFFSET($H$3,0,0,'Données projet'!$E$11+1,1))</f>
        <v>342.02279578180605</v>
      </c>
      <c r="BJ123" s="62">
        <f t="shared" si="92"/>
        <v>409.02379334777754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317.99999999999972</v>
      </c>
      <c r="BZ123" s="14">
        <f>BY123*VLOOKUP('Données projet'!$B$12,Paramètres!$A$1:$I$89,3,0)*VLOOKUP('Données projet'!$B$12,Paramètres!$A$1:$I$89,5,0)</f>
        <v>253.0007999999998</v>
      </c>
      <c r="CA123" s="14">
        <f t="shared" si="93"/>
        <v>61.228070105968683</v>
      </c>
      <c r="CB123" s="22">
        <f t="shared" si="64"/>
        <v>547.28194876789507</v>
      </c>
      <c r="CC123" s="62">
        <f t="shared" si="65"/>
        <v>829.39010951137175</v>
      </c>
      <c r="CD123" s="62">
        <f ca="1">AVERAGE(OFFSET($CC$3,0,0,'Données projet'!$E$12+1,1))-AVERAGE(OFFSET($H$3,0,0,'Données projet'!$E$12+1,1))</f>
        <v>376.47942810265266</v>
      </c>
      <c r="CE123" s="62">
        <f t="shared" si="94"/>
        <v>362.87951024071265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2.8171302028620042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2.8171302028620042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317.99999999999972</v>
      </c>
      <c r="CU123" s="18">
        <f>CT123*VLOOKUP('Données projet'!$B$13,Paramètres!$A$1:$I$89,3,0)*VLOOKUP('Données projet'!$B$13,Paramètres!$A$1:$I$89,5,0)</f>
        <v>233.1575999999998</v>
      </c>
      <c r="CV123" s="14">
        <f t="shared" si="95"/>
        <v>56.964885721091697</v>
      </c>
      <c r="CW123" s="22">
        <f t="shared" si="67"/>
        <v>505.29666263090093</v>
      </c>
      <c r="CX123" s="62">
        <f t="shared" si="68"/>
        <v>787.40482337437754</v>
      </c>
      <c r="CY123" s="62">
        <f ca="1">AVERAGE(OFFSET($CX$3,0,0,'Données projet'!$E$13+1,1))-AVERAGE(OFFSET($H$3,0,0,'Données projet'!$E$13+1,1))</f>
        <v>351.7223836693733</v>
      </c>
      <c r="CZ123" s="62">
        <f t="shared" si="96"/>
        <v>339.34942976598518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2.1063337550810606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2.1063337550810606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183.33333333333334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6.3550942286383367E-14</v>
      </c>
      <c r="P124" s="14">
        <f t="shared" si="87"/>
        <v>1.0064464192543978E-12</v>
      </c>
      <c r="Q124" s="22">
        <f t="shared" si="107"/>
        <v>1.8635787380168604E-12</v>
      </c>
      <c r="R124" s="62">
        <f t="shared" si="55"/>
        <v>282.30289239218627</v>
      </c>
      <c r="S124" s="62">
        <f ca="1">AVERAGE(OFFSET($R$3,0,0,'Données projet'!$E$9+1,1))-AVERAGE(OFFSET($H$3,0,0,'Données projet'!$E$9+1,1))</f>
        <v>409.45931633551902</v>
      </c>
      <c r="T124" s="62">
        <f t="shared" si="88"/>
        <v>375.18886653687389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0.8743072559587971</v>
      </c>
      <c r="AA124" s="23">
        <f>EXP(-LN(2)/25)*AA123+(1-EXP(-LN(2)/25))/(LN(2)/25)*Calculateur!V124*Calculateur!X124*VLOOKUP('Données projet'!$B$9,Paramètres!$A$1:$I$89,3,0)*0.475*44/12</f>
        <v>1.5493754380286846</v>
      </c>
      <c r="AB124" s="23">
        <f>EXP(-LN(2)/2)*AB123+(1-EXP(-LN(2)/2))/(LN(2)/2)*V124*Y124*VLOOKUP('Données projet'!$B$9,Paramètres!$A$1:$I$89,3,0)*0.475*44/12</f>
        <v>2.3314916823088762E-13</v>
      </c>
      <c r="AC124" s="24">
        <f t="shared" si="57"/>
        <v>2.4236826939877147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5.6843418860808015E-14</v>
      </c>
      <c r="AJ124" s="14">
        <f>AI124*VLOOKUP('Données projet'!$B$10,Paramètres!$A$1:$I$89,3,0)*VLOOKUP('Données projet'!$B$10,Paramètres!$A$1:$I$89,5,0)</f>
        <v>3.3992364478763198E-14</v>
      </c>
      <c r="AK124" s="14">
        <f t="shared" si="89"/>
        <v>5.790027782444094E-13</v>
      </c>
      <c r="AL124" s="22">
        <f t="shared" si="58"/>
        <v>1.0676332069095257E-12</v>
      </c>
      <c r="AM124" s="62">
        <f t="shared" si="59"/>
        <v>282.30289239218547</v>
      </c>
      <c r="AN124" s="62">
        <f ca="1">AVERAGE(OFFSET($AM$3,0,0,'Données projet'!$E$10+1,1))-AVERAGE(OFFSET($H$3,0,0,'Données projet'!$E$10+1,1))</f>
        <v>212.90262675152454</v>
      </c>
      <c r="AO124" s="62">
        <f t="shared" si="90"/>
        <v>366.51899340890498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18.042603873957169</v>
      </c>
      <c r="AV124" s="23">
        <f>EXP(-LN(2)/25)*AV123+(1-EXP(-LN(2)/25))/(LN(2)/25)*Calculateur!AQ124*Calculateur!AS124*VLOOKUP('Données projet'!$B$10,Paramètres!$A$1:$I$89,3,0)*0.475*44/12</f>
        <v>0.2681620198742557</v>
      </c>
      <c r="AW124" s="23">
        <f>EXP(-LN(2)/2)*AW123+(1-EXP(-LN(2)/2))/(LN(2)/2)*AQ124*AT124*VLOOKUP('Données projet'!$B$10,Paramètres!$A$1:$I$89,3,0)*0.475*44/12</f>
        <v>2.2137422178627571E-11</v>
      </c>
      <c r="AX124" s="23">
        <f t="shared" si="60"/>
        <v>18.310765893853564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5.6843418860808015E-14</v>
      </c>
      <c r="BE124" s="14">
        <f>BD124*VLOOKUP('Données projet'!$B$11,Paramètres!$A$1:$I$89,3,0)*VLOOKUP('Données projet'!$B$11,Paramètres!$A$1:$I$89,5,0)</f>
        <v>4.9658410716801891E-14</v>
      </c>
      <c r="BF124" s="14">
        <f t="shared" si="91"/>
        <v>8.0934058173791862E-13</v>
      </c>
      <c r="BG124" s="22">
        <f t="shared" si="61"/>
        <v>1.4960899118586383E-12</v>
      </c>
      <c r="BH124" s="62">
        <f t="shared" si="62"/>
        <v>282.30289239218587</v>
      </c>
      <c r="BI124" s="62">
        <f ca="1">AVERAGE(OFFSET($BH$3,0,0,'Données projet'!$E$11+1,1))-AVERAGE(OFFSET($H$3,0,0,'Données projet'!$E$11+1,1))</f>
        <v>342.02279578180605</v>
      </c>
      <c r="BJ124" s="62">
        <f t="shared" si="92"/>
        <v>409.02379334777754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317.99999999999972</v>
      </c>
      <c r="BZ124" s="14">
        <f>BY124*VLOOKUP('Données projet'!$B$12,Paramètres!$A$1:$I$89,3,0)*VLOOKUP('Données projet'!$B$12,Paramètres!$A$1:$I$89,5,0)</f>
        <v>253.0007999999998</v>
      </c>
      <c r="CA124" s="14">
        <f t="shared" si="93"/>
        <v>61.228070105968683</v>
      </c>
      <c r="CB124" s="22">
        <f t="shared" si="64"/>
        <v>547.28194876789507</v>
      </c>
      <c r="CC124" s="62">
        <f t="shared" si="65"/>
        <v>829.58484116007946</v>
      </c>
      <c r="CD124" s="62">
        <f ca="1">AVERAGE(OFFSET($CC$3,0,0,'Données projet'!$E$12+1,1))-AVERAGE(OFFSET($H$3,0,0,'Données projet'!$E$12+1,1))</f>
        <v>376.47942810265266</v>
      </c>
      <c r="CE124" s="62">
        <f t="shared" si="94"/>
        <v>362.87951024071265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2.7618879978636381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2.7618879978636381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317.99999999999972</v>
      </c>
      <c r="CU124" s="18">
        <f>CT124*VLOOKUP('Données projet'!$B$13,Paramètres!$A$1:$I$89,3,0)*VLOOKUP('Données projet'!$B$13,Paramètres!$A$1:$I$89,5,0)</f>
        <v>233.1575999999998</v>
      </c>
      <c r="CV124" s="14">
        <f t="shared" si="95"/>
        <v>56.964885721091697</v>
      </c>
      <c r="CW124" s="22">
        <f t="shared" si="67"/>
        <v>505.29666263090093</v>
      </c>
      <c r="CX124" s="62">
        <f t="shared" si="68"/>
        <v>787.59955502308526</v>
      </c>
      <c r="CY124" s="62">
        <f ca="1">AVERAGE(OFFSET($CX$3,0,0,'Données projet'!$E$13+1,1))-AVERAGE(OFFSET($H$3,0,0,'Données projet'!$E$13+1,1))</f>
        <v>351.7223836693733</v>
      </c>
      <c r="CZ124" s="62">
        <f t="shared" si="96"/>
        <v>339.34942976598518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2.0650298348806544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2.0650298348806544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183.33333333333334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6.3550942286383367E-14</v>
      </c>
      <c r="P125" s="14">
        <f t="shared" si="87"/>
        <v>1.0064464192543978E-12</v>
      </c>
      <c r="Q125" s="22">
        <f t="shared" si="107"/>
        <v>1.8635787380168604E-12</v>
      </c>
      <c r="R125" s="62">
        <f t="shared" si="55"/>
        <v>282.49424588214367</v>
      </c>
      <c r="S125" s="62">
        <f ca="1">AVERAGE(OFFSET($R$3,0,0,'Données projet'!$E$9+1,1))-AVERAGE(OFFSET($H$3,0,0,'Données projet'!$E$9+1,1))</f>
        <v>409.45931633551902</v>
      </c>
      <c r="T125" s="62">
        <f t="shared" si="88"/>
        <v>375.18886653687389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0.85716262394421472</v>
      </c>
      <c r="AA125" s="23">
        <f>EXP(-LN(2)/25)*AA124+(1-EXP(-LN(2)/25))/(LN(2)/25)*Calculateur!V125*Calculateur!X125*VLOOKUP('Données projet'!$B$9,Paramètres!$A$1:$I$89,3,0)*0.475*44/12</f>
        <v>1.507007685197677</v>
      </c>
      <c r="AB125" s="23">
        <f>EXP(-LN(2)/2)*AB124+(1-EXP(-LN(2)/2))/(LN(2)/2)*V125*Y125*VLOOKUP('Données projet'!$B$9,Paramètres!$A$1:$I$89,3,0)*0.475*44/12</f>
        <v>1.6486135788406381E-13</v>
      </c>
      <c r="AC125" s="24">
        <f t="shared" si="57"/>
        <v>2.3641703091420565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5.6843418860808015E-14</v>
      </c>
      <c r="AJ125" s="14">
        <f>AI125*VLOOKUP('Données projet'!$B$10,Paramètres!$A$1:$I$89,3,0)*VLOOKUP('Données projet'!$B$10,Paramètres!$A$1:$I$89,5,0)</f>
        <v>3.3992364478763198E-14</v>
      </c>
      <c r="AK125" s="14">
        <f t="shared" si="89"/>
        <v>5.790027782444094E-13</v>
      </c>
      <c r="AL125" s="22">
        <f t="shared" si="58"/>
        <v>1.0676332069095257E-12</v>
      </c>
      <c r="AM125" s="62">
        <f t="shared" si="59"/>
        <v>282.49424588214288</v>
      </c>
      <c r="AN125" s="62">
        <f ca="1">AVERAGE(OFFSET($AM$3,0,0,'Données projet'!$E$10+1,1))-AVERAGE(OFFSET($H$3,0,0,'Données projet'!$E$10+1,1))</f>
        <v>212.90262675152454</v>
      </c>
      <c r="AO125" s="62">
        <f t="shared" si="90"/>
        <v>366.51899340890498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17.688799416890589</v>
      </c>
      <c r="AV125" s="23">
        <f>EXP(-LN(2)/25)*AV124+(1-EXP(-LN(2)/25))/(LN(2)/25)*Calculateur!AQ125*Calculateur!AS125*VLOOKUP('Données projet'!$B$10,Paramètres!$A$1:$I$89,3,0)*0.475*44/12</f>
        <v>0.26082911533876646</v>
      </c>
      <c r="AW125" s="23">
        <f>EXP(-LN(2)/2)*AW124+(1-EXP(-LN(2)/2))/(LN(2)/2)*AQ125*AT125*VLOOKUP('Données projet'!$B$10,Paramètres!$A$1:$I$89,3,0)*0.475*44/12</f>
        <v>1.565352134049703E-11</v>
      </c>
      <c r="AX125" s="23">
        <f t="shared" si="60"/>
        <v>17.949628532245008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5.6843418860808015E-14</v>
      </c>
      <c r="BE125" s="14">
        <f>BD125*VLOOKUP('Données projet'!$B$11,Paramètres!$A$1:$I$89,3,0)*VLOOKUP('Données projet'!$B$11,Paramètres!$A$1:$I$89,5,0)</f>
        <v>4.9658410716801891E-14</v>
      </c>
      <c r="BF125" s="14">
        <f t="shared" si="91"/>
        <v>8.0934058173791862E-13</v>
      </c>
      <c r="BG125" s="22">
        <f t="shared" si="61"/>
        <v>1.4960899118586383E-12</v>
      </c>
      <c r="BH125" s="62">
        <f t="shared" si="62"/>
        <v>282.49424588214328</v>
      </c>
      <c r="BI125" s="62">
        <f ca="1">AVERAGE(OFFSET($BH$3,0,0,'Données projet'!$E$11+1,1))-AVERAGE(OFFSET($H$3,0,0,'Données projet'!$E$11+1,1))</f>
        <v>342.02279578180605</v>
      </c>
      <c r="BJ125" s="62">
        <f t="shared" si="92"/>
        <v>409.02379334777754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317.99999999999972</v>
      </c>
      <c r="BZ125" s="14">
        <f>BY125*VLOOKUP('Données projet'!$B$12,Paramètres!$A$1:$I$89,3,0)*VLOOKUP('Données projet'!$B$12,Paramètres!$A$1:$I$89,5,0)</f>
        <v>253.0007999999998</v>
      </c>
      <c r="CA125" s="14">
        <f t="shared" si="93"/>
        <v>61.228070105968683</v>
      </c>
      <c r="CB125" s="22">
        <f t="shared" si="64"/>
        <v>547.28194876789507</v>
      </c>
      <c r="CC125" s="62">
        <f t="shared" si="65"/>
        <v>829.77619465003681</v>
      </c>
      <c r="CD125" s="62">
        <f ca="1">AVERAGE(OFFSET($CC$3,0,0,'Données projet'!$E$12+1,1))-AVERAGE(OFFSET($H$3,0,0,'Données projet'!$E$12+1,1))</f>
        <v>376.47942810265266</v>
      </c>
      <c r="CE125" s="62">
        <f t="shared" si="94"/>
        <v>362.87951024071265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2.7077290588108718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2.7077290588108718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317.99999999999972</v>
      </c>
      <c r="CU125" s="18">
        <f>CT125*VLOOKUP('Données projet'!$B$13,Paramètres!$A$1:$I$89,3,0)*VLOOKUP('Données projet'!$B$13,Paramètres!$A$1:$I$89,5,0)</f>
        <v>233.1575999999998</v>
      </c>
      <c r="CV125" s="14">
        <f t="shared" si="95"/>
        <v>56.964885721091697</v>
      </c>
      <c r="CW125" s="22">
        <f t="shared" si="67"/>
        <v>505.29666263090093</v>
      </c>
      <c r="CX125" s="62">
        <f t="shared" si="68"/>
        <v>787.79090851304272</v>
      </c>
      <c r="CY125" s="62">
        <f ca="1">AVERAGE(OFFSET($CX$3,0,0,'Données projet'!$E$13+1,1))-AVERAGE(OFFSET($H$3,0,0,'Données projet'!$E$13+1,1))</f>
        <v>351.7223836693733</v>
      </c>
      <c r="CZ125" s="62">
        <f t="shared" si="96"/>
        <v>339.34942976598518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2.0245358593624743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2.0245358593624743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183.33333333333334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6.3550942286383367E-14</v>
      </c>
      <c r="P126" s="14">
        <f t="shared" si="87"/>
        <v>1.0064464192543978E-12</v>
      </c>
      <c r="Q126" s="22">
        <f t="shared" si="107"/>
        <v>1.8635787380168604E-12</v>
      </c>
      <c r="R126" s="62">
        <f t="shared" si="55"/>
        <v>282.68227981685254</v>
      </c>
      <c r="S126" s="62">
        <f ca="1">AVERAGE(OFFSET($R$3,0,0,'Données projet'!$E$9+1,1))-AVERAGE(OFFSET($H$3,0,0,'Données projet'!$E$9+1,1))</f>
        <v>409.45931633551902</v>
      </c>
      <c r="T126" s="62">
        <f t="shared" si="88"/>
        <v>375.18886653687389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0.84035418770624537</v>
      </c>
      <c r="AA126" s="23">
        <f>EXP(-LN(2)/25)*AA125+(1-EXP(-LN(2)/25))/(LN(2)/25)*Calculateur!V126*Calculateur!X126*VLOOKUP('Données projet'!$B$9,Paramètres!$A$1:$I$89,3,0)*0.475*44/12</f>
        <v>1.4657984807958566</v>
      </c>
      <c r="AB126" s="23">
        <f>EXP(-LN(2)/2)*AB125+(1-EXP(-LN(2)/2))/(LN(2)/2)*V126*Y126*VLOOKUP('Données projet'!$B$9,Paramètres!$A$1:$I$89,3,0)*0.475*44/12</f>
        <v>1.1657458411544381E-13</v>
      </c>
      <c r="AC126" s="24">
        <f t="shared" si="57"/>
        <v>2.3061526685022189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5.6843418860808015E-14</v>
      </c>
      <c r="AJ126" s="14">
        <f>AI126*VLOOKUP('Données projet'!$B$10,Paramètres!$A$1:$I$89,3,0)*VLOOKUP('Données projet'!$B$10,Paramètres!$A$1:$I$89,5,0)</f>
        <v>3.3992364478763198E-14</v>
      </c>
      <c r="AK126" s="14">
        <f t="shared" si="89"/>
        <v>5.790027782444094E-13</v>
      </c>
      <c r="AL126" s="22">
        <f t="shared" si="58"/>
        <v>1.0676332069095257E-12</v>
      </c>
      <c r="AM126" s="62">
        <f t="shared" si="59"/>
        <v>282.68227981685175</v>
      </c>
      <c r="AN126" s="62">
        <f ca="1">AVERAGE(OFFSET($AM$3,0,0,'Données projet'!$E$10+1,1))-AVERAGE(OFFSET($H$3,0,0,'Données projet'!$E$10+1,1))</f>
        <v>212.90262675152454</v>
      </c>
      <c r="AO126" s="62">
        <f t="shared" si="90"/>
        <v>366.51899340890498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17.341932849427675</v>
      </c>
      <c r="AV126" s="23">
        <f>EXP(-LN(2)/25)*AV125+(1-EXP(-LN(2)/25))/(LN(2)/25)*Calculateur!AQ126*Calculateur!AS126*VLOOKUP('Données projet'!$B$10,Paramètres!$A$1:$I$89,3,0)*0.475*44/12</f>
        <v>0.25369672946342087</v>
      </c>
      <c r="AW126" s="23">
        <f>EXP(-LN(2)/2)*AW125+(1-EXP(-LN(2)/2))/(LN(2)/2)*AQ126*AT126*VLOOKUP('Données projet'!$B$10,Paramètres!$A$1:$I$89,3,0)*0.475*44/12</f>
        <v>1.1068711089313786E-11</v>
      </c>
      <c r="AX126" s="23">
        <f t="shared" si="60"/>
        <v>17.595629578902166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5.6843418860808015E-14</v>
      </c>
      <c r="BE126" s="14">
        <f>BD126*VLOOKUP('Données projet'!$B$11,Paramètres!$A$1:$I$89,3,0)*VLOOKUP('Données projet'!$B$11,Paramètres!$A$1:$I$89,5,0)</f>
        <v>4.9658410716801891E-14</v>
      </c>
      <c r="BF126" s="14">
        <f t="shared" si="91"/>
        <v>8.0934058173791862E-13</v>
      </c>
      <c r="BG126" s="22">
        <f t="shared" si="61"/>
        <v>1.4960899118586383E-12</v>
      </c>
      <c r="BH126" s="62">
        <f t="shared" si="62"/>
        <v>282.68227981685214</v>
      </c>
      <c r="BI126" s="62">
        <f ca="1">AVERAGE(OFFSET($BH$3,0,0,'Données projet'!$E$11+1,1))-AVERAGE(OFFSET($H$3,0,0,'Données projet'!$E$11+1,1))</f>
        <v>342.02279578180605</v>
      </c>
      <c r="BJ126" s="62">
        <f t="shared" si="92"/>
        <v>409.02379334777754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317.99999999999972</v>
      </c>
      <c r="BZ126" s="14">
        <f>BY126*VLOOKUP('Données projet'!$B$12,Paramètres!$A$1:$I$89,3,0)*VLOOKUP('Données projet'!$B$12,Paramètres!$A$1:$I$89,5,0)</f>
        <v>253.0007999999998</v>
      </c>
      <c r="CA126" s="14">
        <f t="shared" si="93"/>
        <v>61.228070105968683</v>
      </c>
      <c r="CB126" s="22">
        <f t="shared" si="64"/>
        <v>547.28194876789507</v>
      </c>
      <c r="CC126" s="62">
        <f t="shared" si="65"/>
        <v>829.9642285847458</v>
      </c>
      <c r="CD126" s="62">
        <f ca="1">AVERAGE(OFFSET($CC$3,0,0,'Données projet'!$E$12+1,1))-AVERAGE(OFFSET($H$3,0,0,'Données projet'!$E$12+1,1))</f>
        <v>376.47942810265266</v>
      </c>
      <c r="CE126" s="62">
        <f t="shared" si="94"/>
        <v>362.87951024071265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2.6546321435192395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2.6546321435192395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317.99999999999972</v>
      </c>
      <c r="CU126" s="18">
        <f>CT126*VLOOKUP('Données projet'!$B$13,Paramètres!$A$1:$I$89,3,0)*VLOOKUP('Données projet'!$B$13,Paramètres!$A$1:$I$89,5,0)</f>
        <v>233.1575999999998</v>
      </c>
      <c r="CV126" s="14">
        <f t="shared" si="95"/>
        <v>56.964885721091697</v>
      </c>
      <c r="CW126" s="22">
        <f t="shared" si="67"/>
        <v>505.29666263090093</v>
      </c>
      <c r="CX126" s="62">
        <f t="shared" si="68"/>
        <v>787.97894244775159</v>
      </c>
      <c r="CY126" s="62">
        <f ca="1">AVERAGE(OFFSET($CX$3,0,0,'Données projet'!$E$13+1,1))-AVERAGE(OFFSET($H$3,0,0,'Données projet'!$E$13+1,1))</f>
        <v>351.7223836693733</v>
      </c>
      <c r="CZ126" s="62">
        <f t="shared" si="96"/>
        <v>339.34942976598518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1.9848359460053195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1.9848359460053195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183.33333333333334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6.3550942286383367E-14</v>
      </c>
      <c r="P127" s="14">
        <f t="shared" si="87"/>
        <v>1.0064464192543978E-12</v>
      </c>
      <c r="Q127" s="22">
        <f t="shared" si="107"/>
        <v>1.8635787380168604E-12</v>
      </c>
      <c r="R127" s="62">
        <f t="shared" si="55"/>
        <v>282.86705178317521</v>
      </c>
      <c r="S127" s="62">
        <f ca="1">AVERAGE(OFFSET($R$3,0,0,'Données projet'!$E$9+1,1))-AVERAGE(OFFSET($H$3,0,0,'Données projet'!$E$9+1,1))</f>
        <v>409.45931633551902</v>
      </c>
      <c r="T127" s="62">
        <f t="shared" si="88"/>
        <v>375.18886653687389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0.82387535465076878</v>
      </c>
      <c r="AA127" s="23">
        <f>EXP(-LN(2)/25)*AA126+(1-EXP(-LN(2)/25))/(LN(2)/25)*Calculateur!V127*Calculateur!X127*VLOOKUP('Données projet'!$B$9,Paramètres!$A$1:$I$89,3,0)*0.475*44/12</f>
        <v>1.425716144255502</v>
      </c>
      <c r="AB127" s="23">
        <f>EXP(-LN(2)/2)*AB126+(1-EXP(-LN(2)/2))/(LN(2)/2)*V127*Y127*VLOOKUP('Données projet'!$B$9,Paramètres!$A$1:$I$89,3,0)*0.475*44/12</f>
        <v>8.2430678942031906E-14</v>
      </c>
      <c r="AC127" s="24">
        <f t="shared" si="57"/>
        <v>2.2495914989063532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5.6843418860808015E-14</v>
      </c>
      <c r="AJ127" s="14">
        <f>AI127*VLOOKUP('Données projet'!$B$10,Paramètres!$A$1:$I$89,3,0)*VLOOKUP('Données projet'!$B$10,Paramètres!$A$1:$I$89,5,0)</f>
        <v>3.3992364478763198E-14</v>
      </c>
      <c r="AK127" s="14">
        <f t="shared" si="89"/>
        <v>5.790027782444094E-13</v>
      </c>
      <c r="AL127" s="22">
        <f t="shared" si="58"/>
        <v>1.0676332069095257E-12</v>
      </c>
      <c r="AM127" s="62">
        <f t="shared" si="59"/>
        <v>282.86705178317442</v>
      </c>
      <c r="AN127" s="62">
        <f ca="1">AVERAGE(OFFSET($AM$3,0,0,'Données projet'!$E$10+1,1))-AVERAGE(OFFSET($H$3,0,0,'Données projet'!$E$10+1,1))</f>
        <v>212.90262675152454</v>
      </c>
      <c r="AO127" s="62">
        <f t="shared" si="90"/>
        <v>366.51899340890498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17.001868123784991</v>
      </c>
      <c r="AV127" s="23">
        <f>EXP(-LN(2)/25)*AV126+(1-EXP(-LN(2)/25))/(LN(2)/25)*Calculateur!AQ127*Calculateur!AS127*VLOOKUP('Données projet'!$B$10,Paramètres!$A$1:$I$89,3,0)*0.475*44/12</f>
        <v>0.24675937905491246</v>
      </c>
      <c r="AW127" s="23">
        <f>EXP(-LN(2)/2)*AW126+(1-EXP(-LN(2)/2))/(LN(2)/2)*AQ127*AT127*VLOOKUP('Données projet'!$B$10,Paramètres!$A$1:$I$89,3,0)*0.475*44/12</f>
        <v>7.8267606702485151E-12</v>
      </c>
      <c r="AX127" s="23">
        <f t="shared" si="60"/>
        <v>17.248627502847729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5.6843418860808015E-14</v>
      </c>
      <c r="BE127" s="14">
        <f>BD127*VLOOKUP('Données projet'!$B$11,Paramètres!$A$1:$I$89,3,0)*VLOOKUP('Données projet'!$B$11,Paramètres!$A$1:$I$89,5,0)</f>
        <v>4.9658410716801891E-14</v>
      </c>
      <c r="BF127" s="14">
        <f t="shared" si="91"/>
        <v>8.0934058173791862E-13</v>
      </c>
      <c r="BG127" s="22">
        <f t="shared" si="61"/>
        <v>1.4960899118586383E-12</v>
      </c>
      <c r="BH127" s="62">
        <f t="shared" si="62"/>
        <v>282.86705178317482</v>
      </c>
      <c r="BI127" s="62">
        <f ca="1">AVERAGE(OFFSET($BH$3,0,0,'Données projet'!$E$11+1,1))-AVERAGE(OFFSET($H$3,0,0,'Données projet'!$E$11+1,1))</f>
        <v>342.02279578180605</v>
      </c>
      <c r="BJ127" s="62">
        <f t="shared" si="92"/>
        <v>409.02379334777754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317.99999999999972</v>
      </c>
      <c r="BZ127" s="14">
        <f>BY127*VLOOKUP('Données projet'!$B$12,Paramètres!$A$1:$I$89,3,0)*VLOOKUP('Données projet'!$B$12,Paramètres!$A$1:$I$89,5,0)</f>
        <v>253.0007999999998</v>
      </c>
      <c r="CA127" s="14">
        <f t="shared" si="93"/>
        <v>61.228070105968683</v>
      </c>
      <c r="CB127" s="22">
        <f t="shared" si="64"/>
        <v>547.28194876789507</v>
      </c>
      <c r="CC127" s="62">
        <f t="shared" si="65"/>
        <v>830.14900055106841</v>
      </c>
      <c r="CD127" s="62">
        <f ca="1">AVERAGE(OFFSET($CC$3,0,0,'Données projet'!$E$12+1,1))-AVERAGE(OFFSET($H$3,0,0,'Données projet'!$E$12+1,1))</f>
        <v>376.47942810265266</v>
      </c>
      <c r="CE127" s="62">
        <f t="shared" si="94"/>
        <v>362.87951024071265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2.6025764263505553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2.6025764263505553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317.99999999999972</v>
      </c>
      <c r="CU127" s="18">
        <f>CT127*VLOOKUP('Données projet'!$B$13,Paramètres!$A$1:$I$89,3,0)*VLOOKUP('Données projet'!$B$13,Paramètres!$A$1:$I$89,5,0)</f>
        <v>233.1575999999998</v>
      </c>
      <c r="CV127" s="14">
        <f t="shared" si="95"/>
        <v>56.964885721091697</v>
      </c>
      <c r="CW127" s="22">
        <f t="shared" si="67"/>
        <v>505.29666263090093</v>
      </c>
      <c r="CX127" s="62">
        <f t="shared" si="68"/>
        <v>788.16371441407432</v>
      </c>
      <c r="CY127" s="62">
        <f ca="1">AVERAGE(OFFSET($CX$3,0,0,'Données projet'!$E$13+1,1))-AVERAGE(OFFSET($H$3,0,0,'Données projet'!$E$13+1,1))</f>
        <v>351.7223836693733</v>
      </c>
      <c r="CZ127" s="62">
        <f t="shared" si="96"/>
        <v>339.34942976598518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1.9459145237345425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1.9459145237345425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183.33333333333334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6.3550942286383367E-14</v>
      </c>
      <c r="P128" s="14">
        <f t="shared" si="87"/>
        <v>1.0064464192543978E-12</v>
      </c>
      <c r="Q128" s="22">
        <f t="shared" si="107"/>
        <v>1.8635787380168604E-12</v>
      </c>
      <c r="R128" s="62">
        <f t="shared" si="55"/>
        <v>283.04861836897038</v>
      </c>
      <c r="S128" s="62">
        <f ca="1">AVERAGE(OFFSET($R$3,0,0,'Données projet'!$E$9+1,1))-AVERAGE(OFFSET($H$3,0,0,'Données projet'!$E$9+1,1))</f>
        <v>409.45931633551902</v>
      </c>
      <c r="T128" s="62">
        <f t="shared" si="88"/>
        <v>375.18886653687389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0.80771966146041441</v>
      </c>
      <c r="AA128" s="23">
        <f>EXP(-LN(2)/25)*AA127+(1-EXP(-LN(2)/25))/(LN(2)/25)*Calculateur!V128*Calculateur!X128*VLOOKUP('Données projet'!$B$9,Paramètres!$A$1:$I$89,3,0)*0.475*44/12</f>
        <v>1.3867298613156818</v>
      </c>
      <c r="AB128" s="23">
        <f>EXP(-LN(2)/2)*AB127+(1-EXP(-LN(2)/2))/(LN(2)/2)*V128*Y128*VLOOKUP('Données projet'!$B$9,Paramètres!$A$1:$I$89,3,0)*0.475*44/12</f>
        <v>5.8287292057721904E-14</v>
      </c>
      <c r="AC128" s="24">
        <f t="shared" si="57"/>
        <v>2.1944495227761545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5.6843418860808015E-14</v>
      </c>
      <c r="AJ128" s="14">
        <f>AI128*VLOOKUP('Données projet'!$B$10,Paramètres!$A$1:$I$89,3,0)*VLOOKUP('Données projet'!$B$10,Paramètres!$A$1:$I$89,5,0)</f>
        <v>3.3992364478763198E-14</v>
      </c>
      <c r="AK128" s="14">
        <f t="shared" si="89"/>
        <v>5.790027782444094E-13</v>
      </c>
      <c r="AL128" s="22">
        <f t="shared" si="58"/>
        <v>1.0676332069095257E-12</v>
      </c>
      <c r="AM128" s="62">
        <f t="shared" si="59"/>
        <v>283.04861836896958</v>
      </c>
      <c r="AN128" s="62">
        <f ca="1">AVERAGE(OFFSET($AM$3,0,0,'Données projet'!$E$10+1,1))-AVERAGE(OFFSET($H$3,0,0,'Données projet'!$E$10+1,1))</f>
        <v>212.90262675152454</v>
      </c>
      <c r="AO128" s="62">
        <f t="shared" si="90"/>
        <v>366.51899340890498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16.668471859993158</v>
      </c>
      <c r="AV128" s="23">
        <f>EXP(-LN(2)/25)*AV127+(1-EXP(-LN(2)/25))/(LN(2)/25)*Calculateur!AQ128*Calculateur!AS128*VLOOKUP('Données projet'!$B$10,Paramètres!$A$1:$I$89,3,0)*0.475*44/12</f>
        <v>0.24001173085814412</v>
      </c>
      <c r="AW128" s="23">
        <f>EXP(-LN(2)/2)*AW127+(1-EXP(-LN(2)/2))/(LN(2)/2)*AQ128*AT128*VLOOKUP('Données projet'!$B$10,Paramètres!$A$1:$I$89,3,0)*0.475*44/12</f>
        <v>5.5343555446568928E-12</v>
      </c>
      <c r="AX128" s="23">
        <f t="shared" si="60"/>
        <v>16.908483590856836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5.6843418860808015E-14</v>
      </c>
      <c r="BE128" s="14">
        <f>BD128*VLOOKUP('Données projet'!$B$11,Paramètres!$A$1:$I$89,3,0)*VLOOKUP('Données projet'!$B$11,Paramètres!$A$1:$I$89,5,0)</f>
        <v>4.9658410716801891E-14</v>
      </c>
      <c r="BF128" s="14">
        <f t="shared" si="91"/>
        <v>8.0934058173791862E-13</v>
      </c>
      <c r="BG128" s="22">
        <f t="shared" si="61"/>
        <v>1.4960899118586383E-12</v>
      </c>
      <c r="BH128" s="62">
        <f t="shared" si="62"/>
        <v>283.04861836896998</v>
      </c>
      <c r="BI128" s="62">
        <f ca="1">AVERAGE(OFFSET($BH$3,0,0,'Données projet'!$E$11+1,1))-AVERAGE(OFFSET($H$3,0,0,'Données projet'!$E$11+1,1))</f>
        <v>342.02279578180605</v>
      </c>
      <c r="BJ128" s="62">
        <f t="shared" si="92"/>
        <v>409.02379334777754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317.99999999999972</v>
      </c>
      <c r="BZ128" s="14">
        <f>BY128*VLOOKUP('Données projet'!$B$12,Paramètres!$A$1:$I$89,3,0)*VLOOKUP('Données projet'!$B$12,Paramètres!$A$1:$I$89,5,0)</f>
        <v>253.0007999999998</v>
      </c>
      <c r="CA128" s="14">
        <f t="shared" si="93"/>
        <v>61.228070105968683</v>
      </c>
      <c r="CB128" s="22">
        <f t="shared" si="64"/>
        <v>547.28194876789507</v>
      </c>
      <c r="CC128" s="62">
        <f t="shared" si="65"/>
        <v>830.33056713686358</v>
      </c>
      <c r="CD128" s="62">
        <f ca="1">AVERAGE(OFFSET($CC$3,0,0,'Données projet'!$E$12+1,1))-AVERAGE(OFFSET($H$3,0,0,'Données projet'!$E$12+1,1))</f>
        <v>376.47942810265266</v>
      </c>
      <c r="CE128" s="62">
        <f t="shared" si="94"/>
        <v>362.87951024071265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2.5515414900446967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2.5515414900446967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317.99999999999972</v>
      </c>
      <c r="CU128" s="18">
        <f>CT128*VLOOKUP('Données projet'!$B$13,Paramètres!$A$1:$I$89,3,0)*VLOOKUP('Données projet'!$B$13,Paramètres!$A$1:$I$89,5,0)</f>
        <v>233.1575999999998</v>
      </c>
      <c r="CV128" s="14">
        <f t="shared" si="95"/>
        <v>56.964885721091697</v>
      </c>
      <c r="CW128" s="22">
        <f t="shared" si="67"/>
        <v>505.29666263090093</v>
      </c>
      <c r="CX128" s="62">
        <f t="shared" si="68"/>
        <v>788.34528099986937</v>
      </c>
      <c r="CY128" s="62">
        <f ca="1">AVERAGE(OFFSET($CX$3,0,0,'Données projet'!$E$13+1,1))-AVERAGE(OFFSET($H$3,0,0,'Données projet'!$E$13+1,1))</f>
        <v>351.7223836693733</v>
      </c>
      <c r="CZ128" s="62">
        <f t="shared" si="96"/>
        <v>339.34942976598518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1.9077563268147719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1.9077563268147719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183.33333333333334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6.3550942286383367E-14</v>
      </c>
      <c r="P129" s="14">
        <f t="shared" si="87"/>
        <v>1.0064464192543978E-12</v>
      </c>
      <c r="Q129" s="22">
        <f t="shared" si="107"/>
        <v>1.8635787380168604E-12</v>
      </c>
      <c r="R129" s="62">
        <f t="shared" si="55"/>
        <v>283.22703518042408</v>
      </c>
      <c r="S129" s="62">
        <f ca="1">AVERAGE(OFFSET($R$3,0,0,'Données projet'!$E$9+1,1))-AVERAGE(OFFSET($H$3,0,0,'Données projet'!$E$9+1,1))</f>
        <v>409.45931633551902</v>
      </c>
      <c r="T129" s="62">
        <f t="shared" si="88"/>
        <v>375.18886653687389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0.79188077155952297</v>
      </c>
      <c r="AA129" s="23">
        <f>EXP(-LN(2)/25)*AA128+(1-EXP(-LN(2)/25))/(LN(2)/25)*Calculateur!V129*Calculateur!X129*VLOOKUP('Données projet'!$B$9,Paramètres!$A$1:$I$89,3,0)*0.475*44/12</f>
        <v>1.3488096603330504</v>
      </c>
      <c r="AB129" s="23">
        <f>EXP(-LN(2)/2)*AB128+(1-EXP(-LN(2)/2))/(LN(2)/2)*V129*Y129*VLOOKUP('Données projet'!$B$9,Paramètres!$A$1:$I$89,3,0)*0.475*44/12</f>
        <v>4.1215339471015953E-14</v>
      </c>
      <c r="AC129" s="24">
        <f t="shared" si="57"/>
        <v>2.1406904318926148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5.6843418860808015E-14</v>
      </c>
      <c r="AJ129" s="14">
        <f>AI129*VLOOKUP('Données projet'!$B$10,Paramètres!$A$1:$I$89,3,0)*VLOOKUP('Données projet'!$B$10,Paramètres!$A$1:$I$89,5,0)</f>
        <v>3.3992364478763198E-14</v>
      </c>
      <c r="AK129" s="14">
        <f t="shared" si="89"/>
        <v>5.790027782444094E-13</v>
      </c>
      <c r="AL129" s="22">
        <f t="shared" si="58"/>
        <v>1.0676332069095257E-12</v>
      </c>
      <c r="AM129" s="62">
        <f t="shared" si="59"/>
        <v>283.22703518042329</v>
      </c>
      <c r="AN129" s="62">
        <f ca="1">AVERAGE(OFFSET($AM$3,0,0,'Données projet'!$E$10+1,1))-AVERAGE(OFFSET($H$3,0,0,'Données projet'!$E$10+1,1))</f>
        <v>212.90262675152454</v>
      </c>
      <c r="AO129" s="62">
        <f t="shared" si="90"/>
        <v>366.51899340890498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16.341613293582643</v>
      </c>
      <c r="AV129" s="23">
        <f>EXP(-LN(2)/25)*AV128+(1-EXP(-LN(2)/25))/(LN(2)/25)*Calculateur!AQ129*Calculateur!AS129*VLOOKUP('Données projet'!$B$10,Paramètres!$A$1:$I$89,3,0)*0.475*44/12</f>
        <v>0.23344859745615978</v>
      </c>
      <c r="AW129" s="23">
        <f>EXP(-LN(2)/2)*AW128+(1-EXP(-LN(2)/2))/(LN(2)/2)*AQ129*AT129*VLOOKUP('Données projet'!$B$10,Paramètres!$A$1:$I$89,3,0)*0.475*44/12</f>
        <v>3.9133803351242575E-12</v>
      </c>
      <c r="AX129" s="23">
        <f t="shared" si="60"/>
        <v>16.575061891042719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5.6843418860808015E-14</v>
      </c>
      <c r="BE129" s="14">
        <f>BD129*VLOOKUP('Données projet'!$B$11,Paramètres!$A$1:$I$89,3,0)*VLOOKUP('Données projet'!$B$11,Paramètres!$A$1:$I$89,5,0)</f>
        <v>4.9658410716801891E-14</v>
      </c>
      <c r="BF129" s="14">
        <f t="shared" si="91"/>
        <v>8.0934058173791862E-13</v>
      </c>
      <c r="BG129" s="22">
        <f t="shared" si="61"/>
        <v>1.4960899118586383E-12</v>
      </c>
      <c r="BH129" s="62">
        <f t="shared" si="62"/>
        <v>283.22703518042368</v>
      </c>
      <c r="BI129" s="62">
        <f ca="1">AVERAGE(OFFSET($BH$3,0,0,'Données projet'!$E$11+1,1))-AVERAGE(OFFSET($H$3,0,0,'Données projet'!$E$11+1,1))</f>
        <v>342.02279578180605</v>
      </c>
      <c r="BJ129" s="62">
        <f t="shared" si="92"/>
        <v>409.02379334777754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317.99999999999972</v>
      </c>
      <c r="BZ129" s="14">
        <f>BY129*VLOOKUP('Données projet'!$B$12,Paramètres!$A$1:$I$89,3,0)*VLOOKUP('Données projet'!$B$12,Paramètres!$A$1:$I$89,5,0)</f>
        <v>253.0007999999998</v>
      </c>
      <c r="CA129" s="14">
        <f t="shared" si="93"/>
        <v>61.228070105968683</v>
      </c>
      <c r="CB129" s="22">
        <f t="shared" si="64"/>
        <v>547.28194876789507</v>
      </c>
      <c r="CC129" s="62">
        <f t="shared" si="65"/>
        <v>830.50898394831734</v>
      </c>
      <c r="CD129" s="62">
        <f ca="1">AVERAGE(OFFSET($CC$3,0,0,'Données projet'!$E$12+1,1))-AVERAGE(OFFSET($H$3,0,0,'Données projet'!$E$12+1,1))</f>
        <v>376.47942810265266</v>
      </c>
      <c r="CE129" s="62">
        <f t="shared" si="94"/>
        <v>362.87951024071265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2.5015073177115585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2.5015073177115585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317.99999999999972</v>
      </c>
      <c r="CU129" s="18">
        <f>CT129*VLOOKUP('Données projet'!$B$13,Paramètres!$A$1:$I$89,3,0)*VLOOKUP('Données projet'!$B$13,Paramètres!$A$1:$I$89,5,0)</f>
        <v>233.1575999999998</v>
      </c>
      <c r="CV129" s="14">
        <f t="shared" si="95"/>
        <v>56.964885721091697</v>
      </c>
      <c r="CW129" s="22">
        <f t="shared" si="67"/>
        <v>505.29666263090093</v>
      </c>
      <c r="CX129" s="62">
        <f t="shared" si="68"/>
        <v>788.52369781132313</v>
      </c>
      <c r="CY129" s="62">
        <f ca="1">AVERAGE(OFFSET($CX$3,0,0,'Données projet'!$E$13+1,1))-AVERAGE(OFFSET($H$3,0,0,'Données projet'!$E$13+1,1))</f>
        <v>351.7223836693733</v>
      </c>
      <c r="CZ129" s="62">
        <f t="shared" si="96"/>
        <v>339.34942976598518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1.8703463888623961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1.8703463888623961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183.33333333333334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6.3550942286383367E-14</v>
      </c>
      <c r="P130" s="14">
        <f t="shared" si="87"/>
        <v>1.0064464192543978E-12</v>
      </c>
      <c r="Q130" s="22">
        <f t="shared" si="107"/>
        <v>1.8635787380168604E-12</v>
      </c>
      <c r="R130" s="62">
        <f t="shared" si="55"/>
        <v>283.4023568590793</v>
      </c>
      <c r="S130" s="62">
        <f ca="1">AVERAGE(OFFSET($R$3,0,0,'Données projet'!$E$9+1,1))-AVERAGE(OFFSET($H$3,0,0,'Données projet'!$E$9+1,1))</f>
        <v>409.45931633551902</v>
      </c>
      <c r="T130" s="62">
        <f t="shared" si="88"/>
        <v>375.18886653687389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0.77635247262881912</v>
      </c>
      <c r="AA130" s="23">
        <f>EXP(-LN(2)/25)*AA129+(1-EXP(-LN(2)/25))/(LN(2)/25)*Calculateur!V130*Calculateur!X130*VLOOKUP('Données projet'!$B$9,Paramètres!$A$1:$I$89,3,0)*0.475*44/12</f>
        <v>1.3119263892404258</v>
      </c>
      <c r="AB130" s="23">
        <f>EXP(-LN(2)/2)*AB129+(1-EXP(-LN(2)/2))/(LN(2)/2)*V130*Y130*VLOOKUP('Données projet'!$B$9,Paramètres!$A$1:$I$89,3,0)*0.475*44/12</f>
        <v>2.9143646028860952E-14</v>
      </c>
      <c r="AC130" s="24">
        <f t="shared" si="57"/>
        <v>2.0882788618692745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5.6843418860808015E-14</v>
      </c>
      <c r="AJ130" s="14">
        <f>AI130*VLOOKUP('Données projet'!$B$10,Paramètres!$A$1:$I$89,3,0)*VLOOKUP('Données projet'!$B$10,Paramètres!$A$1:$I$89,5,0)</f>
        <v>3.3992364478763198E-14</v>
      </c>
      <c r="AK130" s="14">
        <f t="shared" si="89"/>
        <v>5.790027782444094E-13</v>
      </c>
      <c r="AL130" s="22">
        <f t="shared" si="58"/>
        <v>1.0676332069095257E-12</v>
      </c>
      <c r="AM130" s="62">
        <f t="shared" si="59"/>
        <v>283.40235685907851</v>
      </c>
      <c r="AN130" s="62">
        <f ca="1">AVERAGE(OFFSET($AM$3,0,0,'Données projet'!$E$10+1,1))-AVERAGE(OFFSET($H$3,0,0,'Données projet'!$E$10+1,1))</f>
        <v>212.90262675152454</v>
      </c>
      <c r="AO130" s="62">
        <f t="shared" si="90"/>
        <v>366.51899340890498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16.021164224295397</v>
      </c>
      <c r="AV130" s="23">
        <f>EXP(-LN(2)/25)*AV129+(1-EXP(-LN(2)/25))/(LN(2)/25)*Calculateur!AQ130*Calculateur!AS130*VLOOKUP('Données projet'!$B$10,Paramètres!$A$1:$I$89,3,0)*0.475*44/12</f>
        <v>0.2270649332821929</v>
      </c>
      <c r="AW130" s="23">
        <f>EXP(-LN(2)/2)*AW129+(1-EXP(-LN(2)/2))/(LN(2)/2)*AQ130*AT130*VLOOKUP('Données projet'!$B$10,Paramètres!$A$1:$I$89,3,0)*0.475*44/12</f>
        <v>2.7671777723284464E-12</v>
      </c>
      <c r="AX130" s="23">
        <f t="shared" si="60"/>
        <v>16.248229157580358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5.6843418860808015E-14</v>
      </c>
      <c r="BE130" s="14">
        <f>BD130*VLOOKUP('Données projet'!$B$11,Paramètres!$A$1:$I$89,3,0)*VLOOKUP('Données projet'!$B$11,Paramètres!$A$1:$I$89,5,0)</f>
        <v>4.9658410716801891E-14</v>
      </c>
      <c r="BF130" s="14">
        <f t="shared" si="91"/>
        <v>8.0934058173791862E-13</v>
      </c>
      <c r="BG130" s="22">
        <f t="shared" si="61"/>
        <v>1.4960899118586383E-12</v>
      </c>
      <c r="BH130" s="62">
        <f t="shared" si="62"/>
        <v>283.40235685907891</v>
      </c>
      <c r="BI130" s="62">
        <f ca="1">AVERAGE(OFFSET($BH$3,0,0,'Données projet'!$E$11+1,1))-AVERAGE(OFFSET($H$3,0,0,'Données projet'!$E$11+1,1))</f>
        <v>342.02279578180605</v>
      </c>
      <c r="BJ130" s="62">
        <f t="shared" si="92"/>
        <v>409.02379334777754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317.99999999999972</v>
      </c>
      <c r="BZ130" s="14">
        <f>BY130*VLOOKUP('Données projet'!$B$12,Paramètres!$A$1:$I$89,3,0)*VLOOKUP('Données projet'!$B$12,Paramètres!$A$1:$I$89,5,0)</f>
        <v>253.0007999999998</v>
      </c>
      <c r="CA130" s="14">
        <f t="shared" si="93"/>
        <v>61.228070105968683</v>
      </c>
      <c r="CB130" s="22">
        <f t="shared" si="64"/>
        <v>547.28194876789507</v>
      </c>
      <c r="CC130" s="62">
        <f t="shared" si="65"/>
        <v>830.68430562697245</v>
      </c>
      <c r="CD130" s="62">
        <f ca="1">AVERAGE(OFFSET($CC$3,0,0,'Données projet'!$E$12+1,1))-AVERAGE(OFFSET($H$3,0,0,'Données projet'!$E$12+1,1))</f>
        <v>376.47942810265266</v>
      </c>
      <c r="CE130" s="62">
        <f t="shared" si="94"/>
        <v>362.87951024071265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2.4524542849800417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2.4524542849800417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317.99999999999972</v>
      </c>
      <c r="CU130" s="18">
        <f>CT130*VLOOKUP('Données projet'!$B$13,Paramètres!$A$1:$I$89,3,0)*VLOOKUP('Données projet'!$B$13,Paramètres!$A$1:$I$89,5,0)</f>
        <v>233.1575999999998</v>
      </c>
      <c r="CV130" s="14">
        <f t="shared" si="95"/>
        <v>56.964885721091697</v>
      </c>
      <c r="CW130" s="22">
        <f t="shared" si="67"/>
        <v>505.29666263090093</v>
      </c>
      <c r="CX130" s="62">
        <f t="shared" si="68"/>
        <v>788.69901948997835</v>
      </c>
      <c r="CY130" s="62">
        <f ca="1">AVERAGE(OFFSET($CX$3,0,0,'Données projet'!$E$13+1,1))-AVERAGE(OFFSET($H$3,0,0,'Données projet'!$E$13+1,1))</f>
        <v>351.7223836693733</v>
      </c>
      <c r="CZ130" s="62">
        <f t="shared" si="96"/>
        <v>339.34942976598518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1.8336700369754573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1.8336700369754573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183.33333333333334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6.3550942286383367E-14</v>
      </c>
      <c r="P131" s="14">
        <f t="shared" si="87"/>
        <v>1.0064464192543978E-12</v>
      </c>
      <c r="Q131" s="22">
        <f t="shared" ref="Q131:Q153" si="108">(O131+P131)*0.475*44/12</f>
        <v>1.8635787380168604E-12</v>
      </c>
      <c r="R131" s="62">
        <f t="shared" ref="R131:R194" si="109">Q131+(I131+J131)*44/12</f>
        <v>283.57463709857041</v>
      </c>
      <c r="S131" s="62">
        <f ca="1">AVERAGE(OFFSET($R$3,0,0,'Données projet'!$E$9+1,1))-AVERAGE(OFFSET($H$3,0,0,'Données projet'!$E$9+1,1))</f>
        <v>409.45931633551902</v>
      </c>
      <c r="T131" s="62">
        <f t="shared" si="88"/>
        <v>375.18886653687389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0.76112867416881924</v>
      </c>
      <c r="AA131" s="23">
        <f>EXP(-LN(2)/25)*AA130+(1-EXP(-LN(2)/25))/(LN(2)/25)*Calculateur!V131*Calculateur!X131*VLOOKUP('Données projet'!$B$9,Paramètres!$A$1:$I$89,3,0)*0.475*44/12</f>
        <v>1.276051693135436</v>
      </c>
      <c r="AB131" s="23">
        <f>EXP(-LN(2)/2)*AB130+(1-EXP(-LN(2)/2))/(LN(2)/2)*V131*Y131*VLOOKUP('Données projet'!$B$9,Paramètres!$A$1:$I$89,3,0)*0.475*44/12</f>
        <v>2.0607669735507977E-14</v>
      </c>
      <c r="AC131" s="24">
        <f t="shared" si="57"/>
        <v>2.0371803673042757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5.6843418860808015E-14</v>
      </c>
      <c r="AJ131" s="14">
        <f>AI131*VLOOKUP('Données projet'!$B$10,Paramètres!$A$1:$I$89,3,0)*VLOOKUP('Données projet'!$B$10,Paramètres!$A$1:$I$89,5,0)</f>
        <v>3.3992364478763198E-14</v>
      </c>
      <c r="AK131" s="14">
        <f t="shared" si="89"/>
        <v>5.790027782444094E-13</v>
      </c>
      <c r="AL131" s="22">
        <f t="shared" si="58"/>
        <v>1.0676332069095257E-12</v>
      </c>
      <c r="AM131" s="62">
        <f t="shared" si="59"/>
        <v>283.57463709856961</v>
      </c>
      <c r="AN131" s="62">
        <f ca="1">AVERAGE(OFFSET($AM$3,0,0,'Données projet'!$E$10+1,1))-AVERAGE(OFFSET($H$3,0,0,'Données projet'!$E$10+1,1))</f>
        <v>212.90262675152454</v>
      </c>
      <c r="AO131" s="62">
        <f t="shared" si="90"/>
        <v>366.51899340890498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15.706998965802242</v>
      </c>
      <c r="AV131" s="23">
        <f>EXP(-LN(2)/25)*AV130+(1-EXP(-LN(2)/25))/(LN(2)/25)*Calculateur!AQ131*Calculateur!AS131*VLOOKUP('Données projet'!$B$10,Paramètres!$A$1:$I$89,3,0)*0.475*44/12</f>
        <v>0.22085583074076545</v>
      </c>
      <c r="AW131" s="23">
        <f>EXP(-LN(2)/2)*AW130+(1-EXP(-LN(2)/2))/(LN(2)/2)*AQ131*AT131*VLOOKUP('Données projet'!$B$10,Paramètres!$A$1:$I$89,3,0)*0.475*44/12</f>
        <v>1.9566901675621288E-12</v>
      </c>
      <c r="AX131" s="23">
        <f t="shared" si="60"/>
        <v>15.927854796544965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5.6843418860808015E-14</v>
      </c>
      <c r="BE131" s="14">
        <f>BD131*VLOOKUP('Données projet'!$B$11,Paramètres!$A$1:$I$89,3,0)*VLOOKUP('Données projet'!$B$11,Paramètres!$A$1:$I$89,5,0)</f>
        <v>4.9658410716801891E-14</v>
      </c>
      <c r="BF131" s="14">
        <f t="shared" si="91"/>
        <v>8.0934058173791862E-13</v>
      </c>
      <c r="BG131" s="22">
        <f t="shared" si="61"/>
        <v>1.4960899118586383E-12</v>
      </c>
      <c r="BH131" s="62">
        <f t="shared" si="62"/>
        <v>283.57463709857001</v>
      </c>
      <c r="BI131" s="62">
        <f ca="1">AVERAGE(OFFSET($BH$3,0,0,'Données projet'!$E$11+1,1))-AVERAGE(OFFSET($H$3,0,0,'Données projet'!$E$11+1,1))</f>
        <v>342.02279578180605</v>
      </c>
      <c r="BJ131" s="62">
        <f t="shared" si="92"/>
        <v>409.02379334777754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317.99999999999972</v>
      </c>
      <c r="BZ131" s="14">
        <f>BY131*VLOOKUP('Données projet'!$B$12,Paramètres!$A$1:$I$89,3,0)*VLOOKUP('Données projet'!$B$12,Paramètres!$A$1:$I$89,5,0)</f>
        <v>253.0007999999998</v>
      </c>
      <c r="CA131" s="14">
        <f t="shared" si="93"/>
        <v>61.228070105968683</v>
      </c>
      <c r="CB131" s="22">
        <f t="shared" si="64"/>
        <v>547.28194876789507</v>
      </c>
      <c r="CC131" s="62">
        <f t="shared" si="65"/>
        <v>830.85658586646355</v>
      </c>
      <c r="CD131" s="62">
        <f ca="1">AVERAGE(OFFSET($CC$3,0,0,'Données projet'!$E$12+1,1))-AVERAGE(OFFSET($H$3,0,0,'Données projet'!$E$12+1,1))</f>
        <v>376.47942810265266</v>
      </c>
      <c r="CE131" s="62">
        <f t="shared" si="94"/>
        <v>362.87951024071265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2.4043631523009941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2.4043631523009941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317.99999999999972</v>
      </c>
      <c r="CU131" s="18">
        <f>CT131*VLOOKUP('Données projet'!$B$13,Paramètres!$A$1:$I$89,3,0)*VLOOKUP('Données projet'!$B$13,Paramètres!$A$1:$I$89,5,0)</f>
        <v>233.1575999999998</v>
      </c>
      <c r="CV131" s="14">
        <f t="shared" si="95"/>
        <v>56.964885721091697</v>
      </c>
      <c r="CW131" s="22">
        <f t="shared" si="67"/>
        <v>505.29666263090093</v>
      </c>
      <c r="CX131" s="62">
        <f t="shared" si="68"/>
        <v>788.87129972946946</v>
      </c>
      <c r="CY131" s="62">
        <f ca="1">AVERAGE(OFFSET($CX$3,0,0,'Données projet'!$E$13+1,1))-AVERAGE(OFFSET($H$3,0,0,'Données projet'!$E$13+1,1))</f>
        <v>351.7223836693733</v>
      </c>
      <c r="CZ131" s="62">
        <f t="shared" si="96"/>
        <v>339.34942976598518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1.7977128859786555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1.7977128859786555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183.33333333333334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6.3550942286383367E-14</v>
      </c>
      <c r="P132" s="14">
        <f t="shared" si="87"/>
        <v>1.0064464192543978E-12</v>
      </c>
      <c r="Q132" s="22">
        <f t="shared" si="108"/>
        <v>1.8635787380168604E-12</v>
      </c>
      <c r="R132" s="62">
        <f t="shared" si="109"/>
        <v>283.74392866106723</v>
      </c>
      <c r="S132" s="62">
        <f ca="1">AVERAGE(OFFSET($R$3,0,0,'Données projet'!$E$9+1,1))-AVERAGE(OFFSET($H$3,0,0,'Données projet'!$E$9+1,1))</f>
        <v>409.45931633551902</v>
      </c>
      <c r="T132" s="62">
        <f t="shared" si="88"/>
        <v>375.18886653687389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0.74620340511101979</v>
      </c>
      <c r="AA132" s="23">
        <f>EXP(-LN(2)/25)*AA131+(1-EXP(-LN(2)/25))/(LN(2)/25)*Calculateur!V132*Calculateur!X132*VLOOKUP('Données projet'!$B$9,Paramètres!$A$1:$I$89,3,0)*0.475*44/12</f>
        <v>1.2411579924820053</v>
      </c>
      <c r="AB132" s="23">
        <f>EXP(-LN(2)/2)*AB131+(1-EXP(-LN(2)/2))/(LN(2)/2)*V132*Y132*VLOOKUP('Données projet'!$B$9,Paramètres!$A$1:$I$89,3,0)*0.475*44/12</f>
        <v>1.4571823014430476E-14</v>
      </c>
      <c r="AC132" s="24">
        <f t="shared" ref="AC132:AC153" si="111">SUM(Z132:AB132)</f>
        <v>1.9873613975930398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5.6843418860808015E-14</v>
      </c>
      <c r="AJ132" s="14">
        <f>AI132*VLOOKUP('Données projet'!$B$10,Paramètres!$A$1:$I$89,3,0)*VLOOKUP('Données projet'!$B$10,Paramètres!$A$1:$I$89,5,0)</f>
        <v>3.3992364478763198E-14</v>
      </c>
      <c r="AK132" s="14">
        <f t="shared" si="89"/>
        <v>5.790027782444094E-13</v>
      </c>
      <c r="AL132" s="22">
        <f t="shared" ref="AL132:AL153" si="112">(AJ132+AK132)*0.475*44/12</f>
        <v>1.0676332069095257E-12</v>
      </c>
      <c r="AM132" s="62">
        <f t="shared" ref="AM132:AM195" si="113">AL132+(AD132+AE132)*44/12</f>
        <v>283.74392866106643</v>
      </c>
      <c r="AN132" s="62">
        <f ca="1">AVERAGE(OFFSET($AM$3,0,0,'Données projet'!$E$10+1,1))-AVERAGE(OFFSET($H$3,0,0,'Données projet'!$E$10+1,1))</f>
        <v>212.90262675152454</v>
      </c>
      <c r="AO132" s="62">
        <f t="shared" si="90"/>
        <v>366.51899340890498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15.398994296406251</v>
      </c>
      <c r="AV132" s="23">
        <f>EXP(-LN(2)/25)*AV131+(1-EXP(-LN(2)/25))/(LN(2)/25)*Calculateur!AQ132*Calculateur!AS132*VLOOKUP('Données projet'!$B$10,Paramètres!$A$1:$I$89,3,0)*0.475*44/12</f>
        <v>0.21481651643485586</v>
      </c>
      <c r="AW132" s="23">
        <f>EXP(-LN(2)/2)*AW131+(1-EXP(-LN(2)/2))/(LN(2)/2)*AQ132*AT132*VLOOKUP('Données projet'!$B$10,Paramètres!$A$1:$I$89,3,0)*0.475*44/12</f>
        <v>1.3835888861642232E-12</v>
      </c>
      <c r="AX132" s="23">
        <f t="shared" ref="AX132:AX153" si="114">SUM(AU132:AW132)</f>
        <v>15.613810812842491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5.6843418860808015E-14</v>
      </c>
      <c r="BE132" s="14">
        <f>BD132*VLOOKUP('Données projet'!$B$11,Paramètres!$A$1:$I$89,3,0)*VLOOKUP('Données projet'!$B$11,Paramètres!$A$1:$I$89,5,0)</f>
        <v>4.9658410716801891E-14</v>
      </c>
      <c r="BF132" s="14">
        <f t="shared" si="91"/>
        <v>8.0934058173791862E-13</v>
      </c>
      <c r="BG132" s="22">
        <f t="shared" ref="BG132:BG153" si="115">(BE132+BF132)*0.475*44/12</f>
        <v>1.4960899118586383E-12</v>
      </c>
      <c r="BH132" s="62">
        <f t="shared" ref="BH132:BH195" si="116">BG132+(AY132+AZ132)*44/12</f>
        <v>283.74392866106683</v>
      </c>
      <c r="BI132" s="62">
        <f ca="1">AVERAGE(OFFSET($BH$3,0,0,'Données projet'!$E$11+1,1))-AVERAGE(OFFSET($H$3,0,0,'Données projet'!$E$11+1,1))</f>
        <v>342.02279578180605</v>
      </c>
      <c r="BJ132" s="62">
        <f t="shared" si="92"/>
        <v>409.02379334777754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317.99999999999972</v>
      </c>
      <c r="BZ132" s="14">
        <f>BY132*VLOOKUP('Données projet'!$B$12,Paramètres!$A$1:$I$89,3,0)*VLOOKUP('Données projet'!$B$12,Paramètres!$A$1:$I$89,5,0)</f>
        <v>253.0007999999998</v>
      </c>
      <c r="CA132" s="14">
        <f t="shared" si="93"/>
        <v>61.228070105968683</v>
      </c>
      <c r="CB132" s="22">
        <f t="shared" ref="CB132:CB153" si="118">(BZ132+CA132)*0.475*44/12</f>
        <v>547.28194876789507</v>
      </c>
      <c r="CC132" s="62">
        <f t="shared" ref="CC132:CC195" si="119">CB132+(BT132+BU132)*44/12</f>
        <v>831.02587742896048</v>
      </c>
      <c r="CD132" s="62">
        <f ca="1">AVERAGE(OFFSET($CC$3,0,0,'Données projet'!$E$12+1,1))-AVERAGE(OFFSET($H$3,0,0,'Données projet'!$E$12+1,1))</f>
        <v>376.47942810265266</v>
      </c>
      <c r="CE132" s="62">
        <f t="shared" si="94"/>
        <v>362.87951024071265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2.3572150574010879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2.3572150574010879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317.99999999999972</v>
      </c>
      <c r="CU132" s="18">
        <f>CT132*VLOOKUP('Données projet'!$B$13,Paramètres!$A$1:$I$89,3,0)*VLOOKUP('Données projet'!$B$13,Paramètres!$A$1:$I$89,5,0)</f>
        <v>233.1575999999998</v>
      </c>
      <c r="CV132" s="14">
        <f t="shared" si="95"/>
        <v>56.964885721091697</v>
      </c>
      <c r="CW132" s="22">
        <f t="shared" ref="CW132:CW153" si="121">(CU132+CV132)*0.475*44/12</f>
        <v>505.29666263090093</v>
      </c>
      <c r="CX132" s="62">
        <f t="shared" ref="CX132:CX195" si="122">CW132+(CO132+CP132)*44/12</f>
        <v>789.04059129196628</v>
      </c>
      <c r="CY132" s="62">
        <f ca="1">AVERAGE(OFFSET($CX$3,0,0,'Données projet'!$E$13+1,1))-AVERAGE(OFFSET($H$3,0,0,'Données projet'!$E$13+1,1))</f>
        <v>351.7223836693733</v>
      </c>
      <c r="CZ132" s="62">
        <f t="shared" si="96"/>
        <v>339.34942976598518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1.7624608327812046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1.7624608327812046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183.33333333333334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6.3550942286383367E-14</v>
      </c>
      <c r="P133" s="14">
        <f t="shared" ref="P133:P196" si="141">EXP(-1.0587+0.8836*LN(O133)+0.284)</f>
        <v>1.0064464192543978E-12</v>
      </c>
      <c r="Q133" s="22">
        <f t="shared" si="108"/>
        <v>1.8635787380168604E-12</v>
      </c>
      <c r="R133" s="62">
        <f t="shared" si="109"/>
        <v>283.91028339343399</v>
      </c>
      <c r="S133" s="62">
        <f ca="1">AVERAGE(OFFSET($R$3,0,0,'Données projet'!$E$9+1,1))-AVERAGE(OFFSET($H$3,0,0,'Données projet'!$E$9+1,1))</f>
        <v>409.45931633551902</v>
      </c>
      <c r="T133" s="62">
        <f t="shared" ref="T133:T196" si="142">$T$3</f>
        <v>375.18886653687389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0.73157081147592851</v>
      </c>
      <c r="AA133" s="23">
        <f>EXP(-LN(2)/25)*AA132+(1-EXP(-LN(2)/25))/(LN(2)/25)*Calculateur!V133*Calculateur!X133*VLOOKUP('Données projet'!$B$9,Paramètres!$A$1:$I$89,3,0)*0.475*44/12</f>
        <v>1.2072184619079227</v>
      </c>
      <c r="AB133" s="23">
        <f>EXP(-LN(2)/2)*AB132+(1-EXP(-LN(2)/2))/(LN(2)/2)*V133*Y133*VLOOKUP('Données projet'!$B$9,Paramètres!$A$1:$I$89,3,0)*0.475*44/12</f>
        <v>1.0303834867753988E-14</v>
      </c>
      <c r="AC133" s="24">
        <f t="shared" si="111"/>
        <v>1.9387892733838614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5.6843418860808015E-14</v>
      </c>
      <c r="AJ133" s="14">
        <f>AI133*VLOOKUP('Données projet'!$B$10,Paramètres!$A$1:$I$89,3,0)*VLOOKUP('Données projet'!$B$10,Paramètres!$A$1:$I$89,5,0)</f>
        <v>3.3992364478763198E-14</v>
      </c>
      <c r="AK133" s="14">
        <f t="shared" ref="AK133:AK153" si="143">EXP(-1.0587+0.8836*LN(AJ133)+0.284)</f>
        <v>5.790027782444094E-13</v>
      </c>
      <c r="AL133" s="22">
        <f t="shared" si="112"/>
        <v>1.0676332069095257E-12</v>
      </c>
      <c r="AM133" s="62">
        <f t="shared" si="113"/>
        <v>283.91028339343319</v>
      </c>
      <c r="AN133" s="62">
        <f ca="1">AVERAGE(OFFSET($AM$3,0,0,'Données projet'!$E$10+1,1))-AVERAGE(OFFSET($H$3,0,0,'Données projet'!$E$10+1,1))</f>
        <v>212.90262675152454</v>
      </c>
      <c r="AO133" s="62">
        <f t="shared" ref="AO133:AO196" si="144">$AO$3</f>
        <v>366.51899340890498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15.097029410712816</v>
      </c>
      <c r="AV133" s="23">
        <f>EXP(-LN(2)/25)*AV132+(1-EXP(-LN(2)/25))/(LN(2)/25)*Calculateur!AQ133*Calculateur!AS133*VLOOKUP('Données projet'!$B$10,Paramètres!$A$1:$I$89,3,0)*0.475*44/12</f>
        <v>0.20894234749623511</v>
      </c>
      <c r="AW133" s="23">
        <f>EXP(-LN(2)/2)*AW132+(1-EXP(-LN(2)/2))/(LN(2)/2)*AQ133*AT133*VLOOKUP('Données projet'!$B$10,Paramètres!$A$1:$I$89,3,0)*0.475*44/12</f>
        <v>9.7834508378106438E-13</v>
      </c>
      <c r="AX133" s="23">
        <f t="shared" si="114"/>
        <v>15.305971758210029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5.6843418860808015E-14</v>
      </c>
      <c r="BE133" s="14">
        <f>BD133*VLOOKUP('Données projet'!$B$11,Paramètres!$A$1:$I$89,3,0)*VLOOKUP('Données projet'!$B$11,Paramètres!$A$1:$I$89,5,0)</f>
        <v>4.9658410716801891E-14</v>
      </c>
      <c r="BF133" s="14">
        <f t="shared" ref="BF133:BF153" si="145">EXP(-1.0587+0.8836*LN(BE133)+0.284)</f>
        <v>8.0934058173791862E-13</v>
      </c>
      <c r="BG133" s="22">
        <f t="shared" si="115"/>
        <v>1.4960899118586383E-12</v>
      </c>
      <c r="BH133" s="62">
        <f t="shared" si="116"/>
        <v>283.91028339343359</v>
      </c>
      <c r="BI133" s="62">
        <f ca="1">AVERAGE(OFFSET($BH$3,0,0,'Données projet'!$E$11+1,1))-AVERAGE(OFFSET($H$3,0,0,'Données projet'!$E$11+1,1))</f>
        <v>342.02279578180605</v>
      </c>
      <c r="BJ133" s="62">
        <f t="shared" ref="BJ133:BJ196" si="146">$BJ$3</f>
        <v>409.02379334777754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317.99999999999972</v>
      </c>
      <c r="BZ133" s="14">
        <f>BY133*VLOOKUP('Données projet'!$B$12,Paramètres!$A$1:$I$89,3,0)*VLOOKUP('Données projet'!$B$12,Paramètres!$A$1:$I$89,5,0)</f>
        <v>253.0007999999998</v>
      </c>
      <c r="CA133" s="14">
        <f t="shared" ref="CA133:CA153" si="147">EXP(-1.0587+0.8836*LN(BZ133)+0.284)</f>
        <v>61.228070105968683</v>
      </c>
      <c r="CB133" s="22">
        <f t="shared" si="118"/>
        <v>547.28194876789507</v>
      </c>
      <c r="CC133" s="62">
        <f t="shared" si="119"/>
        <v>831.19223216132718</v>
      </c>
      <c r="CD133" s="62">
        <f ca="1">AVERAGE(OFFSET($CC$3,0,0,'Données projet'!$E$12+1,1))-AVERAGE(OFFSET($H$3,0,0,'Données projet'!$E$12+1,1))</f>
        <v>376.47942810265266</v>
      </c>
      <c r="CE133" s="62">
        <f t="shared" ref="CE133:CE196" si="148">$CE$3</f>
        <v>362.87951024071265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2.3109915078846708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2.3109915078846708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317.99999999999972</v>
      </c>
      <c r="CU133" s="18">
        <f>CT133*VLOOKUP('Données projet'!$B$13,Paramètres!$A$1:$I$89,3,0)*VLOOKUP('Données projet'!$B$13,Paramètres!$A$1:$I$89,5,0)</f>
        <v>233.1575999999998</v>
      </c>
      <c r="CV133" s="14">
        <f t="shared" ref="CV133:CV153" si="149">EXP(-1.0587+0.8836*LN(CU133)+0.284)</f>
        <v>56.964885721091697</v>
      </c>
      <c r="CW133" s="22">
        <f t="shared" si="121"/>
        <v>505.29666263090093</v>
      </c>
      <c r="CX133" s="62">
        <f t="shared" si="122"/>
        <v>789.20694602433309</v>
      </c>
      <c r="CY133" s="62">
        <f ca="1">AVERAGE(OFFSET($CX$3,0,0,'Données projet'!$E$13+1,1))-AVERAGE(OFFSET($H$3,0,0,'Données projet'!$E$13+1,1))</f>
        <v>351.7223836693733</v>
      </c>
      <c r="CZ133" s="62">
        <f t="shared" ref="CZ133:CZ196" si="150">$CZ$3</f>
        <v>339.34942976598518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1.7279000508453262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1.7279000508453262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183.33333333333334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6.3550942286383367E-14</v>
      </c>
      <c r="P134" s="14">
        <f t="shared" si="141"/>
        <v>1.0064464192543978E-12</v>
      </c>
      <c r="Q134" s="22">
        <f t="shared" si="108"/>
        <v>1.8635787380168604E-12</v>
      </c>
      <c r="R134" s="62">
        <f t="shared" si="109"/>
        <v>284.07375224310761</v>
      </c>
      <c r="S134" s="62">
        <f ca="1">AVERAGE(OFFSET($R$3,0,0,'Données projet'!$E$9+1,1))-AVERAGE(OFFSET($H$3,0,0,'Données projet'!$E$9+1,1))</f>
        <v>409.45931633551902</v>
      </c>
      <c r="T134" s="62">
        <f t="shared" si="142"/>
        <v>375.18886653687389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0.71722515407702059</v>
      </c>
      <c r="AA134" s="23">
        <f>EXP(-LN(2)/25)*AA133+(1-EXP(-LN(2)/25))/(LN(2)/25)*Calculateur!V134*Calculateur!X134*VLOOKUP('Données projet'!$B$9,Paramètres!$A$1:$I$89,3,0)*0.475*44/12</f>
        <v>1.1742070095821908</v>
      </c>
      <c r="AB134" s="23">
        <f>EXP(-LN(2)/2)*AB133+(1-EXP(-LN(2)/2))/(LN(2)/2)*V134*Y134*VLOOKUP('Données projet'!$B$9,Paramètres!$A$1:$I$89,3,0)*0.475*44/12</f>
        <v>7.285911507215238E-15</v>
      </c>
      <c r="AC134" s="24">
        <f t="shared" si="111"/>
        <v>1.8914321636592188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5.6843418860808015E-14</v>
      </c>
      <c r="AJ134" s="14">
        <f>AI134*VLOOKUP('Données projet'!$B$10,Paramètres!$A$1:$I$89,3,0)*VLOOKUP('Données projet'!$B$10,Paramètres!$A$1:$I$89,5,0)</f>
        <v>3.3992364478763198E-14</v>
      </c>
      <c r="AK134" s="14">
        <f t="shared" si="143"/>
        <v>5.790027782444094E-13</v>
      </c>
      <c r="AL134" s="22">
        <f t="shared" si="112"/>
        <v>1.0676332069095257E-12</v>
      </c>
      <c r="AM134" s="62">
        <f t="shared" si="113"/>
        <v>284.07375224310681</v>
      </c>
      <c r="AN134" s="62">
        <f ca="1">AVERAGE(OFFSET($AM$3,0,0,'Données projet'!$E$10+1,1))-AVERAGE(OFFSET($H$3,0,0,'Données projet'!$E$10+1,1))</f>
        <v>212.90262675152454</v>
      </c>
      <c r="AO134" s="62">
        <f t="shared" si="144"/>
        <v>366.51899340890498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14.800985872247436</v>
      </c>
      <c r="AV134" s="23">
        <f>EXP(-LN(2)/25)*AV133+(1-EXP(-LN(2)/25))/(LN(2)/25)*Calculateur!AQ134*Calculateur!AS134*VLOOKUP('Données projet'!$B$10,Paramètres!$A$1:$I$89,3,0)*0.475*44/12</f>
        <v>0.20322880801615004</v>
      </c>
      <c r="AW134" s="23">
        <f>EXP(-LN(2)/2)*AW133+(1-EXP(-LN(2)/2))/(LN(2)/2)*AQ134*AT134*VLOOKUP('Données projet'!$B$10,Paramètres!$A$1:$I$89,3,0)*0.475*44/12</f>
        <v>6.917944430821116E-13</v>
      </c>
      <c r="AX134" s="23">
        <f t="shared" si="114"/>
        <v>15.004214680264276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5.6843418860808015E-14</v>
      </c>
      <c r="BE134" s="14">
        <f>BD134*VLOOKUP('Données projet'!$B$11,Paramètres!$A$1:$I$89,3,0)*VLOOKUP('Données projet'!$B$11,Paramètres!$A$1:$I$89,5,0)</f>
        <v>4.9658410716801891E-14</v>
      </c>
      <c r="BF134" s="14">
        <f t="shared" si="145"/>
        <v>8.0934058173791862E-13</v>
      </c>
      <c r="BG134" s="22">
        <f t="shared" si="115"/>
        <v>1.4960899118586383E-12</v>
      </c>
      <c r="BH134" s="62">
        <f t="shared" si="116"/>
        <v>284.07375224310721</v>
      </c>
      <c r="BI134" s="62">
        <f ca="1">AVERAGE(OFFSET($BH$3,0,0,'Données projet'!$E$11+1,1))-AVERAGE(OFFSET($H$3,0,0,'Données projet'!$E$11+1,1))</f>
        <v>342.02279578180605</v>
      </c>
      <c r="BJ134" s="62">
        <f t="shared" si="146"/>
        <v>409.02379334777754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317.99999999999972</v>
      </c>
      <c r="BZ134" s="14">
        <f>BY134*VLOOKUP('Données projet'!$B$12,Paramètres!$A$1:$I$89,3,0)*VLOOKUP('Données projet'!$B$12,Paramètres!$A$1:$I$89,5,0)</f>
        <v>253.0007999999998</v>
      </c>
      <c r="CA134" s="14">
        <f t="shared" si="147"/>
        <v>61.228070105968683</v>
      </c>
      <c r="CB134" s="22">
        <f t="shared" si="118"/>
        <v>547.28194876789507</v>
      </c>
      <c r="CC134" s="62">
        <f t="shared" si="119"/>
        <v>831.35570101100075</v>
      </c>
      <c r="CD134" s="62">
        <f ca="1">AVERAGE(OFFSET($CC$3,0,0,'Données projet'!$E$12+1,1))-AVERAGE(OFFSET($H$3,0,0,'Données projet'!$E$12+1,1))</f>
        <v>376.47942810265266</v>
      </c>
      <c r="CE134" s="62">
        <f t="shared" si="148"/>
        <v>362.87951024071265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2.2656743739806893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2.2656743739806893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317.99999999999972</v>
      </c>
      <c r="CU134" s="18">
        <f>CT134*VLOOKUP('Données projet'!$B$13,Paramètres!$A$1:$I$89,3,0)*VLOOKUP('Données projet'!$B$13,Paramètres!$A$1:$I$89,5,0)</f>
        <v>233.1575999999998</v>
      </c>
      <c r="CV134" s="14">
        <f t="shared" si="149"/>
        <v>56.964885721091697</v>
      </c>
      <c r="CW134" s="22">
        <f t="shared" si="121"/>
        <v>505.29666263090093</v>
      </c>
      <c r="CX134" s="62">
        <f t="shared" si="122"/>
        <v>789.37041487400666</v>
      </c>
      <c r="CY134" s="62">
        <f ca="1">AVERAGE(OFFSET($CX$3,0,0,'Données projet'!$E$13+1,1))-AVERAGE(OFFSET($H$3,0,0,'Données projet'!$E$13+1,1))</f>
        <v>351.7223836693733</v>
      </c>
      <c r="CZ134" s="62">
        <f t="shared" si="150"/>
        <v>339.34942976598518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1.6940169847632149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1.6940169847632149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183.33333333333334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6.3550942286383367E-14</v>
      </c>
      <c r="P135" s="14">
        <f t="shared" si="141"/>
        <v>1.0064464192543978E-12</v>
      </c>
      <c r="Q135" s="22">
        <f t="shared" si="108"/>
        <v>1.8635787380168604E-12</v>
      </c>
      <c r="R135" s="62">
        <f t="shared" si="109"/>
        <v>284.23438527370104</v>
      </c>
      <c r="S135" s="62">
        <f ca="1">AVERAGE(OFFSET($R$3,0,0,'Données projet'!$E$9+1,1))-AVERAGE(OFFSET($H$3,0,0,'Données projet'!$E$9+1,1))</f>
        <v>409.45931633551902</v>
      </c>
      <c r="T135" s="62">
        <f t="shared" si="142"/>
        <v>375.18886653687389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0.70316080626971822</v>
      </c>
      <c r="AA135" s="23">
        <f>EXP(-LN(2)/25)*AA134+(1-EXP(-LN(2)/25))/(LN(2)/25)*Calculateur!V135*Calculateur!X135*VLOOKUP('Données projet'!$B$9,Paramètres!$A$1:$I$89,3,0)*0.475*44/12</f>
        <v>1.1420982571563028</v>
      </c>
      <c r="AB135" s="23">
        <f>EXP(-LN(2)/2)*AB134+(1-EXP(-LN(2)/2))/(LN(2)/2)*V135*Y135*VLOOKUP('Données projet'!$B$9,Paramètres!$A$1:$I$89,3,0)*0.475*44/12</f>
        <v>5.1519174338769942E-15</v>
      </c>
      <c r="AC135" s="24">
        <f t="shared" si="111"/>
        <v>1.845259063426026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5.6843418860808015E-14</v>
      </c>
      <c r="AJ135" s="14">
        <f>AI135*VLOOKUP('Données projet'!$B$10,Paramètres!$A$1:$I$89,3,0)*VLOOKUP('Données projet'!$B$10,Paramètres!$A$1:$I$89,5,0)</f>
        <v>3.3992364478763198E-14</v>
      </c>
      <c r="AK135" s="14">
        <f t="shared" si="143"/>
        <v>5.790027782444094E-13</v>
      </c>
      <c r="AL135" s="22">
        <f t="shared" si="112"/>
        <v>1.0676332069095257E-12</v>
      </c>
      <c r="AM135" s="62">
        <f t="shared" si="113"/>
        <v>284.23438527370024</v>
      </c>
      <c r="AN135" s="62">
        <f ca="1">AVERAGE(OFFSET($AM$3,0,0,'Données projet'!$E$10+1,1))-AVERAGE(OFFSET($H$3,0,0,'Données projet'!$E$10+1,1))</f>
        <v>212.90262675152454</v>
      </c>
      <c r="AO135" s="62">
        <f t="shared" si="144"/>
        <v>366.51899340890498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14.510747567002634</v>
      </c>
      <c r="AV135" s="23">
        <f>EXP(-LN(2)/25)*AV134+(1-EXP(-LN(2)/25))/(LN(2)/25)*Calculateur!AQ135*Calculateur!AS135*VLOOKUP('Données projet'!$B$10,Paramètres!$A$1:$I$89,3,0)*0.475*44/12</f>
        <v>0.19767150557360988</v>
      </c>
      <c r="AW135" s="23">
        <f>EXP(-LN(2)/2)*AW134+(1-EXP(-LN(2)/2))/(LN(2)/2)*AQ135*AT135*VLOOKUP('Données projet'!$B$10,Paramètres!$A$1:$I$89,3,0)*0.475*44/12</f>
        <v>4.8917254189053219E-13</v>
      </c>
      <c r="AX135" s="23">
        <f t="shared" si="114"/>
        <v>14.708419072576731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5.6843418860808015E-14</v>
      </c>
      <c r="BE135" s="14">
        <f>BD135*VLOOKUP('Données projet'!$B$11,Paramètres!$A$1:$I$89,3,0)*VLOOKUP('Données projet'!$B$11,Paramètres!$A$1:$I$89,5,0)</f>
        <v>4.9658410716801891E-14</v>
      </c>
      <c r="BF135" s="14">
        <f t="shared" si="145"/>
        <v>8.0934058173791862E-13</v>
      </c>
      <c r="BG135" s="22">
        <f t="shared" si="115"/>
        <v>1.4960899118586383E-12</v>
      </c>
      <c r="BH135" s="62">
        <f t="shared" si="116"/>
        <v>284.23438527370064</v>
      </c>
      <c r="BI135" s="62">
        <f ca="1">AVERAGE(OFFSET($BH$3,0,0,'Données projet'!$E$11+1,1))-AVERAGE(OFFSET($H$3,0,0,'Données projet'!$E$11+1,1))</f>
        <v>342.02279578180605</v>
      </c>
      <c r="BJ135" s="62">
        <f t="shared" si="146"/>
        <v>409.02379334777754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317.99999999999972</v>
      </c>
      <c r="BZ135" s="14">
        <f>BY135*VLOOKUP('Données projet'!$B$12,Paramètres!$A$1:$I$89,3,0)*VLOOKUP('Données projet'!$B$12,Paramètres!$A$1:$I$89,5,0)</f>
        <v>253.0007999999998</v>
      </c>
      <c r="CA135" s="14">
        <f t="shared" si="147"/>
        <v>61.228070105968683</v>
      </c>
      <c r="CB135" s="22">
        <f t="shared" si="118"/>
        <v>547.28194876789507</v>
      </c>
      <c r="CC135" s="62">
        <f t="shared" si="119"/>
        <v>831.51633404159429</v>
      </c>
      <c r="CD135" s="62">
        <f ca="1">AVERAGE(OFFSET($CC$3,0,0,'Données projet'!$E$12+1,1))-AVERAGE(OFFSET($H$3,0,0,'Données projet'!$E$12+1,1))</f>
        <v>376.47942810265266</v>
      </c>
      <c r="CE135" s="62">
        <f t="shared" si="148"/>
        <v>362.87951024071265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2.2212458814318423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2.2212458814318423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317.99999999999972</v>
      </c>
      <c r="CU135" s="18">
        <f>CT135*VLOOKUP('Données projet'!$B$13,Paramètres!$A$1:$I$89,3,0)*VLOOKUP('Données projet'!$B$13,Paramètres!$A$1:$I$89,5,0)</f>
        <v>233.1575999999998</v>
      </c>
      <c r="CV135" s="14">
        <f t="shared" si="149"/>
        <v>56.964885721091697</v>
      </c>
      <c r="CW135" s="22">
        <f t="shared" si="121"/>
        <v>505.29666263090093</v>
      </c>
      <c r="CX135" s="62">
        <f t="shared" si="122"/>
        <v>789.53104790460009</v>
      </c>
      <c r="CY135" s="62">
        <f ca="1">AVERAGE(OFFSET($CX$3,0,0,'Données projet'!$E$13+1,1))-AVERAGE(OFFSET($H$3,0,0,'Données projet'!$E$13+1,1))</f>
        <v>351.7223836693733</v>
      </c>
      <c r="CZ135" s="62">
        <f t="shared" si="150"/>
        <v>339.34942976598518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1.6607983449403443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1.6607983449403443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183.33333333333334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6.3550942286383367E-14</v>
      </c>
      <c r="P136" s="14">
        <f t="shared" si="141"/>
        <v>1.0064464192543978E-12</v>
      </c>
      <c r="Q136" s="22">
        <f t="shared" si="108"/>
        <v>1.8635787380168604E-12</v>
      </c>
      <c r="R136" s="62">
        <f t="shared" si="109"/>
        <v>284.39223168033527</v>
      </c>
      <c r="S136" s="62">
        <f ca="1">AVERAGE(OFFSET($R$3,0,0,'Données projet'!$E$9+1,1))-AVERAGE(OFFSET($H$3,0,0,'Données projet'!$E$9+1,1))</f>
        <v>409.45931633551902</v>
      </c>
      <c r="T136" s="62">
        <f t="shared" si="142"/>
        <v>375.18886653687389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0.68937225174451189</v>
      </c>
      <c r="AA136" s="23">
        <f>EXP(-LN(2)/25)*AA135+(1-EXP(-LN(2)/25))/(LN(2)/25)*Calculateur!V136*Calculateur!X136*VLOOKUP('Données projet'!$B$9,Paramètres!$A$1:$I$89,3,0)*0.475*44/12</f>
        <v>1.1108675202540266</v>
      </c>
      <c r="AB136" s="23">
        <f>EXP(-LN(2)/2)*AB135+(1-EXP(-LN(2)/2))/(LN(2)/2)*V136*Y136*VLOOKUP('Données projet'!$B$9,Paramètres!$A$1:$I$89,3,0)*0.475*44/12</f>
        <v>3.642955753607619E-15</v>
      </c>
      <c r="AC136" s="24">
        <f t="shared" si="111"/>
        <v>1.8002397719985419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5.6843418860808015E-14</v>
      </c>
      <c r="AJ136" s="14">
        <f>AI136*VLOOKUP('Données projet'!$B$10,Paramètres!$A$1:$I$89,3,0)*VLOOKUP('Données projet'!$B$10,Paramètres!$A$1:$I$89,5,0)</f>
        <v>3.3992364478763198E-14</v>
      </c>
      <c r="AK136" s="14">
        <f t="shared" si="143"/>
        <v>5.790027782444094E-13</v>
      </c>
      <c r="AL136" s="22">
        <f t="shared" si="112"/>
        <v>1.0676332069095257E-12</v>
      </c>
      <c r="AM136" s="62">
        <f t="shared" si="113"/>
        <v>284.39223168033448</v>
      </c>
      <c r="AN136" s="62">
        <f ca="1">AVERAGE(OFFSET($AM$3,0,0,'Données projet'!$E$10+1,1))-AVERAGE(OFFSET($H$3,0,0,'Données projet'!$E$10+1,1))</f>
        <v>212.90262675152454</v>
      </c>
      <c r="AO136" s="62">
        <f t="shared" si="144"/>
        <v>366.51899340890498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14.226200657895795</v>
      </c>
      <c r="AV136" s="23">
        <f>EXP(-LN(2)/25)*AV135+(1-EXP(-LN(2)/25))/(LN(2)/25)*Calculateur!AQ136*Calculateur!AS136*VLOOKUP('Données projet'!$B$10,Paramètres!$A$1:$I$89,3,0)*0.475*44/12</f>
        <v>0.19226616785860681</v>
      </c>
      <c r="AW136" s="23">
        <f>EXP(-LN(2)/2)*AW135+(1-EXP(-LN(2)/2))/(LN(2)/2)*AQ136*AT136*VLOOKUP('Données projet'!$B$10,Paramètres!$A$1:$I$89,3,0)*0.475*44/12</f>
        <v>3.458972215410558E-13</v>
      </c>
      <c r="AX136" s="23">
        <f t="shared" si="114"/>
        <v>14.418466825754749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5.6843418860808015E-14</v>
      </c>
      <c r="BE136" s="14">
        <f>BD136*VLOOKUP('Données projet'!$B$11,Paramètres!$A$1:$I$89,3,0)*VLOOKUP('Données projet'!$B$11,Paramètres!$A$1:$I$89,5,0)</f>
        <v>4.9658410716801891E-14</v>
      </c>
      <c r="BF136" s="14">
        <f t="shared" si="145"/>
        <v>8.0934058173791862E-13</v>
      </c>
      <c r="BG136" s="22">
        <f t="shared" si="115"/>
        <v>1.4960899118586383E-12</v>
      </c>
      <c r="BH136" s="62">
        <f t="shared" si="116"/>
        <v>284.39223168033487</v>
      </c>
      <c r="BI136" s="62">
        <f ca="1">AVERAGE(OFFSET($BH$3,0,0,'Données projet'!$E$11+1,1))-AVERAGE(OFFSET($H$3,0,0,'Données projet'!$E$11+1,1))</f>
        <v>342.02279578180605</v>
      </c>
      <c r="BJ136" s="62">
        <f t="shared" si="146"/>
        <v>409.02379334777754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317.99999999999972</v>
      </c>
      <c r="BZ136" s="14">
        <f>BY136*VLOOKUP('Données projet'!$B$12,Paramètres!$A$1:$I$89,3,0)*VLOOKUP('Données projet'!$B$12,Paramètres!$A$1:$I$89,5,0)</f>
        <v>253.0007999999998</v>
      </c>
      <c r="CA136" s="14">
        <f t="shared" si="147"/>
        <v>61.228070105968683</v>
      </c>
      <c r="CB136" s="22">
        <f t="shared" si="118"/>
        <v>547.28194876789507</v>
      </c>
      <c r="CC136" s="62">
        <f t="shared" si="119"/>
        <v>831.67418044822853</v>
      </c>
      <c r="CD136" s="62">
        <f ca="1">AVERAGE(OFFSET($CC$3,0,0,'Données projet'!$E$12+1,1))-AVERAGE(OFFSET($H$3,0,0,'Données projet'!$E$12+1,1))</f>
        <v>376.47942810265266</v>
      </c>
      <c r="CE136" s="62">
        <f t="shared" si="148"/>
        <v>362.87951024071265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2.1776886045231736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2.1776886045231736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317.99999999999972</v>
      </c>
      <c r="CU136" s="18">
        <f>CT136*VLOOKUP('Données projet'!$B$13,Paramètres!$A$1:$I$89,3,0)*VLOOKUP('Données projet'!$B$13,Paramètres!$A$1:$I$89,5,0)</f>
        <v>233.1575999999998</v>
      </c>
      <c r="CV136" s="14">
        <f t="shared" si="149"/>
        <v>56.964885721091697</v>
      </c>
      <c r="CW136" s="22">
        <f t="shared" si="121"/>
        <v>505.29666263090093</v>
      </c>
      <c r="CX136" s="62">
        <f t="shared" si="122"/>
        <v>789.68889431123432</v>
      </c>
      <c r="CY136" s="62">
        <f ca="1">AVERAGE(OFFSET($CX$3,0,0,'Données projet'!$E$13+1,1))-AVERAGE(OFFSET($H$3,0,0,'Données projet'!$E$13+1,1))</f>
        <v>351.7223836693733</v>
      </c>
      <c r="CZ136" s="62">
        <f t="shared" si="150"/>
        <v>339.34942976598518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1.6282311023830305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1.6282311023830305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183.33333333333334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6.3550942286383367E-14</v>
      </c>
      <c r="P137" s="14">
        <f t="shared" si="141"/>
        <v>1.0064464192543978E-12</v>
      </c>
      <c r="Q137" s="22">
        <f t="shared" si="108"/>
        <v>1.8635787380168604E-12</v>
      </c>
      <c r="R137" s="62">
        <f t="shared" si="109"/>
        <v>284.54733980470616</v>
      </c>
      <c r="S137" s="62">
        <f ca="1">AVERAGE(OFFSET($R$3,0,0,'Données projet'!$E$9+1,1))-AVERAGE(OFFSET($H$3,0,0,'Données projet'!$E$9+1,1))</f>
        <v>409.45931633551902</v>
      </c>
      <c r="T137" s="62">
        <f t="shared" si="142"/>
        <v>375.18886653687389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0.67585408236335709</v>
      </c>
      <c r="AA137" s="23">
        <f>EXP(-LN(2)/25)*AA136+(1-EXP(-LN(2)/25))/(LN(2)/25)*Calculateur!V137*Calculateur!X137*VLOOKUP('Données projet'!$B$9,Paramètres!$A$1:$I$89,3,0)*0.475*44/12</f>
        <v>1.0804907894946962</v>
      </c>
      <c r="AB137" s="23">
        <f>EXP(-LN(2)/2)*AB136+(1-EXP(-LN(2)/2))/(LN(2)/2)*V137*Y137*VLOOKUP('Données projet'!$B$9,Paramètres!$A$1:$I$89,3,0)*0.475*44/12</f>
        <v>2.5759587169384971E-15</v>
      </c>
      <c r="AC137" s="24">
        <f t="shared" si="111"/>
        <v>1.7563448718580559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5.6843418860808015E-14</v>
      </c>
      <c r="AJ137" s="14">
        <f>AI137*VLOOKUP('Données projet'!$B$10,Paramètres!$A$1:$I$89,3,0)*VLOOKUP('Données projet'!$B$10,Paramètres!$A$1:$I$89,5,0)</f>
        <v>3.3992364478763198E-14</v>
      </c>
      <c r="AK137" s="14">
        <f t="shared" si="143"/>
        <v>5.790027782444094E-13</v>
      </c>
      <c r="AL137" s="22">
        <f t="shared" si="112"/>
        <v>1.0676332069095257E-12</v>
      </c>
      <c r="AM137" s="62">
        <f t="shared" si="113"/>
        <v>284.54733980470536</v>
      </c>
      <c r="AN137" s="62">
        <f ca="1">AVERAGE(OFFSET($AM$3,0,0,'Données projet'!$E$10+1,1))-AVERAGE(OFFSET($H$3,0,0,'Données projet'!$E$10+1,1))</f>
        <v>212.90262675152454</v>
      </c>
      <c r="AO137" s="62">
        <f t="shared" si="144"/>
        <v>366.51899340890498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13.947233540120065</v>
      </c>
      <c r="AV137" s="23">
        <f>EXP(-LN(2)/25)*AV136+(1-EXP(-LN(2)/25))/(LN(2)/25)*Calculateur!AQ137*Calculateur!AS137*VLOOKUP('Données projet'!$B$10,Paramètres!$A$1:$I$89,3,0)*0.475*44/12</f>
        <v>0.18700863938767487</v>
      </c>
      <c r="AW137" s="23">
        <f>EXP(-LN(2)/2)*AW136+(1-EXP(-LN(2)/2))/(LN(2)/2)*AQ137*AT137*VLOOKUP('Données projet'!$B$10,Paramètres!$A$1:$I$89,3,0)*0.475*44/12</f>
        <v>2.445862709452661E-13</v>
      </c>
      <c r="AX137" s="23">
        <f t="shared" si="114"/>
        <v>14.134242179507986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5.6843418860808015E-14</v>
      </c>
      <c r="BE137" s="14">
        <f>BD137*VLOOKUP('Données projet'!$B$11,Paramètres!$A$1:$I$89,3,0)*VLOOKUP('Données projet'!$B$11,Paramètres!$A$1:$I$89,5,0)</f>
        <v>4.9658410716801891E-14</v>
      </c>
      <c r="BF137" s="14">
        <f t="shared" si="145"/>
        <v>8.0934058173791862E-13</v>
      </c>
      <c r="BG137" s="22">
        <f t="shared" si="115"/>
        <v>1.4960899118586383E-12</v>
      </c>
      <c r="BH137" s="62">
        <f t="shared" si="116"/>
        <v>284.54733980470576</v>
      </c>
      <c r="BI137" s="62">
        <f ca="1">AVERAGE(OFFSET($BH$3,0,0,'Données projet'!$E$11+1,1))-AVERAGE(OFFSET($H$3,0,0,'Données projet'!$E$11+1,1))</f>
        <v>342.02279578180605</v>
      </c>
      <c r="BJ137" s="62">
        <f t="shared" si="146"/>
        <v>409.02379334777754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317.99999999999972</v>
      </c>
      <c r="BZ137" s="14">
        <f>BY137*VLOOKUP('Données projet'!$B$12,Paramètres!$A$1:$I$89,3,0)*VLOOKUP('Données projet'!$B$12,Paramètres!$A$1:$I$89,5,0)</f>
        <v>253.0007999999998</v>
      </c>
      <c r="CA137" s="14">
        <f t="shared" si="147"/>
        <v>61.228070105968683</v>
      </c>
      <c r="CB137" s="22">
        <f t="shared" si="118"/>
        <v>547.28194876789507</v>
      </c>
      <c r="CC137" s="62">
        <f t="shared" si="119"/>
        <v>831.82928857259935</v>
      </c>
      <c r="CD137" s="62">
        <f ca="1">AVERAGE(OFFSET($CC$3,0,0,'Données projet'!$E$12+1,1))-AVERAGE(OFFSET($H$3,0,0,'Données projet'!$E$12+1,1))</f>
        <v>376.47942810265266</v>
      </c>
      <c r="CE137" s="62">
        <f t="shared" si="148"/>
        <v>362.87951024071265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2.134985459247368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2.134985459247368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317.99999999999972</v>
      </c>
      <c r="CU137" s="18">
        <f>CT137*VLOOKUP('Données projet'!$B$13,Paramètres!$A$1:$I$89,3,0)*VLOOKUP('Données projet'!$B$13,Paramètres!$A$1:$I$89,5,0)</f>
        <v>233.1575999999998</v>
      </c>
      <c r="CV137" s="14">
        <f t="shared" si="149"/>
        <v>56.964885721091697</v>
      </c>
      <c r="CW137" s="22">
        <f t="shared" si="121"/>
        <v>505.29666263090093</v>
      </c>
      <c r="CX137" s="62">
        <f t="shared" si="122"/>
        <v>789.84400243560526</v>
      </c>
      <c r="CY137" s="62">
        <f ca="1">AVERAGE(OFFSET($CX$3,0,0,'Données projet'!$E$13+1,1))-AVERAGE(OFFSET($H$3,0,0,'Données projet'!$E$13+1,1))</f>
        <v>351.7223836693733</v>
      </c>
      <c r="CZ137" s="62">
        <f t="shared" si="150"/>
        <v>339.34942976598518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1.5963024835882089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1.5963024835882089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183.33333333333334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6.3550942286383367E-14</v>
      </c>
      <c r="P138" s="14">
        <f t="shared" si="141"/>
        <v>1.0064464192543978E-12</v>
      </c>
      <c r="Q138" s="22">
        <f t="shared" si="108"/>
        <v>1.8635787380168604E-12</v>
      </c>
      <c r="R138" s="62">
        <f t="shared" si="109"/>
        <v>284.69975714988902</v>
      </c>
      <c r="S138" s="62">
        <f ca="1">AVERAGE(OFFSET($R$3,0,0,'Données projet'!$E$9+1,1))-AVERAGE(OFFSET($H$3,0,0,'Données projet'!$E$9+1,1))</f>
        <v>409.45931633551902</v>
      </c>
      <c r="T138" s="62">
        <f t="shared" si="142"/>
        <v>375.18886653687389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0.66260099603849754</v>
      </c>
      <c r="AA138" s="23">
        <f>EXP(-LN(2)/25)*AA137+(1-EXP(-LN(2)/25))/(LN(2)/25)*Calculateur!V138*Calculateur!X138*VLOOKUP('Données projet'!$B$9,Paramètres!$A$1:$I$89,3,0)*0.475*44/12</f>
        <v>1.0509447120354227</v>
      </c>
      <c r="AB138" s="23">
        <f>EXP(-LN(2)/2)*AB137+(1-EXP(-LN(2)/2))/(LN(2)/2)*V138*Y138*VLOOKUP('Données projet'!$B$9,Paramètres!$A$1:$I$89,3,0)*0.475*44/12</f>
        <v>1.8214778768038095E-15</v>
      </c>
      <c r="AC138" s="24">
        <f t="shared" si="111"/>
        <v>1.713545708073922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5.6843418860808015E-14</v>
      </c>
      <c r="AJ138" s="14">
        <f>AI138*VLOOKUP('Données projet'!$B$10,Paramètres!$A$1:$I$89,3,0)*VLOOKUP('Données projet'!$B$10,Paramètres!$A$1:$I$89,5,0)</f>
        <v>3.3992364478763198E-14</v>
      </c>
      <c r="AK138" s="14">
        <f t="shared" si="143"/>
        <v>5.790027782444094E-13</v>
      </c>
      <c r="AL138" s="22">
        <f t="shared" si="112"/>
        <v>1.0676332069095257E-12</v>
      </c>
      <c r="AM138" s="62">
        <f t="shared" si="113"/>
        <v>284.69975714988823</v>
      </c>
      <c r="AN138" s="62">
        <f ca="1">AVERAGE(OFFSET($AM$3,0,0,'Données projet'!$E$10+1,1))-AVERAGE(OFFSET($H$3,0,0,'Données projet'!$E$10+1,1))</f>
        <v>212.90262675152454</v>
      </c>
      <c r="AO138" s="62">
        <f t="shared" si="144"/>
        <v>366.51899340890498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13.673736797370776</v>
      </c>
      <c r="AV138" s="23">
        <f>EXP(-LN(2)/25)*AV137+(1-EXP(-LN(2)/25))/(LN(2)/25)*Calculateur!AQ138*Calculateur!AS138*VLOOKUP('Données projet'!$B$10,Paramètres!$A$1:$I$89,3,0)*0.475*44/12</f>
        <v>0.18189487830926196</v>
      </c>
      <c r="AW138" s="23">
        <f>EXP(-LN(2)/2)*AW137+(1-EXP(-LN(2)/2))/(LN(2)/2)*AQ138*AT138*VLOOKUP('Données projet'!$B$10,Paramètres!$A$1:$I$89,3,0)*0.475*44/12</f>
        <v>1.729486107705279E-13</v>
      </c>
      <c r="AX138" s="23">
        <f t="shared" si="114"/>
        <v>13.855631675680209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5.6843418860808015E-14</v>
      </c>
      <c r="BE138" s="14">
        <f>BD138*VLOOKUP('Données projet'!$B$11,Paramètres!$A$1:$I$89,3,0)*VLOOKUP('Données projet'!$B$11,Paramètres!$A$1:$I$89,5,0)</f>
        <v>4.9658410716801891E-14</v>
      </c>
      <c r="BF138" s="14">
        <f t="shared" si="145"/>
        <v>8.0934058173791862E-13</v>
      </c>
      <c r="BG138" s="22">
        <f t="shared" si="115"/>
        <v>1.4960899118586383E-12</v>
      </c>
      <c r="BH138" s="62">
        <f t="shared" si="116"/>
        <v>284.69975714988863</v>
      </c>
      <c r="BI138" s="62">
        <f ca="1">AVERAGE(OFFSET($BH$3,0,0,'Données projet'!$E$11+1,1))-AVERAGE(OFFSET($H$3,0,0,'Données projet'!$E$11+1,1))</f>
        <v>342.02279578180605</v>
      </c>
      <c r="BJ138" s="62">
        <f t="shared" si="146"/>
        <v>409.02379334777754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317.99999999999972</v>
      </c>
      <c r="BZ138" s="14">
        <f>BY138*VLOOKUP('Données projet'!$B$12,Paramètres!$A$1:$I$89,3,0)*VLOOKUP('Données projet'!$B$12,Paramètres!$A$1:$I$89,5,0)</f>
        <v>253.0007999999998</v>
      </c>
      <c r="CA138" s="14">
        <f t="shared" si="147"/>
        <v>61.228070105968683</v>
      </c>
      <c r="CB138" s="22">
        <f t="shared" si="118"/>
        <v>547.28194876789507</v>
      </c>
      <c r="CC138" s="62">
        <f t="shared" si="119"/>
        <v>831.98170591778216</v>
      </c>
      <c r="CD138" s="62">
        <f ca="1">AVERAGE(OFFSET($CC$3,0,0,'Données projet'!$E$12+1,1))-AVERAGE(OFFSET($H$3,0,0,'Données projet'!$E$12+1,1))</f>
        <v>376.47942810265266</v>
      </c>
      <c r="CE138" s="62">
        <f t="shared" si="148"/>
        <v>362.87951024071265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2.0931196966040746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2.0931196966040746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317.99999999999972</v>
      </c>
      <c r="CU138" s="18">
        <f>CT138*VLOOKUP('Données projet'!$B$13,Paramètres!$A$1:$I$89,3,0)*VLOOKUP('Données projet'!$B$13,Paramètres!$A$1:$I$89,5,0)</f>
        <v>233.1575999999998</v>
      </c>
      <c r="CV138" s="14">
        <f t="shared" si="149"/>
        <v>56.964885721091697</v>
      </c>
      <c r="CW138" s="22">
        <f t="shared" si="121"/>
        <v>505.29666263090093</v>
      </c>
      <c r="CX138" s="62">
        <f t="shared" si="122"/>
        <v>789.99641978078807</v>
      </c>
      <c r="CY138" s="62">
        <f ca="1">AVERAGE(OFFSET($CX$3,0,0,'Données projet'!$E$13+1,1))-AVERAGE(OFFSET($H$3,0,0,'Données projet'!$E$13+1,1))</f>
        <v>351.7223836693733</v>
      </c>
      <c r="CZ138" s="62">
        <f t="shared" si="150"/>
        <v>339.34942976598518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1.5649999655334192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1.5649999655334192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183.33333333333334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6.3550942286383367E-14</v>
      </c>
      <c r="P139" s="14">
        <f t="shared" si="141"/>
        <v>1.0064464192543978E-12</v>
      </c>
      <c r="Q139" s="22">
        <f t="shared" si="108"/>
        <v>1.8635787380168604E-12</v>
      </c>
      <c r="R139" s="62">
        <f t="shared" si="109"/>
        <v>284.8495303948871</v>
      </c>
      <c r="S139" s="62">
        <f ca="1">AVERAGE(OFFSET($R$3,0,0,'Données projet'!$E$9+1,1))-AVERAGE(OFFSET($H$3,0,0,'Données projet'!$E$9+1,1))</f>
        <v>409.45931633551902</v>
      </c>
      <c r="T139" s="62">
        <f t="shared" si="142"/>
        <v>375.18886653687389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0.64960779465288399</v>
      </c>
      <c r="AA139" s="23">
        <f>EXP(-LN(2)/25)*AA138+(1-EXP(-LN(2)/25))/(LN(2)/25)*Calculateur!V139*Calculateur!X139*VLOOKUP('Données projet'!$B$9,Paramètres!$A$1:$I$89,3,0)*0.475*44/12</f>
        <v>1.0222065736180337</v>
      </c>
      <c r="AB139" s="23">
        <f>EXP(-LN(2)/2)*AB138+(1-EXP(-LN(2)/2))/(LN(2)/2)*V139*Y139*VLOOKUP('Données projet'!$B$9,Paramètres!$A$1:$I$89,3,0)*0.475*44/12</f>
        <v>1.2879793584692485E-15</v>
      </c>
      <c r="AC139" s="24">
        <f t="shared" si="111"/>
        <v>1.671814368270919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5.6843418860808015E-14</v>
      </c>
      <c r="AJ139" s="14">
        <f>AI139*VLOOKUP('Données projet'!$B$10,Paramètres!$A$1:$I$89,3,0)*VLOOKUP('Données projet'!$B$10,Paramètres!$A$1:$I$89,5,0)</f>
        <v>3.3992364478763198E-14</v>
      </c>
      <c r="AK139" s="14">
        <f t="shared" si="143"/>
        <v>5.790027782444094E-13</v>
      </c>
      <c r="AL139" s="22">
        <f t="shared" si="112"/>
        <v>1.0676332069095257E-12</v>
      </c>
      <c r="AM139" s="62">
        <f t="shared" si="113"/>
        <v>284.8495303948863</v>
      </c>
      <c r="AN139" s="62">
        <f ca="1">AVERAGE(OFFSET($AM$3,0,0,'Données projet'!$E$10+1,1))-AVERAGE(OFFSET($H$3,0,0,'Données projet'!$E$10+1,1))</f>
        <v>212.90262675152454</v>
      </c>
      <c r="AO139" s="62">
        <f t="shared" si="144"/>
        <v>366.51899340890498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13.405603158930258</v>
      </c>
      <c r="AV139" s="23">
        <f>EXP(-LN(2)/25)*AV138+(1-EXP(-LN(2)/25))/(LN(2)/25)*Calculateur!AQ139*Calculateur!AS139*VLOOKUP('Données projet'!$B$10,Paramètres!$A$1:$I$89,3,0)*0.475*44/12</f>
        <v>0.17692095329645927</v>
      </c>
      <c r="AW139" s="23">
        <f>EXP(-LN(2)/2)*AW138+(1-EXP(-LN(2)/2))/(LN(2)/2)*AQ139*AT139*VLOOKUP('Données projet'!$B$10,Paramètres!$A$1:$I$89,3,0)*0.475*44/12</f>
        <v>1.2229313547263305E-13</v>
      </c>
      <c r="AX139" s="23">
        <f t="shared" si="114"/>
        <v>13.582524112226841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5.6843418860808015E-14</v>
      </c>
      <c r="BE139" s="14">
        <f>BD139*VLOOKUP('Données projet'!$B$11,Paramètres!$A$1:$I$89,3,0)*VLOOKUP('Données projet'!$B$11,Paramètres!$A$1:$I$89,5,0)</f>
        <v>4.9658410716801891E-14</v>
      </c>
      <c r="BF139" s="14">
        <f t="shared" si="145"/>
        <v>8.0934058173791862E-13</v>
      </c>
      <c r="BG139" s="22">
        <f t="shared" si="115"/>
        <v>1.4960899118586383E-12</v>
      </c>
      <c r="BH139" s="62">
        <f t="shared" si="116"/>
        <v>284.8495303948867</v>
      </c>
      <c r="BI139" s="62">
        <f ca="1">AVERAGE(OFFSET($BH$3,0,0,'Données projet'!$E$11+1,1))-AVERAGE(OFFSET($H$3,0,0,'Données projet'!$E$11+1,1))</f>
        <v>342.02279578180605</v>
      </c>
      <c r="BJ139" s="62">
        <f t="shared" si="146"/>
        <v>409.02379334777754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317.99999999999972</v>
      </c>
      <c r="BZ139" s="14">
        <f>BY139*VLOOKUP('Données projet'!$B$12,Paramètres!$A$1:$I$89,3,0)*VLOOKUP('Données projet'!$B$12,Paramètres!$A$1:$I$89,5,0)</f>
        <v>253.0007999999998</v>
      </c>
      <c r="CA139" s="14">
        <f t="shared" si="147"/>
        <v>61.228070105968683</v>
      </c>
      <c r="CB139" s="22">
        <f t="shared" si="118"/>
        <v>547.28194876789507</v>
      </c>
      <c r="CC139" s="62">
        <f t="shared" si="119"/>
        <v>832.13147916278035</v>
      </c>
      <c r="CD139" s="62">
        <f ca="1">AVERAGE(OFFSET($CC$3,0,0,'Données projet'!$E$12+1,1))-AVERAGE(OFFSET($H$3,0,0,'Données projet'!$E$12+1,1))</f>
        <v>376.47942810265266</v>
      </c>
      <c r="CE139" s="62">
        <f t="shared" si="148"/>
        <v>362.87951024071265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2.0520748960306223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2.0520748960306223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317.99999999999972</v>
      </c>
      <c r="CU139" s="18">
        <f>CT139*VLOOKUP('Données projet'!$B$13,Paramètres!$A$1:$I$89,3,0)*VLOOKUP('Données projet'!$B$13,Paramètres!$A$1:$I$89,5,0)</f>
        <v>233.1575999999998</v>
      </c>
      <c r="CV139" s="14">
        <f t="shared" si="149"/>
        <v>56.964885721091697</v>
      </c>
      <c r="CW139" s="22">
        <f t="shared" si="121"/>
        <v>505.29666263090093</v>
      </c>
      <c r="CX139" s="62">
        <f t="shared" si="122"/>
        <v>790.14619302578615</v>
      </c>
      <c r="CY139" s="62">
        <f ca="1">AVERAGE(OFFSET($CX$3,0,0,'Données projet'!$E$13+1,1))-AVERAGE(OFFSET($H$3,0,0,'Données projet'!$E$13+1,1))</f>
        <v>351.7223836693733</v>
      </c>
      <c r="CZ139" s="62">
        <f t="shared" si="150"/>
        <v>339.34942976598518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1.5343112707650333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1.5343112707650333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183.33333333333334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6.3550942286383367E-14</v>
      </c>
      <c r="P140" s="14">
        <f t="shared" si="141"/>
        <v>1.0064464192543978E-12</v>
      </c>
      <c r="Q140" s="22">
        <f t="shared" si="108"/>
        <v>1.8635787380168604E-12</v>
      </c>
      <c r="R140" s="62">
        <f t="shared" si="109"/>
        <v>284.99670540892726</v>
      </c>
      <c r="S140" s="62">
        <f ca="1">AVERAGE(OFFSET($R$3,0,0,'Données projet'!$E$9+1,1))-AVERAGE(OFFSET($H$3,0,0,'Données projet'!$E$9+1,1))</f>
        <v>409.45931633551902</v>
      </c>
      <c r="T140" s="62">
        <f t="shared" si="142"/>
        <v>375.18886653687389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0.636869382021372</v>
      </c>
      <c r="AA140" s="23">
        <f>EXP(-LN(2)/25)*AA139+(1-EXP(-LN(2)/25))/(LN(2)/25)*Calculateur!V140*Calculateur!X140*VLOOKUP('Données projet'!$B$9,Paramètres!$A$1:$I$89,3,0)*0.475*44/12</f>
        <v>0.99425428110694114</v>
      </c>
      <c r="AB140" s="23">
        <f>EXP(-LN(2)/2)*AB139+(1-EXP(-LN(2)/2))/(LN(2)/2)*V140*Y140*VLOOKUP('Données projet'!$B$9,Paramètres!$A$1:$I$89,3,0)*0.475*44/12</f>
        <v>9.1073893840190475E-16</v>
      </c>
      <c r="AC140" s="24">
        <f t="shared" si="111"/>
        <v>1.6311236631283141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5.6843418860808015E-14</v>
      </c>
      <c r="AJ140" s="14">
        <f>AI140*VLOOKUP('Données projet'!$B$10,Paramètres!$A$1:$I$89,3,0)*VLOOKUP('Données projet'!$B$10,Paramètres!$A$1:$I$89,5,0)</f>
        <v>3.3992364478763198E-14</v>
      </c>
      <c r="AK140" s="14">
        <f t="shared" si="143"/>
        <v>5.790027782444094E-13</v>
      </c>
      <c r="AL140" s="22">
        <f t="shared" si="112"/>
        <v>1.0676332069095257E-12</v>
      </c>
      <c r="AM140" s="62">
        <f t="shared" si="113"/>
        <v>284.99670540892646</v>
      </c>
      <c r="AN140" s="62">
        <f ca="1">AVERAGE(OFFSET($AM$3,0,0,'Données projet'!$E$10+1,1))-AVERAGE(OFFSET($H$3,0,0,'Données projet'!$E$10+1,1))</f>
        <v>212.90262675152454</v>
      </c>
      <c r="AO140" s="62">
        <f t="shared" si="144"/>
        <v>366.51899340890498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13.142727457594189</v>
      </c>
      <c r="AV140" s="23">
        <f>EXP(-LN(2)/25)*AV139+(1-EXP(-LN(2)/25))/(LN(2)/25)*Calculateur!AQ140*Calculateur!AS140*VLOOKUP('Données projet'!$B$10,Paramètres!$A$1:$I$89,3,0)*0.475*44/12</f>
        <v>0.172083040524699</v>
      </c>
      <c r="AW140" s="23">
        <f>EXP(-LN(2)/2)*AW139+(1-EXP(-LN(2)/2))/(LN(2)/2)*AQ140*AT140*VLOOKUP('Données projet'!$B$10,Paramètres!$A$1:$I$89,3,0)*0.475*44/12</f>
        <v>8.647430538526395E-14</v>
      </c>
      <c r="AX140" s="23">
        <f t="shared" si="114"/>
        <v>13.314810498118975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5.6843418860808015E-14</v>
      </c>
      <c r="BE140" s="14">
        <f>BD140*VLOOKUP('Données projet'!$B$11,Paramètres!$A$1:$I$89,3,0)*VLOOKUP('Données projet'!$B$11,Paramètres!$A$1:$I$89,5,0)</f>
        <v>4.9658410716801891E-14</v>
      </c>
      <c r="BF140" s="14">
        <f t="shared" si="145"/>
        <v>8.0934058173791862E-13</v>
      </c>
      <c r="BG140" s="22">
        <f t="shared" si="115"/>
        <v>1.4960899118586383E-12</v>
      </c>
      <c r="BH140" s="62">
        <f t="shared" si="116"/>
        <v>284.99670540892686</v>
      </c>
      <c r="BI140" s="62">
        <f ca="1">AVERAGE(OFFSET($BH$3,0,0,'Données projet'!$E$11+1,1))-AVERAGE(OFFSET($H$3,0,0,'Données projet'!$E$11+1,1))</f>
        <v>342.02279578180605</v>
      </c>
      <c r="BJ140" s="62">
        <f t="shared" si="146"/>
        <v>409.02379334777754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317.99999999999972</v>
      </c>
      <c r="BZ140" s="14">
        <f>BY140*VLOOKUP('Données projet'!$B$12,Paramètres!$A$1:$I$89,3,0)*VLOOKUP('Données projet'!$B$12,Paramètres!$A$1:$I$89,5,0)</f>
        <v>253.0007999999998</v>
      </c>
      <c r="CA140" s="14">
        <f t="shared" si="147"/>
        <v>61.228070105968683</v>
      </c>
      <c r="CB140" s="22">
        <f t="shared" si="118"/>
        <v>547.28194876789507</v>
      </c>
      <c r="CC140" s="62">
        <f t="shared" si="119"/>
        <v>832.27865417682051</v>
      </c>
      <c r="CD140" s="62">
        <f ca="1">AVERAGE(OFFSET($CC$3,0,0,'Données projet'!$E$12+1,1))-AVERAGE(OFFSET($H$3,0,0,'Données projet'!$E$12+1,1))</f>
        <v>376.47942810265266</v>
      </c>
      <c r="CE140" s="62">
        <f t="shared" si="148"/>
        <v>362.87951024071265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2.011834958961559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2.011834958961559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317.99999999999972</v>
      </c>
      <c r="CU140" s="18">
        <f>CT140*VLOOKUP('Données projet'!$B$13,Paramètres!$A$1:$I$89,3,0)*VLOOKUP('Données projet'!$B$13,Paramètres!$A$1:$I$89,5,0)</f>
        <v>233.1575999999998</v>
      </c>
      <c r="CV140" s="14">
        <f t="shared" si="149"/>
        <v>56.964885721091697</v>
      </c>
      <c r="CW140" s="22">
        <f t="shared" si="121"/>
        <v>505.29666263090093</v>
      </c>
      <c r="CX140" s="62">
        <f t="shared" si="122"/>
        <v>790.2933680398263</v>
      </c>
      <c r="CY140" s="62">
        <f ca="1">AVERAGE(OFFSET($CX$3,0,0,'Données projet'!$E$13+1,1))-AVERAGE(OFFSET($H$3,0,0,'Données projet'!$E$13+1,1))</f>
        <v>351.7223836693733</v>
      </c>
      <c r="CZ140" s="62">
        <f t="shared" si="150"/>
        <v>339.34942976598518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1.5042243625827998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1.5042243625827998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183.33333333333334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6.3550942286383367E-14</v>
      </c>
      <c r="P141" s="14">
        <f t="shared" si="141"/>
        <v>1.0064464192543978E-12</v>
      </c>
      <c r="Q141" s="22">
        <f t="shared" si="108"/>
        <v>1.8635787380168604E-12</v>
      </c>
      <c r="R141" s="62">
        <f t="shared" si="109"/>
        <v>285.14132726550781</v>
      </c>
      <c r="S141" s="62">
        <f ca="1">AVERAGE(OFFSET($R$3,0,0,'Données projet'!$E$9+1,1))-AVERAGE(OFFSET($H$3,0,0,'Données projet'!$E$9+1,1))</f>
        <v>409.45931633551902</v>
      </c>
      <c r="T141" s="62">
        <f t="shared" si="142"/>
        <v>375.18886653687389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0.62438076189189951</v>
      </c>
      <c r="AA141" s="23">
        <f>EXP(-LN(2)/25)*AA140+(1-EXP(-LN(2)/25))/(LN(2)/25)*Calculateur!V141*Calculateur!X141*VLOOKUP('Données projet'!$B$9,Paramètres!$A$1:$I$89,3,0)*0.475*44/12</f>
        <v>0.96706634550451154</v>
      </c>
      <c r="AB141" s="23">
        <f>EXP(-LN(2)/2)*AB140+(1-EXP(-LN(2)/2))/(LN(2)/2)*V141*Y141*VLOOKUP('Données projet'!$B$9,Paramètres!$A$1:$I$89,3,0)*0.475*44/12</f>
        <v>6.4398967923462427E-16</v>
      </c>
      <c r="AC141" s="24">
        <f t="shared" si="111"/>
        <v>1.5914471073964116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5.6843418860808015E-14</v>
      </c>
      <c r="AJ141" s="14">
        <f>AI141*VLOOKUP('Données projet'!$B$10,Paramètres!$A$1:$I$89,3,0)*VLOOKUP('Données projet'!$B$10,Paramètres!$A$1:$I$89,5,0)</f>
        <v>3.3992364478763198E-14</v>
      </c>
      <c r="AK141" s="14">
        <f t="shared" si="143"/>
        <v>5.790027782444094E-13</v>
      </c>
      <c r="AL141" s="22">
        <f t="shared" si="112"/>
        <v>1.0676332069095257E-12</v>
      </c>
      <c r="AM141" s="62">
        <f t="shared" si="113"/>
        <v>285.14132726550702</v>
      </c>
      <c r="AN141" s="62">
        <f ca="1">AVERAGE(OFFSET($AM$3,0,0,'Données projet'!$E$10+1,1))-AVERAGE(OFFSET($H$3,0,0,'Données projet'!$E$10+1,1))</f>
        <v>212.90262675152454</v>
      </c>
      <c r="AO141" s="62">
        <f t="shared" si="144"/>
        <v>366.51899340890498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12.885006588422975</v>
      </c>
      <c r="AV141" s="23">
        <f>EXP(-LN(2)/25)*AV140+(1-EXP(-LN(2)/25))/(LN(2)/25)*Calculateur!AQ141*Calculateur!AS141*VLOOKUP('Données projet'!$B$10,Paramètres!$A$1:$I$89,3,0)*0.475*44/12</f>
        <v>0.1673774207320973</v>
      </c>
      <c r="AW141" s="23">
        <f>EXP(-LN(2)/2)*AW140+(1-EXP(-LN(2)/2))/(LN(2)/2)*AQ141*AT141*VLOOKUP('Données projet'!$B$10,Paramètres!$A$1:$I$89,3,0)*0.475*44/12</f>
        <v>6.1146567736316524E-14</v>
      </c>
      <c r="AX141" s="23">
        <f t="shared" si="114"/>
        <v>13.052384009155134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5.6843418860808015E-14</v>
      </c>
      <c r="BE141" s="14">
        <f>BD141*VLOOKUP('Données projet'!$B$11,Paramètres!$A$1:$I$89,3,0)*VLOOKUP('Données projet'!$B$11,Paramètres!$A$1:$I$89,5,0)</f>
        <v>4.9658410716801891E-14</v>
      </c>
      <c r="BF141" s="14">
        <f t="shared" si="145"/>
        <v>8.0934058173791862E-13</v>
      </c>
      <c r="BG141" s="22">
        <f t="shared" si="115"/>
        <v>1.4960899118586383E-12</v>
      </c>
      <c r="BH141" s="62">
        <f t="shared" si="116"/>
        <v>285.14132726550741</v>
      </c>
      <c r="BI141" s="62">
        <f ca="1">AVERAGE(OFFSET($BH$3,0,0,'Données projet'!$E$11+1,1))-AVERAGE(OFFSET($H$3,0,0,'Données projet'!$E$11+1,1))</f>
        <v>342.02279578180605</v>
      </c>
      <c r="BJ141" s="62">
        <f t="shared" si="146"/>
        <v>409.02379334777754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317.99999999999972</v>
      </c>
      <c r="BZ141" s="14">
        <f>BY141*VLOOKUP('Données projet'!$B$12,Paramètres!$A$1:$I$89,3,0)*VLOOKUP('Données projet'!$B$12,Paramètres!$A$1:$I$89,5,0)</f>
        <v>253.0007999999998</v>
      </c>
      <c r="CA141" s="14">
        <f t="shared" si="147"/>
        <v>61.228070105968683</v>
      </c>
      <c r="CB141" s="22">
        <f t="shared" si="118"/>
        <v>547.28194876789507</v>
      </c>
      <c r="CC141" s="62">
        <f t="shared" si="119"/>
        <v>832.42327603340095</v>
      </c>
      <c r="CD141" s="62">
        <f ca="1">AVERAGE(OFFSET($CC$3,0,0,'Données projet'!$E$12+1,1))-AVERAGE(OFFSET($H$3,0,0,'Données projet'!$E$12+1,1))</f>
        <v>376.47942810265266</v>
      </c>
      <c r="CE141" s="62">
        <f t="shared" si="148"/>
        <v>362.87951024071265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1.9723841025144819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1.9723841025144819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317.99999999999972</v>
      </c>
      <c r="CU141" s="18">
        <f>CT141*VLOOKUP('Données projet'!$B$13,Paramètres!$A$1:$I$89,3,0)*VLOOKUP('Données projet'!$B$13,Paramètres!$A$1:$I$89,5,0)</f>
        <v>233.1575999999998</v>
      </c>
      <c r="CV141" s="14">
        <f t="shared" si="149"/>
        <v>56.964885721091697</v>
      </c>
      <c r="CW141" s="22">
        <f t="shared" si="121"/>
        <v>505.29666263090093</v>
      </c>
      <c r="CX141" s="62">
        <f t="shared" si="122"/>
        <v>790.43798989640686</v>
      </c>
      <c r="CY141" s="62">
        <f ca="1">AVERAGE(OFFSET($CX$3,0,0,'Données projet'!$E$13+1,1))-AVERAGE(OFFSET($H$3,0,0,'Données projet'!$E$13+1,1))</f>
        <v>351.7223836693733</v>
      </c>
      <c r="CZ141" s="62">
        <f t="shared" si="150"/>
        <v>339.34942976598518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1.474727440318818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1.474727440318818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183.33333333333334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6.3550942286383367E-14</v>
      </c>
      <c r="P142" s="14">
        <f t="shared" si="141"/>
        <v>1.0064464192543978E-12</v>
      </c>
      <c r="Q142" s="22">
        <f t="shared" si="108"/>
        <v>1.8635787380168604E-12</v>
      </c>
      <c r="R142" s="62">
        <f t="shared" si="109"/>
        <v>285.28344025620277</v>
      </c>
      <c r="S142" s="62">
        <f ca="1">AVERAGE(OFFSET($R$3,0,0,'Données projet'!$E$9+1,1))-AVERAGE(OFFSET($H$3,0,0,'Données projet'!$E$9+1,1))</f>
        <v>409.45931633551902</v>
      </c>
      <c r="T142" s="62">
        <f t="shared" si="142"/>
        <v>375.18886653687389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0.61213703598585978</v>
      </c>
      <c r="AA142" s="23">
        <f>EXP(-LN(2)/25)*AA141+(1-EXP(-LN(2)/25))/(LN(2)/25)*Calculateur!V142*Calculateur!X142*VLOOKUP('Données projet'!$B$9,Paramètres!$A$1:$I$89,3,0)*0.475*44/12</f>
        <v>0.94062186543088178</v>
      </c>
      <c r="AB142" s="23">
        <f>EXP(-LN(2)/2)*AB141+(1-EXP(-LN(2)/2))/(LN(2)/2)*V142*Y142*VLOOKUP('Données projet'!$B$9,Paramètres!$A$1:$I$89,3,0)*0.475*44/12</f>
        <v>4.5536946920095237E-16</v>
      </c>
      <c r="AC142" s="24">
        <f t="shared" si="111"/>
        <v>1.552758901416742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5.6843418860808015E-14</v>
      </c>
      <c r="AJ142" s="14">
        <f>AI142*VLOOKUP('Données projet'!$B$10,Paramètres!$A$1:$I$89,3,0)*VLOOKUP('Données projet'!$B$10,Paramètres!$A$1:$I$89,5,0)</f>
        <v>3.3992364478763198E-14</v>
      </c>
      <c r="AK142" s="14">
        <f t="shared" si="143"/>
        <v>5.790027782444094E-13</v>
      </c>
      <c r="AL142" s="22">
        <f t="shared" si="112"/>
        <v>1.0676332069095257E-12</v>
      </c>
      <c r="AM142" s="62">
        <f t="shared" si="113"/>
        <v>285.28344025620197</v>
      </c>
      <c r="AN142" s="62">
        <f ca="1">AVERAGE(OFFSET($AM$3,0,0,'Données projet'!$E$10+1,1))-AVERAGE(OFFSET($H$3,0,0,'Données projet'!$E$10+1,1))</f>
        <v>212.90262675152454</v>
      </c>
      <c r="AO142" s="62">
        <f t="shared" si="144"/>
        <v>366.51899340890498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12.632339468302</v>
      </c>
      <c r="AV142" s="23">
        <f>EXP(-LN(2)/25)*AV141+(1-EXP(-LN(2)/25))/(LN(2)/25)*Calculateur!AQ142*Calculateur!AS142*VLOOKUP('Données projet'!$B$10,Paramètres!$A$1:$I$89,3,0)*0.475*44/12</f>
        <v>0.16280047636018208</v>
      </c>
      <c r="AW142" s="23">
        <f>EXP(-LN(2)/2)*AW141+(1-EXP(-LN(2)/2))/(LN(2)/2)*AQ142*AT142*VLOOKUP('Données projet'!$B$10,Paramètres!$A$1:$I$89,3,0)*0.475*44/12</f>
        <v>4.3237152692631975E-14</v>
      </c>
      <c r="AX142" s="23">
        <f t="shared" si="114"/>
        <v>12.795139944662225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5.6843418860808015E-14</v>
      </c>
      <c r="BE142" s="14">
        <f>BD142*VLOOKUP('Données projet'!$B$11,Paramètres!$A$1:$I$89,3,0)*VLOOKUP('Données projet'!$B$11,Paramètres!$A$1:$I$89,5,0)</f>
        <v>4.9658410716801891E-14</v>
      </c>
      <c r="BF142" s="14">
        <f t="shared" si="145"/>
        <v>8.0934058173791862E-13</v>
      </c>
      <c r="BG142" s="22">
        <f t="shared" si="115"/>
        <v>1.4960899118586383E-12</v>
      </c>
      <c r="BH142" s="62">
        <f t="shared" si="116"/>
        <v>285.28344025620237</v>
      </c>
      <c r="BI142" s="62">
        <f ca="1">AVERAGE(OFFSET($BH$3,0,0,'Données projet'!$E$11+1,1))-AVERAGE(OFFSET($H$3,0,0,'Données projet'!$E$11+1,1))</f>
        <v>342.02279578180605</v>
      </c>
      <c r="BJ142" s="62">
        <f t="shared" si="146"/>
        <v>409.02379334777754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317.99999999999972</v>
      </c>
      <c r="BZ142" s="14">
        <f>BY142*VLOOKUP('Données projet'!$B$12,Paramètres!$A$1:$I$89,3,0)*VLOOKUP('Données projet'!$B$12,Paramètres!$A$1:$I$89,5,0)</f>
        <v>253.0007999999998</v>
      </c>
      <c r="CA142" s="14">
        <f t="shared" si="147"/>
        <v>61.228070105968683</v>
      </c>
      <c r="CB142" s="22">
        <f t="shared" si="118"/>
        <v>547.28194876789507</v>
      </c>
      <c r="CC142" s="62">
        <f t="shared" si="119"/>
        <v>832.56538902409602</v>
      </c>
      <c r="CD142" s="62">
        <f ca="1">AVERAGE(OFFSET($CC$3,0,0,'Données projet'!$E$12+1,1))-AVERAGE(OFFSET($H$3,0,0,'Données projet'!$E$12+1,1))</f>
        <v>376.47942810265266</v>
      </c>
      <c r="CE142" s="62">
        <f t="shared" si="148"/>
        <v>362.87951024071265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1.9337068532996855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1.9337068532996855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317.99999999999972</v>
      </c>
      <c r="CU142" s="18">
        <f>CT142*VLOOKUP('Données projet'!$B$13,Paramètres!$A$1:$I$89,3,0)*VLOOKUP('Données projet'!$B$13,Paramètres!$A$1:$I$89,5,0)</f>
        <v>233.1575999999998</v>
      </c>
      <c r="CV142" s="14">
        <f t="shared" si="149"/>
        <v>56.964885721091697</v>
      </c>
      <c r="CW142" s="22">
        <f t="shared" si="121"/>
        <v>505.29666263090093</v>
      </c>
      <c r="CX142" s="62">
        <f t="shared" si="122"/>
        <v>790.58010288710182</v>
      </c>
      <c r="CY142" s="62">
        <f ca="1">AVERAGE(OFFSET($CX$3,0,0,'Données projet'!$E$13+1,1))-AVERAGE(OFFSET($H$3,0,0,'Données projet'!$E$13+1,1))</f>
        <v>351.7223836693733</v>
      </c>
      <c r="CZ142" s="62">
        <f t="shared" si="150"/>
        <v>339.34942976598518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1.4458089347090868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1.4458089347090868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183.33333333333334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6.3550942286383367E-14</v>
      </c>
      <c r="P143" s="14">
        <f t="shared" si="141"/>
        <v>1.0064464192543978E-12</v>
      </c>
      <c r="Q143" s="22">
        <f t="shared" si="108"/>
        <v>1.8635787380168604E-12</v>
      </c>
      <c r="R143" s="62">
        <f t="shared" si="109"/>
        <v>285.42308790422624</v>
      </c>
      <c r="S143" s="62">
        <f ca="1">AVERAGE(OFFSET($R$3,0,0,'Données projet'!$E$9+1,1))-AVERAGE(OFFSET($H$3,0,0,'Données projet'!$E$9+1,1))</f>
        <v>409.45931633551902</v>
      </c>
      <c r="T143" s="62">
        <f t="shared" si="142"/>
        <v>375.18886653687389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0.60013340207690213</v>
      </c>
      <c r="AA143" s="23">
        <f>EXP(-LN(2)/25)*AA142+(1-EXP(-LN(2)/25))/(LN(2)/25)*Calculateur!V143*Calculateur!X143*VLOOKUP('Données projet'!$B$9,Paramètres!$A$1:$I$89,3,0)*0.475*44/12</f>
        <v>0.91490051105552028</v>
      </c>
      <c r="AB143" s="23">
        <f>EXP(-LN(2)/2)*AB142+(1-EXP(-LN(2)/2))/(LN(2)/2)*V143*Y143*VLOOKUP('Données projet'!$B$9,Paramètres!$A$1:$I$89,3,0)*0.475*44/12</f>
        <v>3.2199483961731213E-16</v>
      </c>
      <c r="AC143" s="24">
        <f t="shared" si="111"/>
        <v>1.5150339131324226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5.6843418860808015E-14</v>
      </c>
      <c r="AJ143" s="14">
        <f>AI143*VLOOKUP('Données projet'!$B$10,Paramètres!$A$1:$I$89,3,0)*VLOOKUP('Données projet'!$B$10,Paramètres!$A$1:$I$89,5,0)</f>
        <v>3.3992364478763198E-14</v>
      </c>
      <c r="AK143" s="14">
        <f t="shared" si="143"/>
        <v>5.790027782444094E-13</v>
      </c>
      <c r="AL143" s="22">
        <f t="shared" si="112"/>
        <v>1.0676332069095257E-12</v>
      </c>
      <c r="AM143" s="62">
        <f t="shared" si="113"/>
        <v>285.42308790422544</v>
      </c>
      <c r="AN143" s="62">
        <f ca="1">AVERAGE(OFFSET($AM$3,0,0,'Données projet'!$E$10+1,1))-AVERAGE(OFFSET($H$3,0,0,'Données projet'!$E$10+1,1))</f>
        <v>212.90262675152454</v>
      </c>
      <c r="AO143" s="62">
        <f t="shared" si="144"/>
        <v>366.51899340890498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12.384626996294871</v>
      </c>
      <c r="AV143" s="23">
        <f>EXP(-LN(2)/25)*AV142+(1-EXP(-LN(2)/25))/(LN(2)/25)*Calculateur!AQ143*Calculateur!AS143*VLOOKUP('Données projet'!$B$10,Paramètres!$A$1:$I$89,3,0)*0.475*44/12</f>
        <v>0.15834868877280794</v>
      </c>
      <c r="AW143" s="23">
        <f>EXP(-LN(2)/2)*AW142+(1-EXP(-LN(2)/2))/(LN(2)/2)*AQ143*AT143*VLOOKUP('Données projet'!$B$10,Paramètres!$A$1:$I$89,3,0)*0.475*44/12</f>
        <v>3.0573283868158262E-14</v>
      </c>
      <c r="AX143" s="23">
        <f t="shared" si="114"/>
        <v>12.542975685067709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5.6843418860808015E-14</v>
      </c>
      <c r="BE143" s="14">
        <f>BD143*VLOOKUP('Données projet'!$B$11,Paramètres!$A$1:$I$89,3,0)*VLOOKUP('Données projet'!$B$11,Paramètres!$A$1:$I$89,5,0)</f>
        <v>4.9658410716801891E-14</v>
      </c>
      <c r="BF143" s="14">
        <f t="shared" si="145"/>
        <v>8.0934058173791862E-13</v>
      </c>
      <c r="BG143" s="22">
        <f t="shared" si="115"/>
        <v>1.4960899118586383E-12</v>
      </c>
      <c r="BH143" s="62">
        <f t="shared" si="116"/>
        <v>285.42308790422584</v>
      </c>
      <c r="BI143" s="62">
        <f ca="1">AVERAGE(OFFSET($BH$3,0,0,'Données projet'!$E$11+1,1))-AVERAGE(OFFSET($H$3,0,0,'Données projet'!$E$11+1,1))</f>
        <v>342.02279578180605</v>
      </c>
      <c r="BJ143" s="62">
        <f t="shared" si="146"/>
        <v>409.02379334777754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317.99999999999972</v>
      </c>
      <c r="BZ143" s="14">
        <f>BY143*VLOOKUP('Données projet'!$B$12,Paramètres!$A$1:$I$89,3,0)*VLOOKUP('Données projet'!$B$12,Paramètres!$A$1:$I$89,5,0)</f>
        <v>253.0007999999998</v>
      </c>
      <c r="CA143" s="14">
        <f t="shared" si="147"/>
        <v>61.228070105968683</v>
      </c>
      <c r="CB143" s="22">
        <f t="shared" si="118"/>
        <v>547.28194876789507</v>
      </c>
      <c r="CC143" s="62">
        <f t="shared" si="119"/>
        <v>832.70503667211938</v>
      </c>
      <c r="CD143" s="62">
        <f ca="1">AVERAGE(OFFSET($CC$3,0,0,'Données projet'!$E$12+1,1))-AVERAGE(OFFSET($H$3,0,0,'Données projet'!$E$12+1,1))</f>
        <v>376.47942810265266</v>
      </c>
      <c r="CE143" s="62">
        <f t="shared" si="148"/>
        <v>362.87951024071265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1.8957880413511987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1.8957880413511987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317.99999999999972</v>
      </c>
      <c r="CU143" s="18">
        <f>CT143*VLOOKUP('Données projet'!$B$13,Paramètres!$A$1:$I$89,3,0)*VLOOKUP('Données projet'!$B$13,Paramètres!$A$1:$I$89,5,0)</f>
        <v>233.1575999999998</v>
      </c>
      <c r="CV143" s="14">
        <f t="shared" si="149"/>
        <v>56.964885721091697</v>
      </c>
      <c r="CW143" s="22">
        <f t="shared" si="121"/>
        <v>505.29666263090093</v>
      </c>
      <c r="CX143" s="62">
        <f t="shared" si="122"/>
        <v>790.71975053512529</v>
      </c>
      <c r="CY143" s="62">
        <f ca="1">AVERAGE(OFFSET($CX$3,0,0,'Données projet'!$E$13+1,1))-AVERAGE(OFFSET($H$3,0,0,'Données projet'!$E$13+1,1))</f>
        <v>351.7223836693733</v>
      </c>
      <c r="CZ143" s="62">
        <f t="shared" si="150"/>
        <v>339.34942976598518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1.4174575033558157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1.4174575033558157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183.33333333333334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6.3550942286383367E-14</v>
      </c>
      <c r="P144" s="14">
        <f t="shared" si="141"/>
        <v>1.0064464192543978E-12</v>
      </c>
      <c r="Q144" s="22">
        <f t="shared" si="108"/>
        <v>1.8635787380168604E-12</v>
      </c>
      <c r="R144" s="62">
        <f t="shared" si="109"/>
        <v>285.5603129777619</v>
      </c>
      <c r="S144" s="62">
        <f ca="1">AVERAGE(OFFSET($R$3,0,0,'Données projet'!$E$9+1,1))-AVERAGE(OFFSET($H$3,0,0,'Données projet'!$E$9+1,1))</f>
        <v>409.45931633551902</v>
      </c>
      <c r="T144" s="62">
        <f t="shared" si="142"/>
        <v>375.18886653687389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0.58836515210740536</v>
      </c>
      <c r="AA144" s="23">
        <f>EXP(-LN(2)/25)*AA143+(1-EXP(-LN(2)/25))/(LN(2)/25)*Calculateur!V144*Calculateur!X144*VLOOKUP('Données projet'!$B$9,Paramètres!$A$1:$I$89,3,0)*0.475*44/12</f>
        <v>0.88988250846818029</v>
      </c>
      <c r="AB144" s="23">
        <f>EXP(-LN(2)/2)*AB143+(1-EXP(-LN(2)/2))/(LN(2)/2)*V144*Y144*VLOOKUP('Données projet'!$B$9,Paramètres!$A$1:$I$89,3,0)*0.475*44/12</f>
        <v>2.2768473460047619E-16</v>
      </c>
      <c r="AC144" s="24">
        <f t="shared" si="111"/>
        <v>1.4782476605755859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5.6843418860808015E-14</v>
      </c>
      <c r="AJ144" s="14">
        <f>AI144*VLOOKUP('Données projet'!$B$10,Paramètres!$A$1:$I$89,3,0)*VLOOKUP('Données projet'!$B$10,Paramètres!$A$1:$I$89,5,0)</f>
        <v>3.3992364478763198E-14</v>
      </c>
      <c r="AK144" s="14">
        <f t="shared" si="143"/>
        <v>5.790027782444094E-13</v>
      </c>
      <c r="AL144" s="22">
        <f t="shared" si="112"/>
        <v>1.0676332069095257E-12</v>
      </c>
      <c r="AM144" s="62">
        <f t="shared" si="113"/>
        <v>285.5603129777611</v>
      </c>
      <c r="AN144" s="62">
        <f ca="1">AVERAGE(OFFSET($AM$3,0,0,'Données projet'!$E$10+1,1))-AVERAGE(OFFSET($H$3,0,0,'Données projet'!$E$10+1,1))</f>
        <v>212.90262675152454</v>
      </c>
      <c r="AO144" s="62">
        <f t="shared" si="144"/>
        <v>366.51899340890498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12.141772014774114</v>
      </c>
      <c r="AV144" s="23">
        <f>EXP(-LN(2)/25)*AV143+(1-EXP(-LN(2)/25))/(LN(2)/25)*Calculateur!AQ144*Calculateur!AS144*VLOOKUP('Données projet'!$B$10,Paramètres!$A$1:$I$89,3,0)*0.475*44/12</f>
        <v>0.15401863555111989</v>
      </c>
      <c r="AW144" s="23">
        <f>EXP(-LN(2)/2)*AW143+(1-EXP(-LN(2)/2))/(LN(2)/2)*AQ144*AT144*VLOOKUP('Données projet'!$B$10,Paramètres!$A$1:$I$89,3,0)*0.475*44/12</f>
        <v>2.1618576346315987E-14</v>
      </c>
      <c r="AX144" s="23">
        <f t="shared" si="114"/>
        <v>12.295790650325255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5.6843418860808015E-14</v>
      </c>
      <c r="BE144" s="14">
        <f>BD144*VLOOKUP('Données projet'!$B$11,Paramètres!$A$1:$I$89,3,0)*VLOOKUP('Données projet'!$B$11,Paramètres!$A$1:$I$89,5,0)</f>
        <v>4.9658410716801891E-14</v>
      </c>
      <c r="BF144" s="14">
        <f t="shared" si="145"/>
        <v>8.0934058173791862E-13</v>
      </c>
      <c r="BG144" s="22">
        <f t="shared" si="115"/>
        <v>1.4960899118586383E-12</v>
      </c>
      <c r="BH144" s="62">
        <f t="shared" si="116"/>
        <v>285.5603129777615</v>
      </c>
      <c r="BI144" s="62">
        <f ca="1">AVERAGE(OFFSET($BH$3,0,0,'Données projet'!$E$11+1,1))-AVERAGE(OFFSET($H$3,0,0,'Données projet'!$E$11+1,1))</f>
        <v>342.02279578180605</v>
      </c>
      <c r="BJ144" s="62">
        <f t="shared" si="146"/>
        <v>409.02379334777754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317.99999999999972</v>
      </c>
      <c r="BZ144" s="14">
        <f>BY144*VLOOKUP('Données projet'!$B$12,Paramètres!$A$1:$I$89,3,0)*VLOOKUP('Données projet'!$B$12,Paramètres!$A$1:$I$89,5,0)</f>
        <v>253.0007999999998</v>
      </c>
      <c r="CA144" s="14">
        <f t="shared" si="147"/>
        <v>61.228070105968683</v>
      </c>
      <c r="CB144" s="22">
        <f t="shared" si="118"/>
        <v>547.28194876789507</v>
      </c>
      <c r="CC144" s="62">
        <f t="shared" si="119"/>
        <v>832.84226174565515</v>
      </c>
      <c r="CD144" s="62">
        <f ca="1">AVERAGE(OFFSET($CC$3,0,0,'Données projet'!$E$12+1,1))-AVERAGE(OFFSET($H$3,0,0,'Données projet'!$E$12+1,1))</f>
        <v>376.47942810265266</v>
      </c>
      <c r="CE144" s="62">
        <f t="shared" si="148"/>
        <v>362.87951024071265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1.8586127941768302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1.8586127941768302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317.99999999999972</v>
      </c>
      <c r="CU144" s="18">
        <f>CT144*VLOOKUP('Données projet'!$B$13,Paramètres!$A$1:$I$89,3,0)*VLOOKUP('Données projet'!$B$13,Paramètres!$A$1:$I$89,5,0)</f>
        <v>233.1575999999998</v>
      </c>
      <c r="CV144" s="14">
        <f t="shared" si="149"/>
        <v>56.964885721091697</v>
      </c>
      <c r="CW144" s="22">
        <f t="shared" si="121"/>
        <v>505.29666263090093</v>
      </c>
      <c r="CX144" s="62">
        <f t="shared" si="122"/>
        <v>790.85697560866095</v>
      </c>
      <c r="CY144" s="62">
        <f ca="1">AVERAGE(OFFSET($CX$3,0,0,'Données projet'!$E$13+1,1))-AVERAGE(OFFSET($H$3,0,0,'Données projet'!$E$13+1,1))</f>
        <v>351.7223836693733</v>
      </c>
      <c r="CZ144" s="62">
        <f t="shared" si="150"/>
        <v>339.34942976598518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1.3896620262787165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1.3896620262787165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183.33333333333334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6.3550942286383367E-14</v>
      </c>
      <c r="P145" s="14">
        <f t="shared" si="141"/>
        <v>1.0064464192543978E-12</v>
      </c>
      <c r="Q145" s="22">
        <f t="shared" si="108"/>
        <v>1.8635787380168604E-12</v>
      </c>
      <c r="R145" s="62">
        <f t="shared" si="109"/>
        <v>285.69515750306095</v>
      </c>
      <c r="S145" s="62">
        <f ca="1">AVERAGE(OFFSET($R$3,0,0,'Données projet'!$E$9+1,1))-AVERAGE(OFFSET($H$3,0,0,'Données projet'!$E$9+1,1))</f>
        <v>409.45931633551902</v>
      </c>
      <c r="T145" s="62">
        <f t="shared" si="142"/>
        <v>375.18886653687389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0.57682767034188676</v>
      </c>
      <c r="AA145" s="23">
        <f>EXP(-LN(2)/25)*AA144+(1-EXP(-LN(2)/25))/(LN(2)/25)*Calculateur!V145*Calculateur!X145*VLOOKUP('Données projet'!$B$9,Paramètres!$A$1:$I$89,3,0)*0.475*44/12</f>
        <v>0.86554862447723058</v>
      </c>
      <c r="AB145" s="23">
        <f>EXP(-LN(2)/2)*AB144+(1-EXP(-LN(2)/2))/(LN(2)/2)*V145*Y145*VLOOKUP('Données projet'!$B$9,Paramètres!$A$1:$I$89,3,0)*0.475*44/12</f>
        <v>1.6099741980865607E-16</v>
      </c>
      <c r="AC145" s="24">
        <f t="shared" si="111"/>
        <v>1.4423762948191177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5.6843418860808015E-14</v>
      </c>
      <c r="AJ145" s="14">
        <f>AI145*VLOOKUP('Données projet'!$B$10,Paramètres!$A$1:$I$89,3,0)*VLOOKUP('Données projet'!$B$10,Paramètres!$A$1:$I$89,5,0)</f>
        <v>3.3992364478763198E-14</v>
      </c>
      <c r="AK145" s="14">
        <f t="shared" si="143"/>
        <v>5.790027782444094E-13</v>
      </c>
      <c r="AL145" s="22">
        <f t="shared" si="112"/>
        <v>1.0676332069095257E-12</v>
      </c>
      <c r="AM145" s="62">
        <f t="shared" si="113"/>
        <v>285.69515750306016</v>
      </c>
      <c r="AN145" s="62">
        <f ca="1">AVERAGE(OFFSET($AM$3,0,0,'Données projet'!$E$10+1,1))-AVERAGE(OFFSET($H$3,0,0,'Données projet'!$E$10+1,1))</f>
        <v>212.90262675152454</v>
      </c>
      <c r="AO145" s="62">
        <f t="shared" si="144"/>
        <v>366.51899340890498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11.903679271314065</v>
      </c>
      <c r="AV145" s="23">
        <f>EXP(-LN(2)/25)*AV144+(1-EXP(-LN(2)/25))/(LN(2)/25)*Calculateur!AQ145*Calculateur!AS145*VLOOKUP('Données projet'!$B$10,Paramètres!$A$1:$I$89,3,0)*0.475*44/12</f>
        <v>0.14980698786248647</v>
      </c>
      <c r="AW145" s="23">
        <f>EXP(-LN(2)/2)*AW144+(1-EXP(-LN(2)/2))/(LN(2)/2)*AQ145*AT145*VLOOKUP('Données projet'!$B$10,Paramètres!$A$1:$I$89,3,0)*0.475*44/12</f>
        <v>1.5286641934079131E-14</v>
      </c>
      <c r="AX145" s="23">
        <f t="shared" si="114"/>
        <v>12.053486259176568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5.6843418860808015E-14</v>
      </c>
      <c r="BE145" s="14">
        <f>BD145*VLOOKUP('Données projet'!$B$11,Paramètres!$A$1:$I$89,3,0)*VLOOKUP('Données projet'!$B$11,Paramètres!$A$1:$I$89,5,0)</f>
        <v>4.9658410716801891E-14</v>
      </c>
      <c r="BF145" s="14">
        <f t="shared" si="145"/>
        <v>8.0934058173791862E-13</v>
      </c>
      <c r="BG145" s="22">
        <f t="shared" si="115"/>
        <v>1.4960899118586383E-12</v>
      </c>
      <c r="BH145" s="62">
        <f t="shared" si="116"/>
        <v>285.69515750306056</v>
      </c>
      <c r="BI145" s="62">
        <f ca="1">AVERAGE(OFFSET($BH$3,0,0,'Données projet'!$E$11+1,1))-AVERAGE(OFFSET($H$3,0,0,'Données projet'!$E$11+1,1))</f>
        <v>342.02279578180605</v>
      </c>
      <c r="BJ145" s="62">
        <f t="shared" si="146"/>
        <v>409.02379334777754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317.99999999999972</v>
      </c>
      <c r="BZ145" s="14">
        <f>BY145*VLOOKUP('Données projet'!$B$12,Paramètres!$A$1:$I$89,3,0)*VLOOKUP('Données projet'!$B$12,Paramètres!$A$1:$I$89,5,0)</f>
        <v>253.0007999999998</v>
      </c>
      <c r="CA145" s="14">
        <f t="shared" si="147"/>
        <v>61.228070105968683</v>
      </c>
      <c r="CB145" s="22">
        <f t="shared" si="118"/>
        <v>547.28194876789507</v>
      </c>
      <c r="CC145" s="62">
        <f t="shared" si="119"/>
        <v>832.97710627095421</v>
      </c>
      <c r="CD145" s="62">
        <f ca="1">AVERAGE(OFFSET($CC$3,0,0,'Données projet'!$E$12+1,1))-AVERAGE(OFFSET($H$3,0,0,'Données projet'!$E$12+1,1))</f>
        <v>376.47942810265266</v>
      </c>
      <c r="CE145" s="62">
        <f t="shared" si="148"/>
        <v>362.87951024071265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1.8221665309248891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1.8221665309248891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317.99999999999972</v>
      </c>
      <c r="CU145" s="18">
        <f>CT145*VLOOKUP('Données projet'!$B$13,Paramètres!$A$1:$I$89,3,0)*VLOOKUP('Données projet'!$B$13,Paramètres!$A$1:$I$89,5,0)</f>
        <v>233.1575999999998</v>
      </c>
      <c r="CV145" s="14">
        <f t="shared" si="149"/>
        <v>56.964885721091697</v>
      </c>
      <c r="CW145" s="22">
        <f t="shared" si="121"/>
        <v>505.29666263090093</v>
      </c>
      <c r="CX145" s="62">
        <f t="shared" si="122"/>
        <v>790.99182013396</v>
      </c>
      <c r="CY145" s="62">
        <f ca="1">AVERAGE(OFFSET($CX$3,0,0,'Données projet'!$E$13+1,1))-AVERAGE(OFFSET($H$3,0,0,'Données projet'!$E$13+1,1))</f>
        <v>351.7223836693733</v>
      </c>
      <c r="CZ145" s="62">
        <f t="shared" si="150"/>
        <v>339.34942976598518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1.3624116015535324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1.3624116015535324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183.33333333333334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6.3550942286383367E-14</v>
      </c>
      <c r="P146" s="14">
        <f t="shared" si="141"/>
        <v>1.0064464192543978E-12</v>
      </c>
      <c r="Q146" s="22">
        <f t="shared" si="108"/>
        <v>1.8635787380168604E-12</v>
      </c>
      <c r="R146" s="62">
        <f t="shared" si="109"/>
        <v>285.82766277731332</v>
      </c>
      <c r="S146" s="62">
        <f ca="1">AVERAGE(OFFSET($R$3,0,0,'Données projet'!$E$9+1,1))-AVERAGE(OFFSET($H$3,0,0,'Données projet'!$E$9+1,1))</f>
        <v>409.45931633551902</v>
      </c>
      <c r="T146" s="62">
        <f t="shared" si="142"/>
        <v>375.18886653687389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0.5655164315566209</v>
      </c>
      <c r="AA146" s="23">
        <f>EXP(-LN(2)/25)*AA145+(1-EXP(-LN(2)/25))/(LN(2)/25)*Calculateur!V146*Calculateur!X146*VLOOKUP('Données projet'!$B$9,Paramètres!$A$1:$I$89,3,0)*0.475*44/12</f>
        <v>0.84188015182367681</v>
      </c>
      <c r="AB146" s="23">
        <f>EXP(-LN(2)/2)*AB145+(1-EXP(-LN(2)/2))/(LN(2)/2)*V146*Y146*VLOOKUP('Données projet'!$B$9,Paramètres!$A$1:$I$89,3,0)*0.475*44/12</f>
        <v>1.1384236730023809E-16</v>
      </c>
      <c r="AC146" s="24">
        <f t="shared" si="111"/>
        <v>1.4073965833802979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5.6843418860808015E-14</v>
      </c>
      <c r="AJ146" s="14">
        <f>AI146*VLOOKUP('Données projet'!$B$10,Paramètres!$A$1:$I$89,3,0)*VLOOKUP('Données projet'!$B$10,Paramètres!$A$1:$I$89,5,0)</f>
        <v>3.3992364478763198E-14</v>
      </c>
      <c r="AK146" s="14">
        <f t="shared" si="143"/>
        <v>5.790027782444094E-13</v>
      </c>
      <c r="AL146" s="22">
        <f t="shared" si="112"/>
        <v>1.0676332069095257E-12</v>
      </c>
      <c r="AM146" s="62">
        <f t="shared" si="113"/>
        <v>285.82766277731253</v>
      </c>
      <c r="AN146" s="62">
        <f ca="1">AVERAGE(OFFSET($AM$3,0,0,'Données projet'!$E$10+1,1))-AVERAGE(OFFSET($H$3,0,0,'Données projet'!$E$10+1,1))</f>
        <v>212.90262675152454</v>
      </c>
      <c r="AO146" s="62">
        <f t="shared" si="144"/>
        <v>366.51899340890498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11.670255381331033</v>
      </c>
      <c r="AV146" s="23">
        <f>EXP(-LN(2)/25)*AV145+(1-EXP(-LN(2)/25))/(LN(2)/25)*Calculateur!AQ146*Calculateur!AS146*VLOOKUP('Données projet'!$B$10,Paramètres!$A$1:$I$89,3,0)*0.475*44/12</f>
        <v>0.14571050790137968</v>
      </c>
      <c r="AW146" s="23">
        <f>EXP(-LN(2)/2)*AW145+(1-EXP(-LN(2)/2))/(LN(2)/2)*AQ146*AT146*VLOOKUP('Données projet'!$B$10,Paramètres!$A$1:$I$89,3,0)*0.475*44/12</f>
        <v>1.0809288173157994E-14</v>
      </c>
      <c r="AX146" s="23">
        <f t="shared" si="114"/>
        <v>11.815965889232423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5.6843418860808015E-14</v>
      </c>
      <c r="BE146" s="14">
        <f>BD146*VLOOKUP('Données projet'!$B$11,Paramètres!$A$1:$I$89,3,0)*VLOOKUP('Données projet'!$B$11,Paramètres!$A$1:$I$89,5,0)</f>
        <v>4.9658410716801891E-14</v>
      </c>
      <c r="BF146" s="14">
        <f t="shared" si="145"/>
        <v>8.0934058173791862E-13</v>
      </c>
      <c r="BG146" s="22">
        <f t="shared" si="115"/>
        <v>1.4960899118586383E-12</v>
      </c>
      <c r="BH146" s="62">
        <f t="shared" si="116"/>
        <v>285.82766277731292</v>
      </c>
      <c r="BI146" s="62">
        <f ca="1">AVERAGE(OFFSET($BH$3,0,0,'Données projet'!$E$11+1,1))-AVERAGE(OFFSET($H$3,0,0,'Données projet'!$E$11+1,1))</f>
        <v>342.02279578180605</v>
      </c>
      <c r="BJ146" s="62">
        <f t="shared" si="146"/>
        <v>409.02379334777754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317.99999999999972</v>
      </c>
      <c r="BZ146" s="14">
        <f>BY146*VLOOKUP('Données projet'!$B$12,Paramètres!$A$1:$I$89,3,0)*VLOOKUP('Données projet'!$B$12,Paramètres!$A$1:$I$89,5,0)</f>
        <v>253.0007999999998</v>
      </c>
      <c r="CA146" s="14">
        <f t="shared" si="147"/>
        <v>61.228070105968683</v>
      </c>
      <c r="CB146" s="22">
        <f t="shared" si="118"/>
        <v>547.28194876789507</v>
      </c>
      <c r="CC146" s="62">
        <f t="shared" si="119"/>
        <v>833.10961154520646</v>
      </c>
      <c r="CD146" s="62">
        <f ca="1">AVERAGE(OFFSET($CC$3,0,0,'Données projet'!$E$12+1,1))-AVERAGE(OFFSET($H$3,0,0,'Données projet'!$E$12+1,1))</f>
        <v>376.47942810265266</v>
      </c>
      <c r="CE146" s="62">
        <f t="shared" si="148"/>
        <v>362.87951024071265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1.7864349566652931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1.7864349566652931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317.99999999999972</v>
      </c>
      <c r="CU146" s="18">
        <f>CT146*VLOOKUP('Données projet'!$B$13,Paramètres!$A$1:$I$89,3,0)*VLOOKUP('Données projet'!$B$13,Paramètres!$A$1:$I$89,5,0)</f>
        <v>233.1575999999998</v>
      </c>
      <c r="CV146" s="14">
        <f t="shared" si="149"/>
        <v>56.964885721091697</v>
      </c>
      <c r="CW146" s="22">
        <f t="shared" si="121"/>
        <v>505.29666263090093</v>
      </c>
      <c r="CX146" s="62">
        <f t="shared" si="122"/>
        <v>791.12432540821237</v>
      </c>
      <c r="CY146" s="62">
        <f ca="1">AVERAGE(OFFSET($CX$3,0,0,'Données projet'!$E$13+1,1))-AVERAGE(OFFSET($H$3,0,0,'Données projet'!$E$13+1,1))</f>
        <v>351.7223836693733</v>
      </c>
      <c r="CZ146" s="62">
        <f t="shared" si="150"/>
        <v>339.34942976598518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1.3356955410360911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1.3356955410360911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183.33333333333334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6.3550942286383367E-14</v>
      </c>
      <c r="P147" s="14">
        <f t="shared" si="141"/>
        <v>1.0064464192543978E-12</v>
      </c>
      <c r="Q147" s="22">
        <f t="shared" si="108"/>
        <v>1.8635787380168604E-12</v>
      </c>
      <c r="R147" s="62">
        <f t="shared" si="109"/>
        <v>285.95786938129476</v>
      </c>
      <c r="S147" s="62">
        <f ca="1">AVERAGE(OFFSET($R$3,0,0,'Données projet'!$E$9+1,1))-AVERAGE(OFFSET($H$3,0,0,'Données projet'!$E$9+1,1))</f>
        <v>409.45931633551902</v>
      </c>
      <c r="T147" s="62">
        <f t="shared" si="142"/>
        <v>375.18886653687389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0.55442699926475969</v>
      </c>
      <c r="AA147" s="23">
        <f>EXP(-LN(2)/25)*AA146+(1-EXP(-LN(2)/25))/(LN(2)/25)*Calculateur!V147*Calculateur!X147*VLOOKUP('Données projet'!$B$9,Paramètres!$A$1:$I$89,3,0)*0.475*44/12</f>
        <v>0.81885889479950535</v>
      </c>
      <c r="AB147" s="23">
        <f>EXP(-LN(2)/2)*AB146+(1-EXP(-LN(2)/2))/(LN(2)/2)*V147*Y147*VLOOKUP('Données projet'!$B$9,Paramètres!$A$1:$I$89,3,0)*0.475*44/12</f>
        <v>8.0498709904328034E-17</v>
      </c>
      <c r="AC147" s="24">
        <f t="shared" si="111"/>
        <v>1.3732858940642649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5.6843418860808015E-14</v>
      </c>
      <c r="AJ147" s="14">
        <f>AI147*VLOOKUP('Données projet'!$B$10,Paramètres!$A$1:$I$89,3,0)*VLOOKUP('Données projet'!$B$10,Paramètres!$A$1:$I$89,5,0)</f>
        <v>3.3992364478763198E-14</v>
      </c>
      <c r="AK147" s="14">
        <f t="shared" si="143"/>
        <v>5.790027782444094E-13</v>
      </c>
      <c r="AL147" s="22">
        <f t="shared" si="112"/>
        <v>1.0676332069095257E-12</v>
      </c>
      <c r="AM147" s="62">
        <f t="shared" si="113"/>
        <v>285.95786938129396</v>
      </c>
      <c r="AN147" s="62">
        <f ca="1">AVERAGE(OFFSET($AM$3,0,0,'Données projet'!$E$10+1,1))-AVERAGE(OFFSET($H$3,0,0,'Données projet'!$E$10+1,1))</f>
        <v>212.90262675152454</v>
      </c>
      <c r="AO147" s="62">
        <f t="shared" si="144"/>
        <v>366.51899340890498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11.441408791456055</v>
      </c>
      <c r="AV147" s="23">
        <f>EXP(-LN(2)/25)*AV146+(1-EXP(-LN(2)/25))/(LN(2)/25)*Calculateur!AQ147*Calculateur!AS147*VLOOKUP('Données projet'!$B$10,Paramètres!$A$1:$I$89,3,0)*0.475*44/12</f>
        <v>0.14172604640023387</v>
      </c>
      <c r="AW147" s="23">
        <f>EXP(-LN(2)/2)*AW146+(1-EXP(-LN(2)/2))/(LN(2)/2)*AQ147*AT147*VLOOKUP('Données projet'!$B$10,Paramètres!$A$1:$I$89,3,0)*0.475*44/12</f>
        <v>7.6433209670395655E-15</v>
      </c>
      <c r="AX147" s="23">
        <f t="shared" si="114"/>
        <v>11.583134837856296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5.6843418860808015E-14</v>
      </c>
      <c r="BE147" s="14">
        <f>BD147*VLOOKUP('Données projet'!$B$11,Paramètres!$A$1:$I$89,3,0)*VLOOKUP('Données projet'!$B$11,Paramètres!$A$1:$I$89,5,0)</f>
        <v>4.9658410716801891E-14</v>
      </c>
      <c r="BF147" s="14">
        <f t="shared" si="145"/>
        <v>8.0934058173791862E-13</v>
      </c>
      <c r="BG147" s="22">
        <f t="shared" si="115"/>
        <v>1.4960899118586383E-12</v>
      </c>
      <c r="BH147" s="62">
        <f t="shared" si="116"/>
        <v>285.95786938129436</v>
      </c>
      <c r="BI147" s="62">
        <f ca="1">AVERAGE(OFFSET($BH$3,0,0,'Données projet'!$E$11+1,1))-AVERAGE(OFFSET($H$3,0,0,'Données projet'!$E$11+1,1))</f>
        <v>342.02279578180605</v>
      </c>
      <c r="BJ147" s="62">
        <f t="shared" si="146"/>
        <v>409.02379334777754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317.99999999999972</v>
      </c>
      <c r="BZ147" s="14">
        <f>BY147*VLOOKUP('Données projet'!$B$12,Paramètres!$A$1:$I$89,3,0)*VLOOKUP('Données projet'!$B$12,Paramètres!$A$1:$I$89,5,0)</f>
        <v>253.0007999999998</v>
      </c>
      <c r="CA147" s="14">
        <f t="shared" si="147"/>
        <v>61.228070105968683</v>
      </c>
      <c r="CB147" s="22">
        <f t="shared" si="118"/>
        <v>547.28194876789507</v>
      </c>
      <c r="CC147" s="62">
        <f t="shared" si="119"/>
        <v>833.23981814918795</v>
      </c>
      <c r="CD147" s="62">
        <f ca="1">AVERAGE(OFFSET($CC$3,0,0,'Données projet'!$E$12+1,1))-AVERAGE(OFFSET($H$3,0,0,'Données projet'!$E$12+1,1))</f>
        <v>376.47942810265266</v>
      </c>
      <c r="CE147" s="62">
        <f t="shared" si="148"/>
        <v>362.87951024071265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1.7514040567828195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1.7514040567828195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317.99999999999972</v>
      </c>
      <c r="CU147" s="18">
        <f>CT147*VLOOKUP('Données projet'!$B$13,Paramètres!$A$1:$I$89,3,0)*VLOOKUP('Données projet'!$B$13,Paramètres!$A$1:$I$89,5,0)</f>
        <v>233.1575999999998</v>
      </c>
      <c r="CV147" s="14">
        <f t="shared" si="149"/>
        <v>56.964885721091697</v>
      </c>
      <c r="CW147" s="22">
        <f t="shared" si="121"/>
        <v>505.29666263090093</v>
      </c>
      <c r="CX147" s="62">
        <f t="shared" si="122"/>
        <v>791.25453201219375</v>
      </c>
      <c r="CY147" s="62">
        <f ca="1">AVERAGE(OFFSET($CX$3,0,0,'Données projet'!$E$13+1,1))-AVERAGE(OFFSET($H$3,0,0,'Données projet'!$E$13+1,1))</f>
        <v>351.7223836693733</v>
      </c>
      <c r="CZ147" s="62">
        <f t="shared" si="150"/>
        <v>339.34942976598518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1.3095033661702091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1.3095033661702091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183.33333333333334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6.3550942286383367E-14</v>
      </c>
      <c r="P148" s="14">
        <f t="shared" si="141"/>
        <v>1.0064464192543978E-12</v>
      </c>
      <c r="Q148" s="22">
        <f t="shared" si="108"/>
        <v>1.8635787380168604E-12</v>
      </c>
      <c r="R148" s="62">
        <f t="shared" si="109"/>
        <v>286.08581719179546</v>
      </c>
      <c r="S148" s="62">
        <f ca="1">AVERAGE(OFFSET($R$3,0,0,'Données projet'!$E$9+1,1))-AVERAGE(OFFSET($H$3,0,0,'Données projet'!$E$9+1,1))</f>
        <v>409.45931633551902</v>
      </c>
      <c r="T148" s="62">
        <f t="shared" si="142"/>
        <v>375.18886653687389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0.5435550239762561</v>
      </c>
      <c r="AA148" s="23">
        <f>EXP(-LN(2)/25)*AA147+(1-EXP(-LN(2)/25))/(LN(2)/25)*Calculateur!V148*Calculateur!X148*VLOOKUP('Données projet'!$B$9,Paramètres!$A$1:$I$89,3,0)*0.475*44/12</f>
        <v>0.79646715525929512</v>
      </c>
      <c r="AB148" s="23">
        <f>EXP(-LN(2)/2)*AB147+(1-EXP(-LN(2)/2))/(LN(2)/2)*V148*Y148*VLOOKUP('Données projet'!$B$9,Paramètres!$A$1:$I$89,3,0)*0.475*44/12</f>
        <v>5.6921183650119047E-17</v>
      </c>
      <c r="AC148" s="24">
        <f t="shared" si="111"/>
        <v>1.3400221792355511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5.6843418860808015E-14</v>
      </c>
      <c r="AJ148" s="14">
        <f>AI148*VLOOKUP('Données projet'!$B$10,Paramètres!$A$1:$I$89,3,0)*VLOOKUP('Données projet'!$B$10,Paramètres!$A$1:$I$89,5,0)</f>
        <v>3.3992364478763198E-14</v>
      </c>
      <c r="AK148" s="14">
        <f t="shared" si="143"/>
        <v>5.790027782444094E-13</v>
      </c>
      <c r="AL148" s="22">
        <f t="shared" si="112"/>
        <v>1.0676332069095257E-12</v>
      </c>
      <c r="AM148" s="62">
        <f t="shared" si="113"/>
        <v>286.08581719179466</v>
      </c>
      <c r="AN148" s="62">
        <f ca="1">AVERAGE(OFFSET($AM$3,0,0,'Données projet'!$E$10+1,1))-AVERAGE(OFFSET($H$3,0,0,'Données projet'!$E$10+1,1))</f>
        <v>212.90262675152454</v>
      </c>
      <c r="AO148" s="62">
        <f t="shared" si="144"/>
        <v>366.51899340890498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11.217049743625889</v>
      </c>
      <c r="AV148" s="23">
        <f>EXP(-LN(2)/25)*AV147+(1-EXP(-LN(2)/25))/(LN(2)/25)*Calculateur!AQ148*Calculateur!AS148*VLOOKUP('Données projet'!$B$10,Paramètres!$A$1:$I$89,3,0)*0.475*44/12</f>
        <v>0.13785054020837062</v>
      </c>
      <c r="AW148" s="23">
        <f>EXP(-LN(2)/2)*AW147+(1-EXP(-LN(2)/2))/(LN(2)/2)*AQ148*AT148*VLOOKUP('Données projet'!$B$10,Paramètres!$A$1:$I$89,3,0)*0.475*44/12</f>
        <v>5.4046440865789969E-15</v>
      </c>
      <c r="AX148" s="23">
        <f t="shared" si="114"/>
        <v>11.354900283834265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5.6843418860808015E-14</v>
      </c>
      <c r="BE148" s="14">
        <f>BD148*VLOOKUP('Données projet'!$B$11,Paramètres!$A$1:$I$89,3,0)*VLOOKUP('Données projet'!$B$11,Paramètres!$A$1:$I$89,5,0)</f>
        <v>4.9658410716801891E-14</v>
      </c>
      <c r="BF148" s="14">
        <f t="shared" si="145"/>
        <v>8.0934058173791862E-13</v>
      </c>
      <c r="BG148" s="22">
        <f t="shared" si="115"/>
        <v>1.4960899118586383E-12</v>
      </c>
      <c r="BH148" s="62">
        <f t="shared" si="116"/>
        <v>286.08581719179506</v>
      </c>
      <c r="BI148" s="62">
        <f ca="1">AVERAGE(OFFSET($BH$3,0,0,'Données projet'!$E$11+1,1))-AVERAGE(OFFSET($H$3,0,0,'Données projet'!$E$11+1,1))</f>
        <v>342.02279578180605</v>
      </c>
      <c r="BJ148" s="62">
        <f t="shared" si="146"/>
        <v>409.02379334777754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317.99999999999972</v>
      </c>
      <c r="BZ148" s="14">
        <f>BY148*VLOOKUP('Données projet'!$B$12,Paramètres!$A$1:$I$89,3,0)*VLOOKUP('Données projet'!$B$12,Paramètres!$A$1:$I$89,5,0)</f>
        <v>253.0007999999998</v>
      </c>
      <c r="CA148" s="14">
        <f t="shared" si="147"/>
        <v>61.228070105968683</v>
      </c>
      <c r="CB148" s="22">
        <f t="shared" si="118"/>
        <v>547.28194876789507</v>
      </c>
      <c r="CC148" s="62">
        <f t="shared" si="119"/>
        <v>833.36776595968865</v>
      </c>
      <c r="CD148" s="62">
        <f ca="1">AVERAGE(OFFSET($CC$3,0,0,'Données projet'!$E$12+1,1))-AVERAGE(OFFSET($H$3,0,0,'Données projet'!$E$12+1,1))</f>
        <v>376.47942810265266</v>
      </c>
      <c r="CE148" s="62">
        <f t="shared" si="148"/>
        <v>362.87951024071265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1.717060091480302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1.717060091480302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317.99999999999972</v>
      </c>
      <c r="CU148" s="18">
        <f>CT148*VLOOKUP('Données projet'!$B$13,Paramètres!$A$1:$I$89,3,0)*VLOOKUP('Données projet'!$B$13,Paramètres!$A$1:$I$89,5,0)</f>
        <v>233.1575999999998</v>
      </c>
      <c r="CV148" s="14">
        <f t="shared" si="149"/>
        <v>56.964885721091697</v>
      </c>
      <c r="CW148" s="22">
        <f t="shared" si="121"/>
        <v>505.29666263090093</v>
      </c>
      <c r="CX148" s="62">
        <f t="shared" si="122"/>
        <v>791.38247982269445</v>
      </c>
      <c r="CY148" s="62">
        <f ca="1">AVERAGE(OFFSET($CX$3,0,0,'Données projet'!$E$13+1,1))-AVERAGE(OFFSET($H$3,0,0,'Données projet'!$E$13+1,1))</f>
        <v>351.7223836693733</v>
      </c>
      <c r="CZ148" s="62">
        <f t="shared" si="150"/>
        <v>339.34942976598518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1.2838248038777977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1.2838248038777977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183.33333333333334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6.3550942286383367E-14</v>
      </c>
      <c r="P149" s="14">
        <f t="shared" si="141"/>
        <v>1.0064464192543978E-12</v>
      </c>
      <c r="Q149" s="22">
        <f t="shared" si="108"/>
        <v>1.8635787380168604E-12</v>
      </c>
      <c r="R149" s="62">
        <f t="shared" si="109"/>
        <v>286.21154539383252</v>
      </c>
      <c r="S149" s="62">
        <f ca="1">AVERAGE(OFFSET($R$3,0,0,'Données projet'!$E$9+1,1))-AVERAGE(OFFSET($H$3,0,0,'Données projet'!$E$9+1,1))</f>
        <v>409.45931633551902</v>
      </c>
      <c r="T149" s="62">
        <f t="shared" si="142"/>
        <v>375.18886653687389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0.53289624149190995</v>
      </c>
      <c r="AA149" s="23">
        <f>EXP(-LN(2)/25)*AA148+(1-EXP(-LN(2)/25))/(LN(2)/25)*Calculateur!V149*Calculateur!X149*VLOOKUP('Données projet'!$B$9,Paramètres!$A$1:$I$89,3,0)*0.475*44/12</f>
        <v>0.7746877190143423</v>
      </c>
      <c r="AB149" s="23">
        <f>EXP(-LN(2)/2)*AB148+(1-EXP(-LN(2)/2))/(LN(2)/2)*V149*Y149*VLOOKUP('Données projet'!$B$9,Paramètres!$A$1:$I$89,3,0)*0.475*44/12</f>
        <v>4.0249354952164017E-17</v>
      </c>
      <c r="AC149" s="24">
        <f t="shared" si="111"/>
        <v>1.3075839605062523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5.6843418860808015E-14</v>
      </c>
      <c r="AJ149" s="14">
        <f>AI149*VLOOKUP('Données projet'!$B$10,Paramètres!$A$1:$I$89,3,0)*VLOOKUP('Données projet'!$B$10,Paramètres!$A$1:$I$89,5,0)</f>
        <v>3.3992364478763198E-14</v>
      </c>
      <c r="AK149" s="14">
        <f t="shared" si="143"/>
        <v>5.790027782444094E-13</v>
      </c>
      <c r="AL149" s="22">
        <f t="shared" si="112"/>
        <v>1.0676332069095257E-12</v>
      </c>
      <c r="AM149" s="62">
        <f t="shared" si="113"/>
        <v>286.21154539383173</v>
      </c>
      <c r="AN149" s="62">
        <f ca="1">AVERAGE(OFFSET($AM$3,0,0,'Données projet'!$E$10+1,1))-AVERAGE(OFFSET($H$3,0,0,'Données projet'!$E$10+1,1))</f>
        <v>212.90262675152454</v>
      </c>
      <c r="AO149" s="62">
        <f t="shared" si="144"/>
        <v>366.51899340890498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10.997090239878165</v>
      </c>
      <c r="AV149" s="23">
        <f>EXP(-LN(2)/25)*AV148+(1-EXP(-LN(2)/25))/(LN(2)/25)*Calculateur!AQ149*Calculateur!AS149*VLOOKUP('Données projet'!$B$10,Paramètres!$A$1:$I$89,3,0)*0.475*44/12</f>
        <v>0.13408100993712788</v>
      </c>
      <c r="AW149" s="23">
        <f>EXP(-LN(2)/2)*AW148+(1-EXP(-LN(2)/2))/(LN(2)/2)*AQ149*AT149*VLOOKUP('Données projet'!$B$10,Paramètres!$A$1:$I$89,3,0)*0.475*44/12</f>
        <v>3.8216604835197828E-15</v>
      </c>
      <c r="AX149" s="23">
        <f t="shared" si="114"/>
        <v>11.131171249815297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5.6843418860808015E-14</v>
      </c>
      <c r="BE149" s="14">
        <f>BD149*VLOOKUP('Données projet'!$B$11,Paramètres!$A$1:$I$89,3,0)*VLOOKUP('Données projet'!$B$11,Paramètres!$A$1:$I$89,5,0)</f>
        <v>4.9658410716801891E-14</v>
      </c>
      <c r="BF149" s="14">
        <f t="shared" si="145"/>
        <v>8.0934058173791862E-13</v>
      </c>
      <c r="BG149" s="22">
        <f t="shared" si="115"/>
        <v>1.4960899118586383E-12</v>
      </c>
      <c r="BH149" s="62">
        <f t="shared" si="116"/>
        <v>286.21154539383213</v>
      </c>
      <c r="BI149" s="62">
        <f ca="1">AVERAGE(OFFSET($BH$3,0,0,'Données projet'!$E$11+1,1))-AVERAGE(OFFSET($H$3,0,0,'Données projet'!$E$11+1,1))</f>
        <v>342.02279578180605</v>
      </c>
      <c r="BJ149" s="62">
        <f t="shared" si="146"/>
        <v>409.02379334777754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317.99999999999972</v>
      </c>
      <c r="BZ149" s="14">
        <f>BY149*VLOOKUP('Données projet'!$B$12,Paramètres!$A$1:$I$89,3,0)*VLOOKUP('Données projet'!$B$12,Paramètres!$A$1:$I$89,5,0)</f>
        <v>253.0007999999998</v>
      </c>
      <c r="CA149" s="14">
        <f t="shared" si="147"/>
        <v>61.228070105968683</v>
      </c>
      <c r="CB149" s="22">
        <f t="shared" si="118"/>
        <v>547.28194876789507</v>
      </c>
      <c r="CC149" s="62">
        <f t="shared" si="119"/>
        <v>833.49349416172572</v>
      </c>
      <c r="CD149" s="62">
        <f ca="1">AVERAGE(OFFSET($CC$3,0,0,'Données projet'!$E$12+1,1))-AVERAGE(OFFSET($H$3,0,0,'Données projet'!$E$12+1,1))</f>
        <v>376.47942810265266</v>
      </c>
      <c r="CE149" s="62">
        <f t="shared" si="148"/>
        <v>362.87951024071265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1.6833895903896166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1.6833895903896166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317.99999999999972</v>
      </c>
      <c r="CU149" s="18">
        <f>CT149*VLOOKUP('Données projet'!$B$13,Paramètres!$A$1:$I$89,3,0)*VLOOKUP('Données projet'!$B$13,Paramètres!$A$1:$I$89,5,0)</f>
        <v>233.1575999999998</v>
      </c>
      <c r="CV149" s="14">
        <f t="shared" si="149"/>
        <v>56.964885721091697</v>
      </c>
      <c r="CW149" s="22">
        <f t="shared" si="121"/>
        <v>505.29666263090093</v>
      </c>
      <c r="CX149" s="62">
        <f t="shared" si="122"/>
        <v>791.50820802473163</v>
      </c>
      <c r="CY149" s="62">
        <f ca="1">AVERAGE(OFFSET($CX$3,0,0,'Données projet'!$E$13+1,1))-AVERAGE(OFFSET($H$3,0,0,'Données projet'!$E$13+1,1))</f>
        <v>351.7223836693733</v>
      </c>
      <c r="CZ149" s="62">
        <f t="shared" si="150"/>
        <v>339.34942976598518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1.2586497825295642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1.2586497825295642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183.33333333333334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6.3550942286383367E-14</v>
      </c>
      <c r="P150" s="14">
        <f t="shared" si="141"/>
        <v>1.0064464192543978E-12</v>
      </c>
      <c r="Q150" s="22">
        <f t="shared" si="108"/>
        <v>1.8635787380168604E-12</v>
      </c>
      <c r="R150" s="62">
        <f t="shared" si="109"/>
        <v>286.33509249265029</v>
      </c>
      <c r="S150" s="62">
        <f ca="1">AVERAGE(OFFSET($R$3,0,0,'Données projet'!$E$9+1,1))-AVERAGE(OFFSET($H$3,0,0,'Données projet'!$E$9+1,1))</f>
        <v>409.45931633551902</v>
      </c>
      <c r="T150" s="62">
        <f t="shared" si="142"/>
        <v>375.18886653687389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0.5224464712308664</v>
      </c>
      <c r="AA150" s="23">
        <f>EXP(-LN(2)/25)*AA149+(1-EXP(-LN(2)/25))/(LN(2)/25)*Calculateur!V150*Calculateur!X150*VLOOKUP('Données projet'!$B$9,Paramètres!$A$1:$I$89,3,0)*0.475*44/12</f>
        <v>0.75350384259883851</v>
      </c>
      <c r="AB150" s="23">
        <f>EXP(-LN(2)/2)*AB149+(1-EXP(-LN(2)/2))/(LN(2)/2)*V150*Y150*VLOOKUP('Données projet'!$B$9,Paramètres!$A$1:$I$89,3,0)*0.475*44/12</f>
        <v>2.8460591825059523E-17</v>
      </c>
      <c r="AC150" s="24">
        <f t="shared" si="111"/>
        <v>1.2759503138297048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5.6843418860808015E-14</v>
      </c>
      <c r="AJ150" s="14">
        <f>AI150*VLOOKUP('Données projet'!$B$10,Paramètres!$A$1:$I$89,3,0)*VLOOKUP('Données projet'!$B$10,Paramètres!$A$1:$I$89,5,0)</f>
        <v>3.3992364478763198E-14</v>
      </c>
      <c r="AK150" s="14">
        <f t="shared" si="143"/>
        <v>5.790027782444094E-13</v>
      </c>
      <c r="AL150" s="22">
        <f t="shared" si="112"/>
        <v>1.0676332069095257E-12</v>
      </c>
      <c r="AM150" s="62">
        <f t="shared" si="113"/>
        <v>286.33509249264949</v>
      </c>
      <c r="AN150" s="62">
        <f ca="1">AVERAGE(OFFSET($AM$3,0,0,'Données projet'!$E$10+1,1))-AVERAGE(OFFSET($H$3,0,0,'Données projet'!$E$10+1,1))</f>
        <v>212.90262675152454</v>
      </c>
      <c r="AO150" s="62">
        <f t="shared" si="144"/>
        <v>366.51899340890498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10.781444007836884</v>
      </c>
      <c r="AV150" s="23">
        <f>EXP(-LN(2)/25)*AV149+(1-EXP(-LN(2)/25))/(LN(2)/25)*Calculateur!AQ150*Calculateur!AS150*VLOOKUP('Données projet'!$B$10,Paramètres!$A$1:$I$89,3,0)*0.475*44/12</f>
        <v>0.13041455766938326</v>
      </c>
      <c r="AW150" s="23">
        <f>EXP(-LN(2)/2)*AW149+(1-EXP(-LN(2)/2))/(LN(2)/2)*AQ150*AT150*VLOOKUP('Données projet'!$B$10,Paramètres!$A$1:$I$89,3,0)*0.475*44/12</f>
        <v>2.7023220432894984E-15</v>
      </c>
      <c r="AX150" s="23">
        <f t="shared" si="114"/>
        <v>10.91185856550627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5.6843418860808015E-14</v>
      </c>
      <c r="BE150" s="14">
        <f>BD150*VLOOKUP('Données projet'!$B$11,Paramètres!$A$1:$I$89,3,0)*VLOOKUP('Données projet'!$B$11,Paramètres!$A$1:$I$89,5,0)</f>
        <v>4.9658410716801891E-14</v>
      </c>
      <c r="BF150" s="14">
        <f t="shared" si="145"/>
        <v>8.0934058173791862E-13</v>
      </c>
      <c r="BG150" s="22">
        <f t="shared" si="115"/>
        <v>1.4960899118586383E-12</v>
      </c>
      <c r="BH150" s="62">
        <f t="shared" si="116"/>
        <v>286.33509249264989</v>
      </c>
      <c r="BI150" s="62">
        <f ca="1">AVERAGE(OFFSET($BH$3,0,0,'Données projet'!$E$11+1,1))-AVERAGE(OFFSET($H$3,0,0,'Données projet'!$E$11+1,1))</f>
        <v>342.02279578180605</v>
      </c>
      <c r="BJ150" s="62">
        <f t="shared" si="146"/>
        <v>409.02379334777754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317.99999999999972</v>
      </c>
      <c r="BZ150" s="14">
        <f>BY150*VLOOKUP('Données projet'!$B$12,Paramètres!$A$1:$I$89,3,0)*VLOOKUP('Données projet'!$B$12,Paramètres!$A$1:$I$89,5,0)</f>
        <v>253.0007999999998</v>
      </c>
      <c r="CA150" s="14">
        <f t="shared" si="147"/>
        <v>61.228070105968683</v>
      </c>
      <c r="CB150" s="22">
        <f t="shared" si="118"/>
        <v>547.28194876789507</v>
      </c>
      <c r="CC150" s="62">
        <f t="shared" si="119"/>
        <v>833.61704126054349</v>
      </c>
      <c r="CD150" s="62">
        <f ca="1">AVERAGE(OFFSET($CC$3,0,0,'Données projet'!$E$12+1,1))-AVERAGE(OFFSET($H$3,0,0,'Données projet'!$E$12+1,1))</f>
        <v>376.47942810265266</v>
      </c>
      <c r="CE150" s="62">
        <f t="shared" si="148"/>
        <v>362.87951024071265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1.6503793472883415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1.6503793472883415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317.99999999999972</v>
      </c>
      <c r="CU150" s="18">
        <f>CT150*VLOOKUP('Données projet'!$B$13,Paramètres!$A$1:$I$89,3,0)*VLOOKUP('Données projet'!$B$13,Paramètres!$A$1:$I$89,5,0)</f>
        <v>233.1575999999998</v>
      </c>
      <c r="CV150" s="14">
        <f t="shared" si="149"/>
        <v>56.964885721091697</v>
      </c>
      <c r="CW150" s="22">
        <f t="shared" si="121"/>
        <v>505.29666263090093</v>
      </c>
      <c r="CX150" s="62">
        <f t="shared" si="122"/>
        <v>791.63175512354928</v>
      </c>
      <c r="CY150" s="62">
        <f ca="1">AVERAGE(OFFSET($CX$3,0,0,'Données projet'!$E$13+1,1))-AVERAGE(OFFSET($H$3,0,0,'Données projet'!$E$13+1,1))</f>
        <v>351.7223836693733</v>
      </c>
      <c r="CZ150" s="62">
        <f t="shared" si="150"/>
        <v>339.34942976598518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1.2339684279947227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1.2339684279947227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183.33333333333334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6.3550942286383367E-14</v>
      </c>
      <c r="P151" s="14">
        <f t="shared" si="141"/>
        <v>1.0064464192543978E-12</v>
      </c>
      <c r="Q151" s="22">
        <f t="shared" si="108"/>
        <v>1.8635787380168604E-12</v>
      </c>
      <c r="R151" s="62">
        <f t="shared" si="109"/>
        <v>286.45649632551357</v>
      </c>
      <c r="S151" s="62">
        <f ca="1">AVERAGE(OFFSET($R$3,0,0,'Données projet'!$E$9+1,1))-AVERAGE(OFFSET($H$3,0,0,'Données projet'!$E$9+1,1))</f>
        <v>409.45931633551902</v>
      </c>
      <c r="T151" s="62">
        <f t="shared" si="142"/>
        <v>375.18886653687389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0.5122016145909114</v>
      </c>
      <c r="AA151" s="23">
        <f>EXP(-LN(2)/25)*AA150+(1-EXP(-LN(2)/25))/(LN(2)/25)*Calculateur!V151*Calculateur!X151*VLOOKUP('Données projet'!$B$9,Paramètres!$A$1:$I$89,3,0)*0.475*44/12</f>
        <v>0.73289924039792831</v>
      </c>
      <c r="AB151" s="23">
        <f>EXP(-LN(2)/2)*AB150+(1-EXP(-LN(2)/2))/(LN(2)/2)*V151*Y151*VLOOKUP('Données projet'!$B$9,Paramètres!$A$1:$I$89,3,0)*0.475*44/12</f>
        <v>2.0124677476082008E-17</v>
      </c>
      <c r="AC151" s="24">
        <f t="shared" si="111"/>
        <v>1.2451008549888396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5.6843418860808015E-14</v>
      </c>
      <c r="AJ151" s="14">
        <f>AI151*VLOOKUP('Données projet'!$B$10,Paramètres!$A$1:$I$89,3,0)*VLOOKUP('Données projet'!$B$10,Paramètres!$A$1:$I$89,5,0)</f>
        <v>3.3992364478763198E-14</v>
      </c>
      <c r="AK151" s="14">
        <f t="shared" si="143"/>
        <v>5.790027782444094E-13</v>
      </c>
      <c r="AL151" s="22">
        <f t="shared" si="112"/>
        <v>1.0676332069095257E-12</v>
      </c>
      <c r="AM151" s="62">
        <f t="shared" si="113"/>
        <v>286.45649632551277</v>
      </c>
      <c r="AN151" s="62">
        <f ca="1">AVERAGE(OFFSET($AM$3,0,0,'Données projet'!$E$10+1,1))-AVERAGE(OFFSET($H$3,0,0,'Données projet'!$E$10+1,1))</f>
        <v>212.90262675152454</v>
      </c>
      <c r="AO151" s="62">
        <f t="shared" si="144"/>
        <v>366.51899340890498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10.570026466874719</v>
      </c>
      <c r="AV151" s="23">
        <f>EXP(-LN(2)/25)*AV150+(1-EXP(-LN(2)/25))/(LN(2)/25)*Calculateur!AQ151*Calculateur!AS151*VLOOKUP('Données projet'!$B$10,Paramètres!$A$1:$I$89,3,0)*0.475*44/12</f>
        <v>0.12684836473171046</v>
      </c>
      <c r="AW151" s="23">
        <f>EXP(-LN(2)/2)*AW150+(1-EXP(-LN(2)/2))/(LN(2)/2)*AQ151*AT151*VLOOKUP('Données projet'!$B$10,Paramètres!$A$1:$I$89,3,0)*0.475*44/12</f>
        <v>1.9108302417598914E-15</v>
      </c>
      <c r="AX151" s="23">
        <f t="shared" si="114"/>
        <v>10.696874831606431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5.6843418860808015E-14</v>
      </c>
      <c r="BE151" s="14">
        <f>BD151*VLOOKUP('Données projet'!$B$11,Paramètres!$A$1:$I$89,3,0)*VLOOKUP('Données projet'!$B$11,Paramètres!$A$1:$I$89,5,0)</f>
        <v>4.9658410716801891E-14</v>
      </c>
      <c r="BF151" s="14">
        <f t="shared" si="145"/>
        <v>8.0934058173791862E-13</v>
      </c>
      <c r="BG151" s="22">
        <f t="shared" si="115"/>
        <v>1.4960899118586383E-12</v>
      </c>
      <c r="BH151" s="62">
        <f t="shared" si="116"/>
        <v>286.45649632551317</v>
      </c>
      <c r="BI151" s="62">
        <f ca="1">AVERAGE(OFFSET($BH$3,0,0,'Données projet'!$E$11+1,1))-AVERAGE(OFFSET($H$3,0,0,'Données projet'!$E$11+1,1))</f>
        <v>342.02279578180605</v>
      </c>
      <c r="BJ151" s="62">
        <f t="shared" si="146"/>
        <v>409.02379334777754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317.99999999999972</v>
      </c>
      <c r="BZ151" s="14">
        <f>BY151*VLOOKUP('Données projet'!$B$12,Paramètres!$A$1:$I$89,3,0)*VLOOKUP('Données projet'!$B$12,Paramètres!$A$1:$I$89,5,0)</f>
        <v>253.0007999999998</v>
      </c>
      <c r="CA151" s="14">
        <f t="shared" si="147"/>
        <v>61.228070105968683</v>
      </c>
      <c r="CB151" s="22">
        <f t="shared" si="118"/>
        <v>547.28194876789507</v>
      </c>
      <c r="CC151" s="62">
        <f t="shared" si="119"/>
        <v>833.73844509340677</v>
      </c>
      <c r="CD151" s="62">
        <f ca="1">AVERAGE(OFFSET($CC$3,0,0,'Données projet'!$E$12+1,1))-AVERAGE(OFFSET($H$3,0,0,'Données projet'!$E$12+1,1))</f>
        <v>376.47942810265266</v>
      </c>
      <c r="CE151" s="62">
        <f t="shared" si="148"/>
        <v>362.87951024071265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1.6180164149200222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1.6180164149200222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317.99999999999972</v>
      </c>
      <c r="CU151" s="18">
        <f>CT151*VLOOKUP('Données projet'!$B$13,Paramètres!$A$1:$I$89,3,0)*VLOOKUP('Données projet'!$B$13,Paramètres!$A$1:$I$89,5,0)</f>
        <v>233.1575999999998</v>
      </c>
      <c r="CV151" s="14">
        <f t="shared" si="149"/>
        <v>56.964885721091697</v>
      </c>
      <c r="CW151" s="22">
        <f t="shared" si="121"/>
        <v>505.29666263090093</v>
      </c>
      <c r="CX151" s="62">
        <f t="shared" si="122"/>
        <v>791.75315895641256</v>
      </c>
      <c r="CY151" s="62">
        <f ca="1">AVERAGE(OFFSET($CX$3,0,0,'Données projet'!$E$13+1,1))-AVERAGE(OFFSET($H$3,0,0,'Données projet'!$E$13+1,1))</f>
        <v>351.7223836693733</v>
      </c>
      <c r="CZ151" s="62">
        <f t="shared" si="150"/>
        <v>339.34942976598518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1.2097710597681697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1.2097710597681697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183.33333333333334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6.3550942286383367E-14</v>
      </c>
      <c r="P152" s="14">
        <f t="shared" si="141"/>
        <v>1.0064464192543978E-12</v>
      </c>
      <c r="Q152" s="22">
        <f t="shared" si="108"/>
        <v>1.8635787380168604E-12</v>
      </c>
      <c r="R152" s="62">
        <f t="shared" si="109"/>
        <v>286.57579407329496</v>
      </c>
      <c r="S152" s="62">
        <f ca="1">AVERAGE(OFFSET($R$3,0,0,'Données projet'!$E$9+1,1))-AVERAGE(OFFSET($H$3,0,0,'Données projet'!$E$9+1,1))</f>
        <v>409.45931633551902</v>
      </c>
      <c r="T152" s="62">
        <f t="shared" si="142"/>
        <v>375.18886653687389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0.50215765334092044</v>
      </c>
      <c r="AA152" s="23">
        <f>EXP(-LN(2)/25)*AA151+(1-EXP(-LN(2)/25))/(LN(2)/25)*Calculateur!V152*Calculateur!X152*VLOOKUP('Données projet'!$B$9,Paramètres!$A$1:$I$89,3,0)*0.475*44/12</f>
        <v>0.71285807212775099</v>
      </c>
      <c r="AB152" s="23">
        <f>EXP(-LN(2)/2)*AB151+(1-EXP(-LN(2)/2))/(LN(2)/2)*V152*Y152*VLOOKUP('Données projet'!$B$9,Paramètres!$A$1:$I$89,3,0)*0.475*44/12</f>
        <v>1.4230295912529762E-17</v>
      </c>
      <c r="AC152" s="24">
        <f t="shared" si="111"/>
        <v>1.2150157254686715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5.6843418860808015E-14</v>
      </c>
      <c r="AJ152" s="14">
        <f>AI152*VLOOKUP('Données projet'!$B$10,Paramètres!$A$1:$I$89,3,0)*VLOOKUP('Données projet'!$B$10,Paramètres!$A$1:$I$89,5,0)</f>
        <v>3.3992364478763198E-14</v>
      </c>
      <c r="AK152" s="14">
        <f t="shared" si="143"/>
        <v>5.790027782444094E-13</v>
      </c>
      <c r="AL152" s="22">
        <f t="shared" si="112"/>
        <v>1.0676332069095257E-12</v>
      </c>
      <c r="AM152" s="62">
        <f t="shared" si="113"/>
        <v>286.57579407329416</v>
      </c>
      <c r="AN152" s="62">
        <f ca="1">AVERAGE(OFFSET($AM$3,0,0,'Données projet'!$E$10+1,1))-AVERAGE(OFFSET($H$3,0,0,'Données projet'!$E$10+1,1))</f>
        <v>212.90262675152454</v>
      </c>
      <c r="AO152" s="62">
        <f t="shared" si="144"/>
        <v>366.51899340890498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10.362754694938854</v>
      </c>
      <c r="AV152" s="23">
        <f>EXP(-LN(2)/25)*AV151+(1-EXP(-LN(2)/25))/(LN(2)/25)*Calculateur!AQ152*Calculateur!AS152*VLOOKUP('Données projet'!$B$10,Paramètres!$A$1:$I$89,3,0)*0.475*44/12</f>
        <v>0.12337968952745626</v>
      </c>
      <c r="AW152" s="23">
        <f>EXP(-LN(2)/2)*AW151+(1-EXP(-LN(2)/2))/(LN(2)/2)*AQ152*AT152*VLOOKUP('Données projet'!$B$10,Paramètres!$A$1:$I$89,3,0)*0.475*44/12</f>
        <v>1.3511610216447492E-15</v>
      </c>
      <c r="AX152" s="23">
        <f t="shared" si="114"/>
        <v>10.486134384466311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5.6843418860808015E-14</v>
      </c>
      <c r="BE152" s="14">
        <f>BD152*VLOOKUP('Données projet'!$B$11,Paramètres!$A$1:$I$89,3,0)*VLOOKUP('Données projet'!$B$11,Paramètres!$A$1:$I$89,5,0)</f>
        <v>4.9658410716801891E-14</v>
      </c>
      <c r="BF152" s="14">
        <f t="shared" si="145"/>
        <v>8.0934058173791862E-13</v>
      </c>
      <c r="BG152" s="22">
        <f t="shared" si="115"/>
        <v>1.4960899118586383E-12</v>
      </c>
      <c r="BH152" s="62">
        <f t="shared" si="116"/>
        <v>286.57579407329456</v>
      </c>
      <c r="BI152" s="62">
        <f ca="1">AVERAGE(OFFSET($BH$3,0,0,'Données projet'!$E$11+1,1))-AVERAGE(OFFSET($H$3,0,0,'Données projet'!$E$11+1,1))</f>
        <v>342.02279578180605</v>
      </c>
      <c r="BJ152" s="62">
        <f t="shared" si="146"/>
        <v>409.02379334777754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317.99999999999972</v>
      </c>
      <c r="BZ152" s="14">
        <f>BY152*VLOOKUP('Données projet'!$B$12,Paramètres!$A$1:$I$89,3,0)*VLOOKUP('Données projet'!$B$12,Paramètres!$A$1:$I$89,5,0)</f>
        <v>253.0007999999998</v>
      </c>
      <c r="CA152" s="14">
        <f t="shared" si="147"/>
        <v>61.228070105968683</v>
      </c>
      <c r="CB152" s="22">
        <f t="shared" si="118"/>
        <v>547.28194876789507</v>
      </c>
      <c r="CC152" s="62">
        <f t="shared" si="119"/>
        <v>833.85774284118816</v>
      </c>
      <c r="CD152" s="62">
        <f ca="1">AVERAGE(OFFSET($CC$3,0,0,'Données projet'!$E$12+1,1))-AVERAGE(OFFSET($H$3,0,0,'Données projet'!$E$12+1,1))</f>
        <v>376.47942810265266</v>
      </c>
      <c r="CE152" s="62">
        <f t="shared" si="148"/>
        <v>362.87951024071265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1.5862880999160061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1.5862880999160061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317.99999999999972</v>
      </c>
      <c r="CU152" s="18">
        <f>CT152*VLOOKUP('Données projet'!$B$13,Paramètres!$A$1:$I$89,3,0)*VLOOKUP('Données projet'!$B$13,Paramètres!$A$1:$I$89,5,0)</f>
        <v>233.1575999999998</v>
      </c>
      <c r="CV152" s="14">
        <f t="shared" si="149"/>
        <v>56.964885721091697</v>
      </c>
      <c r="CW152" s="22">
        <f t="shared" si="121"/>
        <v>505.29666263090093</v>
      </c>
      <c r="CX152" s="62">
        <f t="shared" si="122"/>
        <v>791.87245670419406</v>
      </c>
      <c r="CY152" s="62">
        <f ca="1">AVERAGE(OFFSET($CX$3,0,0,'Données projet'!$E$13+1,1))-AVERAGE(OFFSET($H$3,0,0,'Données projet'!$E$13+1,1))</f>
        <v>351.7223836693733</v>
      </c>
      <c r="CZ152" s="62">
        <f t="shared" si="150"/>
        <v>339.34942976598518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1.1860481871736019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1.1860481871736019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183.33333333333334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6.3550942286383367E-14</v>
      </c>
      <c r="P153" s="14">
        <f t="shared" si="141"/>
        <v>1.0064464192543978E-12</v>
      </c>
      <c r="Q153" s="22">
        <f t="shared" si="108"/>
        <v>1.8635787380168604E-12</v>
      </c>
      <c r="R153" s="62">
        <f t="shared" si="109"/>
        <v>286.69302227186222</v>
      </c>
      <c r="S153" s="62">
        <f ca="1">AVERAGE(OFFSET($R$3,0,0,'Données projet'!$E$9+1,1))-AVERAGE(OFFSET($H$3,0,0,'Données projet'!$E$9+1,1))</f>
        <v>409.45931633551902</v>
      </c>
      <c r="T153" s="62">
        <f t="shared" si="142"/>
        <v>375.18886653687389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0.49231064804483032</v>
      </c>
      <c r="AA153" s="23">
        <f>EXP(-LN(2)/25)*AA152+(1-EXP(-LN(2)/25))/(LN(2)/25)*Calculateur!V153*Calculateur!X153*VLOOKUP('Données projet'!$B$9,Paramètres!$A$1:$I$89,3,0)*0.475*44/12</f>
        <v>0.69336493065784088</v>
      </c>
      <c r="AB153" s="23">
        <f>EXP(-LN(2)/2)*AB152+(1-EXP(-LN(2)/2))/(LN(2)/2)*V153*Y153*VLOOKUP('Données projet'!$B$9,Paramètres!$A$1:$I$89,3,0)*0.475*44/12</f>
        <v>1.0062338738041004E-17</v>
      </c>
      <c r="AC153" s="24">
        <f t="shared" si="111"/>
        <v>1.1856755787026712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5.6843418860808015E-14</v>
      </c>
      <c r="AJ153" s="14">
        <f>AI153*VLOOKUP('Données projet'!$B$10,Paramètres!$A$1:$I$89,3,0)*VLOOKUP('Données projet'!$B$10,Paramètres!$A$1:$I$89,5,0)</f>
        <v>3.3992364478763198E-14</v>
      </c>
      <c r="AK153" s="14">
        <f t="shared" si="143"/>
        <v>5.790027782444094E-13</v>
      </c>
      <c r="AL153" s="22">
        <f t="shared" si="112"/>
        <v>1.0676332069095257E-12</v>
      </c>
      <c r="AM153" s="62">
        <f t="shared" si="113"/>
        <v>286.69302227186142</v>
      </c>
      <c r="AN153" s="62">
        <f ca="1">AVERAGE(OFFSET($AM$3,0,0,'Données projet'!$E$10+1,1))-AVERAGE(OFFSET($H$3,0,0,'Données projet'!$E$10+1,1))</f>
        <v>212.90262675152454</v>
      </c>
      <c r="AO153" s="62">
        <f t="shared" si="144"/>
        <v>366.51899340890498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10.159547396027353</v>
      </c>
      <c r="AV153" s="23">
        <f>EXP(-LN(2)/25)*AV152+(1-EXP(-LN(2)/25))/(LN(2)/25)*Calculateur!AQ153*Calculateur!AS153*VLOOKUP('Données projet'!$B$10,Paramètres!$A$1:$I$89,3,0)*0.475*44/12</f>
        <v>0.12000586542907209</v>
      </c>
      <c r="AW153" s="23">
        <f>EXP(-LN(2)/2)*AW152+(1-EXP(-LN(2)/2))/(LN(2)/2)*AQ153*AT153*VLOOKUP('Données projet'!$B$10,Paramètres!$A$1:$I$89,3,0)*0.475*44/12</f>
        <v>9.5541512087994569E-16</v>
      </c>
      <c r="AX153" s="23">
        <f t="shared" si="114"/>
        <v>10.279553261456426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5.6843418860808015E-14</v>
      </c>
      <c r="BE153" s="14">
        <f>BD153*VLOOKUP('Données projet'!$B$11,Paramètres!$A$1:$I$89,3,0)*VLOOKUP('Données projet'!$B$11,Paramètres!$A$1:$I$89,5,0)</f>
        <v>4.9658410716801891E-14</v>
      </c>
      <c r="BF153" s="14">
        <f t="shared" si="145"/>
        <v>8.0934058173791862E-13</v>
      </c>
      <c r="BG153" s="22">
        <f t="shared" si="115"/>
        <v>1.4960899118586383E-12</v>
      </c>
      <c r="BH153" s="62">
        <f t="shared" si="116"/>
        <v>286.69302227186182</v>
      </c>
      <c r="BI153" s="62">
        <f ca="1">AVERAGE(OFFSET($BH$3,0,0,'Données projet'!$E$11+1,1))-AVERAGE(OFFSET($H$3,0,0,'Données projet'!$E$11+1,1))</f>
        <v>342.02279578180605</v>
      </c>
      <c r="BJ153" s="62">
        <f t="shared" si="146"/>
        <v>409.02379334777754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317.99999999999972</v>
      </c>
      <c r="BZ153" s="14">
        <f>BY153*VLOOKUP('Données projet'!$B$12,Paramètres!$A$1:$I$89,3,0)*VLOOKUP('Données projet'!$B$12,Paramètres!$A$1:$I$89,5,0)</f>
        <v>253.0007999999998</v>
      </c>
      <c r="CA153" s="14">
        <f t="shared" si="147"/>
        <v>61.228070105968683</v>
      </c>
      <c r="CB153" s="22">
        <f t="shared" si="118"/>
        <v>547.28194876789507</v>
      </c>
      <c r="CC153" s="62">
        <f t="shared" si="119"/>
        <v>833.97497103975547</v>
      </c>
      <c r="CD153" s="62">
        <f ca="1">AVERAGE(OFFSET($CC$3,0,0,'Données projet'!$E$12+1,1))-AVERAGE(OFFSET($H$3,0,0,'Données projet'!$E$12+1,1))</f>
        <v>376.47942810265266</v>
      </c>
      <c r="CE153" s="62">
        <f t="shared" si="148"/>
        <v>362.87951024071265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1.5551819578168575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1.5551819578168575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317.99999999999972</v>
      </c>
      <c r="CU153" s="18">
        <f>CT153*VLOOKUP('Données projet'!$B$13,Paramètres!$A$1:$I$89,3,0)*VLOOKUP('Données projet'!$B$13,Paramètres!$A$1:$I$89,5,0)</f>
        <v>233.1575999999998</v>
      </c>
      <c r="CV153" s="14">
        <f t="shared" si="149"/>
        <v>56.964885721091697</v>
      </c>
      <c r="CW153" s="22">
        <f t="shared" si="121"/>
        <v>505.29666263090093</v>
      </c>
      <c r="CX153" s="62">
        <f t="shared" si="122"/>
        <v>791.98968490276127</v>
      </c>
      <c r="CY153" s="62">
        <f ca="1">AVERAGE(OFFSET($CX$3,0,0,'Données projet'!$E$13+1,1))-AVERAGE(OFFSET($H$3,0,0,'Données projet'!$E$13+1,1))</f>
        <v>351.7223836693733</v>
      </c>
      <c r="CZ153" s="62">
        <f t="shared" si="150"/>
        <v>339.34942976598518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1.1627905056410901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1.1627905056410901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183.33333333333334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6.3550942286383367E-14</v>
      </c>
      <c r="P154" s="14">
        <f t="shared" si="141"/>
        <v>1.0064464192543978E-12</v>
      </c>
      <c r="Q154" s="22">
        <f t="shared" ref="Q154:Q203" si="162">(O154+P154)*0.475*44/12</f>
        <v>1.8635787380168604E-12</v>
      </c>
      <c r="R154" s="62">
        <f t="shared" si="109"/>
        <v>286.80821682326723</v>
      </c>
      <c r="S154" s="62">
        <f ca="1">AVERAGE(OFFSET($R$3,0,0,'Données projet'!$E$9+1,1))-AVERAGE(OFFSET($H$3,0,0,'Données projet'!$E$9+1,1))</f>
        <v>409.45931633551902</v>
      </c>
      <c r="T154" s="62">
        <f t="shared" si="142"/>
        <v>375.18886653687389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0.48265673651651636</v>
      </c>
      <c r="AA154" s="23">
        <f>EXP(-LN(2)/25)*AA153+(1-EXP(-LN(2)/25))/(LN(2)/25)*Calculateur!V154*Calculateur!X154*VLOOKUP('Données projet'!$B$9,Paramètres!$A$1:$I$89,3,0)*0.475*44/12</f>
        <v>0.67440483016652519</v>
      </c>
      <c r="AB154" s="23">
        <f>EXP(-LN(2)/2)*AB153+(1-EXP(-LN(2)/2))/(LN(2)/2)*V154*Y154*VLOOKUP('Données projet'!$B$9,Paramètres!$A$1:$I$89,3,0)*0.475*44/12</f>
        <v>7.1151479562648809E-18</v>
      </c>
      <c r="AC154" s="24">
        <f t="shared" ref="AC154:AC203" si="163">SUM(Z154:AB154)</f>
        <v>1.1570615666830415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5.6843418860808015E-14</v>
      </c>
      <c r="AJ154" s="14">
        <f>AI154*VLOOKUP('Données projet'!$B$10,Paramètres!$A$1:$I$89,3,0)*VLOOKUP('Données projet'!$B$10,Paramètres!$A$1:$I$89,5,0)</f>
        <v>3.3992364478763198E-14</v>
      </c>
      <c r="AK154" s="14">
        <f t="shared" ref="AK154:AK203" si="164">EXP(-1.0587+0.8836*LN(AJ154)+0.284)</f>
        <v>5.790027782444094E-13</v>
      </c>
      <c r="AL154" s="22">
        <f t="shared" ref="AL154:AL203" si="165">(AJ154+AK154)*0.475*44/12</f>
        <v>1.0676332069095257E-12</v>
      </c>
      <c r="AM154" s="62">
        <f t="shared" si="113"/>
        <v>286.80821682326643</v>
      </c>
      <c r="AN154" s="62">
        <f ca="1">AVERAGE(OFFSET($AM$3,0,0,'Données projet'!$E$10+1,1))-AVERAGE(OFFSET($H$3,0,0,'Données projet'!$E$10+1,1))</f>
        <v>212.90262675152454</v>
      </c>
      <c r="AO154" s="62">
        <f t="shared" si="144"/>
        <v>366.51899340890498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9.9603248683032941</v>
      </c>
      <c r="AV154" s="23">
        <f>EXP(-LN(2)/25)*AV153+(1-EXP(-LN(2)/25))/(LN(2)/25)*Calculateur!AQ154*Calculateur!AS154*VLOOKUP('Données projet'!$B$10,Paramètres!$A$1:$I$89,3,0)*0.475*44/12</f>
        <v>0.11672429872807992</v>
      </c>
      <c r="AW154" s="23">
        <f>EXP(-LN(2)/2)*AW153+(1-EXP(-LN(2)/2))/(LN(2)/2)*AQ154*AT154*VLOOKUP('Données projet'!$B$10,Paramètres!$A$1:$I$89,3,0)*0.475*44/12</f>
        <v>6.7558051082237461E-16</v>
      </c>
      <c r="AX154" s="23">
        <f t="shared" ref="AX154:AX203" si="166">SUM(AU154:AW154)</f>
        <v>10.077049167031374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5.6843418860808015E-14</v>
      </c>
      <c r="BE154" s="14">
        <f>BD154*VLOOKUP('Données projet'!$B$11,Paramètres!$A$1:$I$89,3,0)*VLOOKUP('Données projet'!$B$11,Paramètres!$A$1:$I$89,5,0)</f>
        <v>4.9658410716801891E-14</v>
      </c>
      <c r="BF154" s="14">
        <f t="shared" ref="BF154:BF203" si="167">EXP(-1.0587+0.8836*LN(BE154)+0.284)</f>
        <v>8.0934058173791862E-13</v>
      </c>
      <c r="BG154" s="22">
        <f t="shared" ref="BG154:BG203" si="168">(BE154+BF154)*0.475*44/12</f>
        <v>1.4960899118586383E-12</v>
      </c>
      <c r="BH154" s="62">
        <f t="shared" si="116"/>
        <v>286.80821682326683</v>
      </c>
      <c r="BI154" s="62">
        <f ca="1">AVERAGE(OFFSET($BH$3,0,0,'Données projet'!$E$11+1,1))-AVERAGE(OFFSET($H$3,0,0,'Données projet'!$E$11+1,1))</f>
        <v>342.02279578180605</v>
      </c>
      <c r="BJ154" s="62">
        <f t="shared" si="146"/>
        <v>409.02379334777754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317.99999999999972</v>
      </c>
      <c r="BZ154" s="14">
        <f>BY154*VLOOKUP('Données projet'!$B$12,Paramètres!$A$1:$I$89,3,0)*VLOOKUP('Données projet'!$B$12,Paramètres!$A$1:$I$89,5,0)</f>
        <v>253.0007999999998</v>
      </c>
      <c r="CA154" s="14">
        <f t="shared" ref="CA154:CA203" si="170">EXP(-1.0587+0.8836*LN(BZ154)+0.284)</f>
        <v>61.228070105968683</v>
      </c>
      <c r="CB154" s="22">
        <f t="shared" ref="CB154:CB203" si="171">(BZ154+CA154)*0.475*44/12</f>
        <v>547.28194876789507</v>
      </c>
      <c r="CC154" s="62">
        <f t="shared" si="119"/>
        <v>834.09016559116048</v>
      </c>
      <c r="CD154" s="62">
        <f ca="1">AVERAGE(OFFSET($CC$3,0,0,'Données projet'!$E$12+1,1))-AVERAGE(OFFSET($H$3,0,0,'Données projet'!$E$12+1,1))</f>
        <v>376.47942810265266</v>
      </c>
      <c r="CE154" s="62">
        <f t="shared" si="148"/>
        <v>362.87951024071265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1.5246857881914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1.5246857881914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317.99999999999972</v>
      </c>
      <c r="CU154" s="18">
        <f>CT154*VLOOKUP('Données projet'!$B$13,Paramètres!$A$1:$I$89,3,0)*VLOOKUP('Données projet'!$B$13,Paramètres!$A$1:$I$89,5,0)</f>
        <v>233.1575999999998</v>
      </c>
      <c r="CV154" s="14">
        <f t="shared" ref="CV154:CV203" si="173">EXP(-1.0587+0.8836*LN(CU154)+0.284)</f>
        <v>56.964885721091697</v>
      </c>
      <c r="CW154" s="22">
        <f t="shared" ref="CW154:CW203" si="174">(CU154+CV154)*0.475*44/12</f>
        <v>505.29666263090093</v>
      </c>
      <c r="CX154" s="62">
        <f t="shared" si="122"/>
        <v>792.10487945416628</v>
      </c>
      <c r="CY154" s="62">
        <f ca="1">AVERAGE(OFFSET($CX$3,0,0,'Données projet'!$E$13+1,1))-AVERAGE(OFFSET($H$3,0,0,'Données projet'!$E$13+1,1))</f>
        <v>351.7223836693733</v>
      </c>
      <c r="CZ154" s="62">
        <f t="shared" si="150"/>
        <v>339.34942976598518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1.1399888930576458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1.1399888930576458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183.33333333333334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6.3550942286383367E-14</v>
      </c>
      <c r="P155" s="14">
        <f t="shared" si="141"/>
        <v>1.0064464192543978E-12</v>
      </c>
      <c r="Q155" s="22">
        <f t="shared" si="162"/>
        <v>1.8635787380168604E-12</v>
      </c>
      <c r="R155" s="62">
        <f t="shared" si="109"/>
        <v>286.92141300674177</v>
      </c>
      <c r="S155" s="62">
        <f ca="1">AVERAGE(OFFSET($R$3,0,0,'Données projet'!$E$9+1,1))-AVERAGE(OFFSET($H$3,0,0,'Données projet'!$E$9+1,1))</f>
        <v>409.45931633551902</v>
      </c>
      <c r="T155" s="62">
        <f t="shared" si="142"/>
        <v>375.18886653687389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0.47319213230496798</v>
      </c>
      <c r="AA155" s="23">
        <f>EXP(-LN(2)/25)*AA154+(1-EXP(-LN(2)/25))/(LN(2)/25)*Calculateur!V155*Calculateur!X155*VLOOKUP('Données projet'!$B$9,Paramètres!$A$1:$I$89,3,0)*0.475*44/12</f>
        <v>0.65596319462021291</v>
      </c>
      <c r="AB155" s="23">
        <f>EXP(-LN(2)/2)*AB154+(1-EXP(-LN(2)/2))/(LN(2)/2)*V155*Y155*VLOOKUP('Données projet'!$B$9,Paramètres!$A$1:$I$89,3,0)*0.475*44/12</f>
        <v>5.0311693690205021E-18</v>
      </c>
      <c r="AC155" s="24">
        <f t="shared" si="163"/>
        <v>1.1291553269251808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5.6843418860808015E-14</v>
      </c>
      <c r="AJ155" s="14">
        <f>AI155*VLOOKUP('Données projet'!$B$10,Paramètres!$A$1:$I$89,3,0)*VLOOKUP('Données projet'!$B$10,Paramètres!$A$1:$I$89,5,0)</f>
        <v>3.3992364478763198E-14</v>
      </c>
      <c r="AK155" s="14">
        <f t="shared" si="164"/>
        <v>5.790027782444094E-13</v>
      </c>
      <c r="AL155" s="22">
        <f t="shared" si="165"/>
        <v>1.0676332069095257E-12</v>
      </c>
      <c r="AM155" s="62">
        <f t="shared" si="113"/>
        <v>286.92141300674098</v>
      </c>
      <c r="AN155" s="62">
        <f ca="1">AVERAGE(OFFSET($AM$3,0,0,'Données projet'!$E$10+1,1))-AVERAGE(OFFSET($H$3,0,0,'Données projet'!$E$10+1,1))</f>
        <v>212.90262675152454</v>
      </c>
      <c r="AO155" s="62">
        <f t="shared" si="144"/>
        <v>366.51899340890498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9.7650089728341598</v>
      </c>
      <c r="AV155" s="23">
        <f>EXP(-LN(2)/25)*AV154+(1-EXP(-LN(2)/25))/(LN(2)/25)*Calculateur!AQ155*Calculateur!AS155*VLOOKUP('Données projet'!$B$10,Paramètres!$A$1:$I$89,3,0)*0.475*44/12</f>
        <v>0.11353246664109648</v>
      </c>
      <c r="AW155" s="23">
        <f>EXP(-LN(2)/2)*AW154+(1-EXP(-LN(2)/2))/(LN(2)/2)*AQ155*AT155*VLOOKUP('Données projet'!$B$10,Paramètres!$A$1:$I$89,3,0)*0.475*44/12</f>
        <v>4.7770756043997284E-16</v>
      </c>
      <c r="AX155" s="23">
        <f t="shared" si="166"/>
        <v>9.8785414394752564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5.6843418860808015E-14</v>
      </c>
      <c r="BE155" s="14">
        <f>BD155*VLOOKUP('Données projet'!$B$11,Paramètres!$A$1:$I$89,3,0)*VLOOKUP('Données projet'!$B$11,Paramètres!$A$1:$I$89,5,0)</f>
        <v>4.9658410716801891E-14</v>
      </c>
      <c r="BF155" s="14">
        <f t="shared" si="167"/>
        <v>8.0934058173791862E-13</v>
      </c>
      <c r="BG155" s="22">
        <f t="shared" si="168"/>
        <v>1.4960899118586383E-12</v>
      </c>
      <c r="BH155" s="62">
        <f t="shared" si="116"/>
        <v>286.92141300674137</v>
      </c>
      <c r="BI155" s="62">
        <f ca="1">AVERAGE(OFFSET($BH$3,0,0,'Données projet'!$E$11+1,1))-AVERAGE(OFFSET($H$3,0,0,'Données projet'!$E$11+1,1))</f>
        <v>342.02279578180605</v>
      </c>
      <c r="BJ155" s="62">
        <f t="shared" si="146"/>
        <v>409.02379334777754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317.99999999999972</v>
      </c>
      <c r="BZ155" s="14">
        <f>BY155*VLOOKUP('Données projet'!$B$12,Paramètres!$A$1:$I$89,3,0)*VLOOKUP('Données projet'!$B$12,Paramètres!$A$1:$I$89,5,0)</f>
        <v>253.0007999999998</v>
      </c>
      <c r="CA155" s="14">
        <f t="shared" si="170"/>
        <v>61.228070105968683</v>
      </c>
      <c r="CB155" s="22">
        <f t="shared" si="171"/>
        <v>547.28194876789507</v>
      </c>
      <c r="CC155" s="62">
        <f t="shared" si="119"/>
        <v>834.20336177463491</v>
      </c>
      <c r="CD155" s="62">
        <f ca="1">AVERAGE(OFFSET($CC$3,0,0,'Données projet'!$E$12+1,1))-AVERAGE(OFFSET($H$3,0,0,'Données projet'!$E$12+1,1))</f>
        <v>376.47942810265266</v>
      </c>
      <c r="CE155" s="62">
        <f t="shared" si="148"/>
        <v>362.87951024071265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1.4947876298514708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1.4947876298514708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317.99999999999972</v>
      </c>
      <c r="CU155" s="18">
        <f>CT155*VLOOKUP('Données projet'!$B$13,Paramètres!$A$1:$I$89,3,0)*VLOOKUP('Données projet'!$B$13,Paramètres!$A$1:$I$89,5,0)</f>
        <v>233.1575999999998</v>
      </c>
      <c r="CV155" s="14">
        <f t="shared" si="173"/>
        <v>56.964885721091697</v>
      </c>
      <c r="CW155" s="22">
        <f t="shared" si="174"/>
        <v>505.29666263090093</v>
      </c>
      <c r="CX155" s="62">
        <f t="shared" si="122"/>
        <v>792.21807563764082</v>
      </c>
      <c r="CY155" s="62">
        <f ca="1">AVERAGE(OFFSET($CX$3,0,0,'Données projet'!$E$13+1,1))-AVERAGE(OFFSET($H$3,0,0,'Données projet'!$E$13+1,1))</f>
        <v>351.7223836693733</v>
      </c>
      <c r="CZ155" s="62">
        <f t="shared" si="150"/>
        <v>339.34942976598518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1.1176344061893526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1.1176344061893526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183.33333333333334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6.3550942286383367E-14</v>
      </c>
      <c r="P156" s="14">
        <f t="shared" si="141"/>
        <v>1.0064464192543978E-12</v>
      </c>
      <c r="Q156" s="22">
        <f t="shared" si="162"/>
        <v>1.8635787380168604E-12</v>
      </c>
      <c r="R156" s="62">
        <f t="shared" si="109"/>
        <v>287.03264548950187</v>
      </c>
      <c r="S156" s="62">
        <f ca="1">AVERAGE(OFFSET($R$3,0,0,'Données projet'!$E$9+1,1))-AVERAGE(OFFSET($H$3,0,0,'Données projet'!$E$9+1,1))</f>
        <v>409.45931633551902</v>
      </c>
      <c r="T156" s="62">
        <f t="shared" si="142"/>
        <v>375.18886653687389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0.46391312320916955</v>
      </c>
      <c r="AA156" s="23">
        <f>EXP(-LN(2)/25)*AA155+(1-EXP(-LN(2)/25))/(LN(2)/25)*Calculateur!V156*Calculateur!X156*VLOOKUP('Données projet'!$B$9,Paramètres!$A$1:$I$89,3,0)*0.475*44/12</f>
        <v>0.63802584656771799</v>
      </c>
      <c r="AB156" s="23">
        <f>EXP(-LN(2)/2)*AB155+(1-EXP(-LN(2)/2))/(LN(2)/2)*V156*Y156*VLOOKUP('Données projet'!$B$9,Paramètres!$A$1:$I$89,3,0)*0.475*44/12</f>
        <v>3.5575739781324404E-18</v>
      </c>
      <c r="AC156" s="24">
        <f t="shared" si="163"/>
        <v>1.1019389697768875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5.6843418860808015E-14</v>
      </c>
      <c r="AJ156" s="14">
        <f>AI156*VLOOKUP('Données projet'!$B$10,Paramètres!$A$1:$I$89,3,0)*VLOOKUP('Données projet'!$B$10,Paramètres!$A$1:$I$89,5,0)</f>
        <v>3.3992364478763198E-14</v>
      </c>
      <c r="AK156" s="14">
        <f t="shared" si="164"/>
        <v>5.790027782444094E-13</v>
      </c>
      <c r="AL156" s="22">
        <f t="shared" si="165"/>
        <v>1.0676332069095257E-12</v>
      </c>
      <c r="AM156" s="62">
        <f t="shared" si="113"/>
        <v>287.03264548950108</v>
      </c>
      <c r="AN156" s="62">
        <f ca="1">AVERAGE(OFFSET($AM$3,0,0,'Données projet'!$E$10+1,1))-AVERAGE(OFFSET($H$3,0,0,'Données projet'!$E$10+1,1))</f>
        <v>212.90262675152454</v>
      </c>
      <c r="AO156" s="62">
        <f t="shared" si="144"/>
        <v>366.51899340890498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9.5735231029442431</v>
      </c>
      <c r="AV156" s="23">
        <f>EXP(-LN(2)/25)*AV155+(1-EXP(-LN(2)/25))/(LN(2)/25)*Calculateur!AQ156*Calculateur!AS156*VLOOKUP('Données projet'!$B$10,Paramètres!$A$1:$I$89,3,0)*0.475*44/12</f>
        <v>0.11042791537038275</v>
      </c>
      <c r="AW156" s="23">
        <f>EXP(-LN(2)/2)*AW155+(1-EXP(-LN(2)/2))/(LN(2)/2)*AQ156*AT156*VLOOKUP('Données projet'!$B$10,Paramètres!$A$1:$I$89,3,0)*0.475*44/12</f>
        <v>3.377902554111873E-16</v>
      </c>
      <c r="AX156" s="23">
        <f t="shared" si="166"/>
        <v>9.6839510183146267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5.6843418860808015E-14</v>
      </c>
      <c r="BE156" s="14">
        <f>BD156*VLOOKUP('Données projet'!$B$11,Paramètres!$A$1:$I$89,3,0)*VLOOKUP('Données projet'!$B$11,Paramètres!$A$1:$I$89,5,0)</f>
        <v>4.9658410716801891E-14</v>
      </c>
      <c r="BF156" s="14">
        <f t="shared" si="167"/>
        <v>8.0934058173791862E-13</v>
      </c>
      <c r="BG156" s="22">
        <f t="shared" si="168"/>
        <v>1.4960899118586383E-12</v>
      </c>
      <c r="BH156" s="62">
        <f t="shared" si="116"/>
        <v>287.03264548950148</v>
      </c>
      <c r="BI156" s="62">
        <f ca="1">AVERAGE(OFFSET($BH$3,0,0,'Données projet'!$E$11+1,1))-AVERAGE(OFFSET($H$3,0,0,'Données projet'!$E$11+1,1))</f>
        <v>342.02279578180605</v>
      </c>
      <c r="BJ156" s="62">
        <f t="shared" si="146"/>
        <v>409.02379334777754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317.99999999999972</v>
      </c>
      <c r="BZ156" s="14">
        <f>BY156*VLOOKUP('Données projet'!$B$12,Paramètres!$A$1:$I$89,3,0)*VLOOKUP('Données projet'!$B$12,Paramètres!$A$1:$I$89,5,0)</f>
        <v>253.0007999999998</v>
      </c>
      <c r="CA156" s="14">
        <f t="shared" si="170"/>
        <v>61.228070105968683</v>
      </c>
      <c r="CB156" s="22">
        <f t="shared" si="171"/>
        <v>547.28194876789507</v>
      </c>
      <c r="CC156" s="62">
        <f t="shared" si="119"/>
        <v>834.31459425739513</v>
      </c>
      <c r="CD156" s="62">
        <f ca="1">AVERAGE(OFFSET($CC$3,0,0,'Données projet'!$E$12+1,1))-AVERAGE(OFFSET($H$3,0,0,'Données projet'!$E$12+1,1))</f>
        <v>376.47942810265266</v>
      </c>
      <c r="CE156" s="62">
        <f t="shared" si="148"/>
        <v>362.87951024071265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1.4654757561605118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1.4654757561605118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317.99999999999972</v>
      </c>
      <c r="CU156" s="18">
        <f>CT156*VLOOKUP('Données projet'!$B$13,Paramètres!$A$1:$I$89,3,0)*VLOOKUP('Données projet'!$B$13,Paramètres!$A$1:$I$89,5,0)</f>
        <v>233.1575999999998</v>
      </c>
      <c r="CV156" s="14">
        <f t="shared" si="173"/>
        <v>56.964885721091697</v>
      </c>
      <c r="CW156" s="22">
        <f t="shared" si="174"/>
        <v>505.29666263090093</v>
      </c>
      <c r="CX156" s="62">
        <f t="shared" si="122"/>
        <v>792.32930812040092</v>
      </c>
      <c r="CY156" s="62">
        <f ca="1">AVERAGE(OFFSET($CX$3,0,0,'Données projet'!$E$13+1,1))-AVERAGE(OFFSET($H$3,0,0,'Données projet'!$E$13+1,1))</f>
        <v>351.7223836693733</v>
      </c>
      <c r="CZ156" s="62">
        <f t="shared" si="150"/>
        <v>339.34942976598518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1.095718277173656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1.095718277173656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183.33333333333334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6.3550942286383367E-14</v>
      </c>
      <c r="P157" s="14">
        <f t="shared" si="141"/>
        <v>1.0064464192543978E-12</v>
      </c>
      <c r="Q157" s="22">
        <f t="shared" si="162"/>
        <v>1.8635787380168604E-12</v>
      </c>
      <c r="R157" s="62">
        <f t="shared" si="109"/>
        <v>287.14194833736462</v>
      </c>
      <c r="S157" s="62">
        <f ca="1">AVERAGE(OFFSET($R$3,0,0,'Données projet'!$E$9+1,1))-AVERAGE(OFFSET($H$3,0,0,'Données projet'!$E$9+1,1))</f>
        <v>409.45931633551902</v>
      </c>
      <c r="T157" s="62">
        <f t="shared" si="142"/>
        <v>375.18886653687389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0.45481606982210299</v>
      </c>
      <c r="AA157" s="23">
        <f>EXP(-LN(2)/25)*AA156+(1-EXP(-LN(2)/25))/(LN(2)/25)*Calculateur!V157*Calculateur!X157*VLOOKUP('Données projet'!$B$9,Paramètres!$A$1:$I$89,3,0)*0.475*44/12</f>
        <v>0.62057899624100266</v>
      </c>
      <c r="AB157" s="23">
        <f>EXP(-LN(2)/2)*AB156+(1-EXP(-LN(2)/2))/(LN(2)/2)*V157*Y157*VLOOKUP('Données projet'!$B$9,Paramètres!$A$1:$I$89,3,0)*0.475*44/12</f>
        <v>2.5155846845102511E-18</v>
      </c>
      <c r="AC157" s="24">
        <f t="shared" si="163"/>
        <v>1.0753950660631055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5.6843418860808015E-14</v>
      </c>
      <c r="AJ157" s="14">
        <f>AI157*VLOOKUP('Données projet'!$B$10,Paramètres!$A$1:$I$89,3,0)*VLOOKUP('Données projet'!$B$10,Paramètres!$A$1:$I$89,5,0)</f>
        <v>3.3992364478763198E-14</v>
      </c>
      <c r="AK157" s="14">
        <f t="shared" si="164"/>
        <v>5.790027782444094E-13</v>
      </c>
      <c r="AL157" s="22">
        <f t="shared" si="165"/>
        <v>1.0676332069095257E-12</v>
      </c>
      <c r="AM157" s="62">
        <f t="shared" si="113"/>
        <v>287.14194833736383</v>
      </c>
      <c r="AN157" s="62">
        <f ca="1">AVERAGE(OFFSET($AM$3,0,0,'Données projet'!$E$10+1,1))-AVERAGE(OFFSET($H$3,0,0,'Données projet'!$E$10+1,1))</f>
        <v>212.90262675152454</v>
      </c>
      <c r="AO157" s="62">
        <f t="shared" si="144"/>
        <v>366.51899340890498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9.3857921541680192</v>
      </c>
      <c r="AV157" s="23">
        <f>EXP(-LN(2)/25)*AV156+(1-EXP(-LN(2)/25))/(LN(2)/25)*Calculateur!AQ157*Calculateur!AS157*VLOOKUP('Données projet'!$B$10,Paramètres!$A$1:$I$89,3,0)*0.475*44/12</f>
        <v>0.10740825821742796</v>
      </c>
      <c r="AW157" s="23">
        <f>EXP(-LN(2)/2)*AW156+(1-EXP(-LN(2)/2))/(LN(2)/2)*AQ157*AT157*VLOOKUP('Données projet'!$B$10,Paramètres!$A$1:$I$89,3,0)*0.475*44/12</f>
        <v>2.3885378021998642E-16</v>
      </c>
      <c r="AX157" s="23">
        <f t="shared" si="166"/>
        <v>9.4932004123854465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5.6843418860808015E-14</v>
      </c>
      <c r="BE157" s="14">
        <f>BD157*VLOOKUP('Données projet'!$B$11,Paramètres!$A$1:$I$89,3,0)*VLOOKUP('Données projet'!$B$11,Paramètres!$A$1:$I$89,5,0)</f>
        <v>4.9658410716801891E-14</v>
      </c>
      <c r="BF157" s="14">
        <f t="shared" si="167"/>
        <v>8.0934058173791862E-13</v>
      </c>
      <c r="BG157" s="22">
        <f t="shared" si="168"/>
        <v>1.4960899118586383E-12</v>
      </c>
      <c r="BH157" s="62">
        <f t="shared" si="116"/>
        <v>287.14194833736423</v>
      </c>
      <c r="BI157" s="62">
        <f ca="1">AVERAGE(OFFSET($BH$3,0,0,'Données projet'!$E$11+1,1))-AVERAGE(OFFSET($H$3,0,0,'Données projet'!$E$11+1,1))</f>
        <v>342.02279578180605</v>
      </c>
      <c r="BJ157" s="62">
        <f t="shared" si="146"/>
        <v>409.02379334777754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317.99999999999972</v>
      </c>
      <c r="BZ157" s="14">
        <f>BY157*VLOOKUP('Données projet'!$B$12,Paramètres!$A$1:$I$89,3,0)*VLOOKUP('Données projet'!$B$12,Paramètres!$A$1:$I$89,5,0)</f>
        <v>253.0007999999998</v>
      </c>
      <c r="CA157" s="14">
        <f t="shared" si="170"/>
        <v>61.228070105968683</v>
      </c>
      <c r="CB157" s="22">
        <f t="shared" si="171"/>
        <v>547.28194876789507</v>
      </c>
      <c r="CC157" s="62">
        <f t="shared" si="119"/>
        <v>834.42389710525777</v>
      </c>
      <c r="CD157" s="62">
        <f ca="1">AVERAGE(OFFSET($CC$3,0,0,'Données projet'!$E$12+1,1))-AVERAGE(OFFSET($H$3,0,0,'Données projet'!$E$12+1,1))</f>
        <v>376.47942810265266</v>
      </c>
      <c r="CE157" s="62">
        <f t="shared" si="148"/>
        <v>362.87951024071265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1.4367386704341549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1.4367386704341549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317.99999999999972</v>
      </c>
      <c r="CU157" s="18">
        <f>CT157*VLOOKUP('Données projet'!$B$13,Paramètres!$A$1:$I$89,3,0)*VLOOKUP('Données projet'!$B$13,Paramètres!$A$1:$I$89,5,0)</f>
        <v>233.1575999999998</v>
      </c>
      <c r="CV157" s="14">
        <f t="shared" si="173"/>
        <v>56.964885721091697</v>
      </c>
      <c r="CW157" s="22">
        <f t="shared" si="174"/>
        <v>505.29666263090093</v>
      </c>
      <c r="CX157" s="62">
        <f t="shared" si="122"/>
        <v>792.43861096826367</v>
      </c>
      <c r="CY157" s="62">
        <f ca="1">AVERAGE(OFFSET($CX$3,0,0,'Données projet'!$E$13+1,1))-AVERAGE(OFFSET($H$3,0,0,'Données projet'!$E$13+1,1))</f>
        <v>351.7223836693733</v>
      </c>
      <c r="CZ157" s="62">
        <f t="shared" si="150"/>
        <v>339.34942976598518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1.0742319100804383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1.0742319100804383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183.33333333333334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6.3550942286383367E-14</v>
      </c>
      <c r="P158" s="14">
        <f t="shared" si="141"/>
        <v>1.0064464192543978E-12</v>
      </c>
      <c r="Q158" s="22">
        <f t="shared" si="162"/>
        <v>1.8635787380168604E-12</v>
      </c>
      <c r="R158" s="62">
        <f t="shared" si="109"/>
        <v>287.24935502518156</v>
      </c>
      <c r="S158" s="62">
        <f ca="1">AVERAGE(OFFSET($R$3,0,0,'Données projet'!$E$9+1,1))-AVERAGE(OFFSET($H$3,0,0,'Données projet'!$E$9+1,1))</f>
        <v>409.45931633551902</v>
      </c>
      <c r="T158" s="62">
        <f t="shared" si="142"/>
        <v>375.18886653687389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0.44589740410330214</v>
      </c>
      <c r="AA158" s="23">
        <f>EXP(-LN(2)/25)*AA157+(1-EXP(-LN(2)/25))/(LN(2)/25)*Calculateur!V158*Calculateur!X158*VLOOKUP('Données projet'!$B$9,Paramètres!$A$1:$I$89,3,0)*0.475*44/12</f>
        <v>0.60360923095396135</v>
      </c>
      <c r="AB158" s="23">
        <f>EXP(-LN(2)/2)*AB157+(1-EXP(-LN(2)/2))/(LN(2)/2)*V158*Y158*VLOOKUP('Données projet'!$B$9,Paramètres!$A$1:$I$89,3,0)*0.475*44/12</f>
        <v>1.7787869890662202E-18</v>
      </c>
      <c r="AC158" s="24">
        <f t="shared" si="163"/>
        <v>1.0495066350572635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5.6843418860808015E-14</v>
      </c>
      <c r="AJ158" s="14">
        <f>AI158*VLOOKUP('Données projet'!$B$10,Paramètres!$A$1:$I$89,3,0)*VLOOKUP('Données projet'!$B$10,Paramètres!$A$1:$I$89,5,0)</f>
        <v>3.3992364478763198E-14</v>
      </c>
      <c r="AK158" s="14">
        <f t="shared" si="164"/>
        <v>5.790027782444094E-13</v>
      </c>
      <c r="AL158" s="22">
        <f t="shared" si="165"/>
        <v>1.0676332069095257E-12</v>
      </c>
      <c r="AM158" s="62">
        <f t="shared" si="113"/>
        <v>287.24935502518076</v>
      </c>
      <c r="AN158" s="62">
        <f ca="1">AVERAGE(OFFSET($AM$3,0,0,'Données projet'!$E$10+1,1))-AVERAGE(OFFSET($H$3,0,0,'Données projet'!$E$10+1,1))</f>
        <v>212.90262675152454</v>
      </c>
      <c r="AO158" s="62">
        <f t="shared" si="144"/>
        <v>366.51899340890498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9.2017424947927253</v>
      </c>
      <c r="AV158" s="23">
        <f>EXP(-LN(2)/25)*AV157+(1-EXP(-LN(2)/25))/(LN(2)/25)*Calculateur!AQ158*Calculateur!AS158*VLOOKUP('Données projet'!$B$10,Paramètres!$A$1:$I$89,3,0)*0.475*44/12</f>
        <v>0.10447117374811757</v>
      </c>
      <c r="AW158" s="23">
        <f>EXP(-LN(2)/2)*AW157+(1-EXP(-LN(2)/2))/(LN(2)/2)*AQ158*AT158*VLOOKUP('Données projet'!$B$10,Paramètres!$A$1:$I$89,3,0)*0.475*44/12</f>
        <v>1.6889512770559365E-16</v>
      </c>
      <c r="AX158" s="23">
        <f t="shared" si="166"/>
        <v>9.3062136685408436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5.6843418860808015E-14</v>
      </c>
      <c r="BE158" s="14">
        <f>BD158*VLOOKUP('Données projet'!$B$11,Paramètres!$A$1:$I$89,3,0)*VLOOKUP('Données projet'!$B$11,Paramètres!$A$1:$I$89,5,0)</f>
        <v>4.9658410716801891E-14</v>
      </c>
      <c r="BF158" s="14">
        <f t="shared" si="167"/>
        <v>8.0934058173791862E-13</v>
      </c>
      <c r="BG158" s="22">
        <f t="shared" si="168"/>
        <v>1.4960899118586383E-12</v>
      </c>
      <c r="BH158" s="62">
        <f t="shared" si="116"/>
        <v>287.24935502518116</v>
      </c>
      <c r="BI158" s="62">
        <f ca="1">AVERAGE(OFFSET($BH$3,0,0,'Données projet'!$E$11+1,1))-AVERAGE(OFFSET($H$3,0,0,'Données projet'!$E$11+1,1))</f>
        <v>342.02279578180605</v>
      </c>
      <c r="BJ158" s="62">
        <f t="shared" si="146"/>
        <v>409.02379334777754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317.99999999999972</v>
      </c>
      <c r="BZ158" s="14">
        <f>BY158*VLOOKUP('Données projet'!$B$12,Paramètres!$A$1:$I$89,3,0)*VLOOKUP('Données projet'!$B$12,Paramètres!$A$1:$I$89,5,0)</f>
        <v>253.0007999999998</v>
      </c>
      <c r="CA158" s="14">
        <f t="shared" si="170"/>
        <v>61.228070105968683</v>
      </c>
      <c r="CB158" s="22">
        <f t="shared" si="171"/>
        <v>547.28194876789507</v>
      </c>
      <c r="CC158" s="62">
        <f t="shared" si="119"/>
        <v>834.53130379307481</v>
      </c>
      <c r="CD158" s="62">
        <f ca="1">AVERAGE(OFFSET($CC$3,0,0,'Données projet'!$E$12+1,1))-AVERAGE(OFFSET($H$3,0,0,'Données projet'!$E$12+1,1))</f>
        <v>376.47942810265266</v>
      </c>
      <c r="CE158" s="62">
        <f t="shared" si="148"/>
        <v>362.87951024071265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1.4085651014310003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1.4085651014310003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317.99999999999972</v>
      </c>
      <c r="CU158" s="18">
        <f>CT158*VLOOKUP('Données projet'!$B$13,Paramètres!$A$1:$I$89,3,0)*VLOOKUP('Données projet'!$B$13,Paramètres!$A$1:$I$89,5,0)</f>
        <v>233.1575999999998</v>
      </c>
      <c r="CV158" s="14">
        <f t="shared" si="173"/>
        <v>56.964885721091697</v>
      </c>
      <c r="CW158" s="22">
        <f t="shared" si="174"/>
        <v>505.29666263090093</v>
      </c>
      <c r="CX158" s="62">
        <f t="shared" si="122"/>
        <v>792.54601765608061</v>
      </c>
      <c r="CY158" s="62">
        <f ca="1">AVERAGE(OFFSET($CX$3,0,0,'Données projet'!$E$13+1,1))-AVERAGE(OFFSET($H$3,0,0,'Données projet'!$E$13+1,1))</f>
        <v>351.7223836693733</v>
      </c>
      <c r="CZ158" s="62">
        <f t="shared" si="150"/>
        <v>339.34942976598518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1.0531668775405287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1.0531668775405287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183.33333333333334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6.3550942286383367E-14</v>
      </c>
      <c r="P159" s="14">
        <f t="shared" si="141"/>
        <v>1.0064464192543978E-12</v>
      </c>
      <c r="Q159" s="22">
        <f t="shared" si="162"/>
        <v>1.8635787380168604E-12</v>
      </c>
      <c r="R159" s="62">
        <f t="shared" si="109"/>
        <v>287.35489844709019</v>
      </c>
      <c r="S159" s="62">
        <f ca="1">AVERAGE(OFFSET($R$3,0,0,'Données projet'!$E$9+1,1))-AVERAGE(OFFSET($H$3,0,0,'Données projet'!$E$9+1,1))</f>
        <v>409.45931633551902</v>
      </c>
      <c r="T159" s="62">
        <f t="shared" si="142"/>
        <v>375.18886653687389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0.43715362797939805</v>
      </c>
      <c r="AA159" s="23">
        <f>EXP(-LN(2)/25)*AA158+(1-EXP(-LN(2)/25))/(LN(2)/25)*Calculateur!V159*Calculateur!X159*VLOOKUP('Données projet'!$B$9,Paramètres!$A$1:$I$89,3,0)*0.475*44/12</f>
        <v>0.58710350479109541</v>
      </c>
      <c r="AB159" s="23">
        <f>EXP(-LN(2)/2)*AB158+(1-EXP(-LN(2)/2))/(LN(2)/2)*V159*Y159*VLOOKUP('Données projet'!$B$9,Paramètres!$A$1:$I$89,3,0)*0.475*44/12</f>
        <v>1.2577923422551255E-18</v>
      </c>
      <c r="AC159" s="24">
        <f t="shared" si="163"/>
        <v>1.0242571327704935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5.6843418860808015E-14</v>
      </c>
      <c r="AJ159" s="14">
        <f>AI159*VLOOKUP('Données projet'!$B$10,Paramètres!$A$1:$I$89,3,0)*VLOOKUP('Données projet'!$B$10,Paramètres!$A$1:$I$89,5,0)</f>
        <v>3.3992364478763198E-14</v>
      </c>
      <c r="AK159" s="14">
        <f t="shared" si="164"/>
        <v>5.790027782444094E-13</v>
      </c>
      <c r="AL159" s="22">
        <f t="shared" si="165"/>
        <v>1.0676332069095257E-12</v>
      </c>
      <c r="AM159" s="62">
        <f t="shared" si="113"/>
        <v>287.3548984470894</v>
      </c>
      <c r="AN159" s="62">
        <f ca="1">AVERAGE(OFFSET($AM$3,0,0,'Données projet'!$E$10+1,1))-AVERAGE(OFFSET($H$3,0,0,'Données projet'!$E$10+1,1))</f>
        <v>212.90262675152454</v>
      </c>
      <c r="AO159" s="62">
        <f t="shared" si="144"/>
        <v>366.51899340890498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9.0213019369785723</v>
      </c>
      <c r="AV159" s="23">
        <f>EXP(-LN(2)/25)*AV158+(1-EXP(-LN(2)/25))/(LN(2)/25)*Calculateur!AQ159*Calculateur!AS159*VLOOKUP('Données projet'!$B$10,Paramètres!$A$1:$I$89,3,0)*0.475*44/12</f>
        <v>0.10161440400807503</v>
      </c>
      <c r="AW159" s="23">
        <f>EXP(-LN(2)/2)*AW158+(1-EXP(-LN(2)/2))/(LN(2)/2)*AQ159*AT159*VLOOKUP('Données projet'!$B$10,Paramètres!$A$1:$I$89,3,0)*0.475*44/12</f>
        <v>1.1942689010999321E-16</v>
      </c>
      <c r="AX159" s="23">
        <f t="shared" si="166"/>
        <v>9.1229163409866469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5.6843418860808015E-14</v>
      </c>
      <c r="BE159" s="14">
        <f>BD159*VLOOKUP('Données projet'!$B$11,Paramètres!$A$1:$I$89,3,0)*VLOOKUP('Données projet'!$B$11,Paramètres!$A$1:$I$89,5,0)</f>
        <v>4.9658410716801891E-14</v>
      </c>
      <c r="BF159" s="14">
        <f t="shared" si="167"/>
        <v>8.0934058173791862E-13</v>
      </c>
      <c r="BG159" s="22">
        <f t="shared" si="168"/>
        <v>1.4960899118586383E-12</v>
      </c>
      <c r="BH159" s="62">
        <f t="shared" si="116"/>
        <v>287.35489844708979</v>
      </c>
      <c r="BI159" s="62">
        <f ca="1">AVERAGE(OFFSET($BH$3,0,0,'Données projet'!$E$11+1,1))-AVERAGE(OFFSET($H$3,0,0,'Données projet'!$E$11+1,1))</f>
        <v>342.02279578180605</v>
      </c>
      <c r="BJ159" s="62">
        <f t="shared" si="146"/>
        <v>409.02379334777754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317.99999999999972</v>
      </c>
      <c r="BZ159" s="14">
        <f>BY159*VLOOKUP('Données projet'!$B$12,Paramètres!$A$1:$I$89,3,0)*VLOOKUP('Données projet'!$B$12,Paramètres!$A$1:$I$89,5,0)</f>
        <v>253.0007999999998</v>
      </c>
      <c r="CA159" s="14">
        <f t="shared" si="170"/>
        <v>61.228070105968683</v>
      </c>
      <c r="CB159" s="22">
        <f t="shared" si="171"/>
        <v>547.28194876789507</v>
      </c>
      <c r="CC159" s="62">
        <f t="shared" si="119"/>
        <v>834.63684721498339</v>
      </c>
      <c r="CD159" s="62">
        <f ca="1">AVERAGE(OFFSET($CC$3,0,0,'Données projet'!$E$12+1,1))-AVERAGE(OFFSET($H$3,0,0,'Données projet'!$E$12+1,1))</f>
        <v>376.47942810265266</v>
      </c>
      <c r="CE159" s="62">
        <f t="shared" si="148"/>
        <v>362.87951024071265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1.3809439989318173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1.3809439989318173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317.99999999999972</v>
      </c>
      <c r="CU159" s="18">
        <f>CT159*VLOOKUP('Données projet'!$B$13,Paramètres!$A$1:$I$89,3,0)*VLOOKUP('Données projet'!$B$13,Paramètres!$A$1:$I$89,5,0)</f>
        <v>233.1575999999998</v>
      </c>
      <c r="CV159" s="14">
        <f t="shared" si="173"/>
        <v>56.964885721091697</v>
      </c>
      <c r="CW159" s="22">
        <f t="shared" si="174"/>
        <v>505.29666263090093</v>
      </c>
      <c r="CX159" s="62">
        <f t="shared" si="122"/>
        <v>792.6515610779893</v>
      </c>
      <c r="CY159" s="62">
        <f ca="1">AVERAGE(OFFSET($CX$3,0,0,'Données projet'!$E$13+1,1))-AVERAGE(OFFSET($H$3,0,0,'Données projet'!$E$13+1,1))</f>
        <v>351.7223836693733</v>
      </c>
      <c r="CZ159" s="62">
        <f t="shared" si="150"/>
        <v>339.34942976598518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1.0325149174403256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1.0325149174403256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183.33333333333334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6.3550942286383367E-14</v>
      </c>
      <c r="P160" s="14">
        <f t="shared" si="141"/>
        <v>1.0064464192543978E-12</v>
      </c>
      <c r="Q160" s="22">
        <f t="shared" si="162"/>
        <v>1.8635787380168604E-12</v>
      </c>
      <c r="R160" s="62">
        <f t="shared" si="109"/>
        <v>287.45861092658845</v>
      </c>
      <c r="S160" s="62">
        <f ca="1">AVERAGE(OFFSET($R$3,0,0,'Données projet'!$E$9+1,1))-AVERAGE(OFFSET($H$3,0,0,'Données projet'!$E$9+1,1))</f>
        <v>409.45931633551902</v>
      </c>
      <c r="T160" s="62">
        <f t="shared" si="142"/>
        <v>375.18886653687389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0.42858131197210686</v>
      </c>
      <c r="AA160" s="23">
        <f>EXP(-LN(2)/25)*AA159+(1-EXP(-LN(2)/25))/(LN(2)/25)*Calculateur!V160*Calculateur!X160*VLOOKUP('Données projet'!$B$9,Paramètres!$A$1:$I$89,3,0)*0.475*44/12</f>
        <v>0.57104912857815138</v>
      </c>
      <c r="AB160" s="23">
        <f>EXP(-LN(2)/2)*AB159+(1-EXP(-LN(2)/2))/(LN(2)/2)*V160*Y160*VLOOKUP('Données projet'!$B$9,Paramètres!$A$1:$I$89,3,0)*0.475*44/12</f>
        <v>8.8939349453311011E-19</v>
      </c>
      <c r="AC160" s="24">
        <f t="shared" si="163"/>
        <v>0.99963044055025829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5.6843418860808015E-14</v>
      </c>
      <c r="AJ160" s="14">
        <f>AI160*VLOOKUP('Données projet'!$B$10,Paramètres!$A$1:$I$89,3,0)*VLOOKUP('Données projet'!$B$10,Paramètres!$A$1:$I$89,5,0)</f>
        <v>3.3992364478763198E-14</v>
      </c>
      <c r="AK160" s="14">
        <f t="shared" si="164"/>
        <v>5.790027782444094E-13</v>
      </c>
      <c r="AL160" s="22">
        <f t="shared" si="165"/>
        <v>1.0676332069095257E-12</v>
      </c>
      <c r="AM160" s="62">
        <f t="shared" si="113"/>
        <v>287.45861092658765</v>
      </c>
      <c r="AN160" s="62">
        <f ca="1">AVERAGE(OFFSET($AM$3,0,0,'Données projet'!$E$10+1,1))-AVERAGE(OFFSET($H$3,0,0,'Données projet'!$E$10+1,1))</f>
        <v>212.90262675152454</v>
      </c>
      <c r="AO160" s="62">
        <f t="shared" si="144"/>
        <v>366.51899340890498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8.8443997084452821</v>
      </c>
      <c r="AV160" s="23">
        <f>EXP(-LN(2)/25)*AV159+(1-EXP(-LN(2)/25))/(LN(2)/25)*Calculateur!AQ160*Calculateur!AS160*VLOOKUP('Données projet'!$B$10,Paramètres!$A$1:$I$89,3,0)*0.475*44/12</f>
        <v>9.8835752786804953E-2</v>
      </c>
      <c r="AW160" s="23">
        <f>EXP(-LN(2)/2)*AW159+(1-EXP(-LN(2)/2))/(LN(2)/2)*AQ160*AT160*VLOOKUP('Données projet'!$B$10,Paramètres!$A$1:$I$89,3,0)*0.475*44/12</f>
        <v>8.4447563852796826E-17</v>
      </c>
      <c r="AX160" s="23">
        <f t="shared" si="166"/>
        <v>8.9432354612320868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5.6843418860808015E-14</v>
      </c>
      <c r="BE160" s="14">
        <f>BD160*VLOOKUP('Données projet'!$B$11,Paramètres!$A$1:$I$89,3,0)*VLOOKUP('Données projet'!$B$11,Paramètres!$A$1:$I$89,5,0)</f>
        <v>4.9658410716801891E-14</v>
      </c>
      <c r="BF160" s="14">
        <f t="shared" si="167"/>
        <v>8.0934058173791862E-13</v>
      </c>
      <c r="BG160" s="22">
        <f t="shared" si="168"/>
        <v>1.4960899118586383E-12</v>
      </c>
      <c r="BH160" s="62">
        <f t="shared" si="116"/>
        <v>287.45861092658805</v>
      </c>
      <c r="BI160" s="62">
        <f ca="1">AVERAGE(OFFSET($BH$3,0,0,'Données projet'!$E$11+1,1))-AVERAGE(OFFSET($H$3,0,0,'Données projet'!$E$11+1,1))</f>
        <v>342.02279578180605</v>
      </c>
      <c r="BJ160" s="62">
        <f t="shared" si="146"/>
        <v>409.02379334777754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317.99999999999972</v>
      </c>
      <c r="BZ160" s="14">
        <f>BY160*VLOOKUP('Données projet'!$B$12,Paramètres!$A$1:$I$89,3,0)*VLOOKUP('Données projet'!$B$12,Paramètres!$A$1:$I$89,5,0)</f>
        <v>253.0007999999998</v>
      </c>
      <c r="CA160" s="14">
        <f t="shared" si="170"/>
        <v>61.228070105968683</v>
      </c>
      <c r="CB160" s="22">
        <f t="shared" si="171"/>
        <v>547.28194876789507</v>
      </c>
      <c r="CC160" s="62">
        <f t="shared" si="119"/>
        <v>834.74055969448159</v>
      </c>
      <c r="CD160" s="62">
        <f ca="1">AVERAGE(OFFSET($CC$3,0,0,'Données projet'!$E$12+1,1))-AVERAGE(OFFSET($H$3,0,0,'Données projet'!$E$12+1,1))</f>
        <v>376.47942810265266</v>
      </c>
      <c r="CE160" s="62">
        <f t="shared" si="148"/>
        <v>362.87951024071265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1.3538645294054341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1.3538645294054341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317.99999999999972</v>
      </c>
      <c r="CU160" s="18">
        <f>CT160*VLOOKUP('Données projet'!$B$13,Paramètres!$A$1:$I$89,3,0)*VLOOKUP('Données projet'!$B$13,Paramètres!$A$1:$I$89,5,0)</f>
        <v>233.1575999999998</v>
      </c>
      <c r="CV160" s="14">
        <f t="shared" si="173"/>
        <v>56.964885721091697</v>
      </c>
      <c r="CW160" s="22">
        <f t="shared" si="174"/>
        <v>505.29666263090093</v>
      </c>
      <c r="CX160" s="62">
        <f t="shared" si="122"/>
        <v>792.7552735574875</v>
      </c>
      <c r="CY160" s="62">
        <f ca="1">AVERAGE(OFFSET($CX$3,0,0,'Données projet'!$E$13+1,1))-AVERAGE(OFFSET($H$3,0,0,'Données projet'!$E$13+1,1))</f>
        <v>351.7223836693733</v>
      </c>
      <c r="CZ160" s="62">
        <f t="shared" si="150"/>
        <v>339.34942976598518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1.0122679296812356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1.0122679296812356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183.33333333333334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6.3550942286383367E-14</v>
      </c>
      <c r="P161" s="14">
        <f t="shared" si="141"/>
        <v>1.0064464192543978E-12</v>
      </c>
      <c r="Q161" s="22">
        <f t="shared" si="162"/>
        <v>1.8635787380168604E-12</v>
      </c>
      <c r="R161" s="62">
        <f t="shared" si="109"/>
        <v>287.56052422643387</v>
      </c>
      <c r="S161" s="62">
        <f ca="1">AVERAGE(OFFSET($R$3,0,0,'Données projet'!$E$9+1,1))-AVERAGE(OFFSET($H$3,0,0,'Données projet'!$E$9+1,1))</f>
        <v>409.45931633551902</v>
      </c>
      <c r="T161" s="62">
        <f t="shared" si="142"/>
        <v>375.18886653687389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0.42017709385312219</v>
      </c>
      <c r="AA161" s="23">
        <f>EXP(-LN(2)/25)*AA160+(1-EXP(-LN(2)/25))/(LN(2)/25)*Calculateur!V161*Calculateur!X161*VLOOKUP('Données projet'!$B$9,Paramètres!$A$1:$I$89,3,0)*0.475*44/12</f>
        <v>0.55543376012701329</v>
      </c>
      <c r="AB161" s="23">
        <f>EXP(-LN(2)/2)*AB160+(1-EXP(-LN(2)/2))/(LN(2)/2)*V161*Y161*VLOOKUP('Données projet'!$B$9,Paramètres!$A$1:$I$89,3,0)*0.475*44/12</f>
        <v>6.2889617112756276E-19</v>
      </c>
      <c r="AC161" s="24">
        <f t="shared" si="163"/>
        <v>0.97561085398013547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5.6843418860808015E-14</v>
      </c>
      <c r="AJ161" s="14">
        <f>AI161*VLOOKUP('Données projet'!$B$10,Paramètres!$A$1:$I$89,3,0)*VLOOKUP('Données projet'!$B$10,Paramètres!$A$1:$I$89,5,0)</f>
        <v>3.3992364478763198E-14</v>
      </c>
      <c r="AK161" s="14">
        <f t="shared" si="164"/>
        <v>5.790027782444094E-13</v>
      </c>
      <c r="AL161" s="22">
        <f t="shared" si="165"/>
        <v>1.0676332069095257E-12</v>
      </c>
      <c r="AM161" s="62">
        <f t="shared" si="113"/>
        <v>287.56052422643307</v>
      </c>
      <c r="AN161" s="62">
        <f ca="1">AVERAGE(OFFSET($AM$3,0,0,'Données projet'!$E$10+1,1))-AVERAGE(OFFSET($H$3,0,0,'Données projet'!$E$10+1,1))</f>
        <v>212.90262675152454</v>
      </c>
      <c r="AO161" s="62">
        <f t="shared" si="144"/>
        <v>366.51899340890498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8.6709664247138249</v>
      </c>
      <c r="AV161" s="23">
        <f>EXP(-LN(2)/25)*AV160+(1-EXP(-LN(2)/25))/(LN(2)/25)*Calculateur!AQ161*Calculateur!AS161*VLOOKUP('Données projet'!$B$10,Paramètres!$A$1:$I$89,3,0)*0.475*44/12</f>
        <v>9.613308392930342E-2</v>
      </c>
      <c r="AW161" s="23">
        <f>EXP(-LN(2)/2)*AW160+(1-EXP(-LN(2)/2))/(LN(2)/2)*AQ161*AT161*VLOOKUP('Données projet'!$B$10,Paramètres!$A$1:$I$89,3,0)*0.475*44/12</f>
        <v>5.9713445054996605E-17</v>
      </c>
      <c r="AX161" s="23">
        <f t="shared" si="166"/>
        <v>8.7670995086431276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5.6843418860808015E-14</v>
      </c>
      <c r="BE161" s="14">
        <f>BD161*VLOOKUP('Données projet'!$B$11,Paramètres!$A$1:$I$89,3,0)*VLOOKUP('Données projet'!$B$11,Paramètres!$A$1:$I$89,5,0)</f>
        <v>4.9658410716801891E-14</v>
      </c>
      <c r="BF161" s="14">
        <f t="shared" si="167"/>
        <v>8.0934058173791862E-13</v>
      </c>
      <c r="BG161" s="22">
        <f t="shared" si="168"/>
        <v>1.4960899118586383E-12</v>
      </c>
      <c r="BH161" s="62">
        <f t="shared" si="116"/>
        <v>287.56052422643347</v>
      </c>
      <c r="BI161" s="62">
        <f ca="1">AVERAGE(OFFSET($BH$3,0,0,'Données projet'!$E$11+1,1))-AVERAGE(OFFSET($H$3,0,0,'Données projet'!$E$11+1,1))</f>
        <v>342.02279578180605</v>
      </c>
      <c r="BJ161" s="62">
        <f t="shared" si="146"/>
        <v>409.02379334777754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317.99999999999972</v>
      </c>
      <c r="BZ161" s="14">
        <f>BY161*VLOOKUP('Données projet'!$B$12,Paramètres!$A$1:$I$89,3,0)*VLOOKUP('Données projet'!$B$12,Paramètres!$A$1:$I$89,5,0)</f>
        <v>253.0007999999998</v>
      </c>
      <c r="CA161" s="14">
        <f t="shared" si="170"/>
        <v>61.228070105968683</v>
      </c>
      <c r="CB161" s="22">
        <f t="shared" si="171"/>
        <v>547.28194876789507</v>
      </c>
      <c r="CC161" s="62">
        <f t="shared" si="119"/>
        <v>834.84247299432707</v>
      </c>
      <c r="CD161" s="62">
        <f ca="1">AVERAGE(OFFSET($CC$3,0,0,'Données projet'!$E$12+1,1))-AVERAGE(OFFSET($H$3,0,0,'Données projet'!$E$12+1,1))</f>
        <v>376.47942810265266</v>
      </c>
      <c r="CE161" s="62">
        <f t="shared" si="148"/>
        <v>362.87951024071265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1.327316071759618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1.327316071759618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317.99999999999972</v>
      </c>
      <c r="CU161" s="18">
        <f>CT161*VLOOKUP('Données projet'!$B$13,Paramètres!$A$1:$I$89,3,0)*VLOOKUP('Données projet'!$B$13,Paramètres!$A$1:$I$89,5,0)</f>
        <v>233.1575999999998</v>
      </c>
      <c r="CV161" s="14">
        <f t="shared" si="173"/>
        <v>56.964885721091697</v>
      </c>
      <c r="CW161" s="22">
        <f t="shared" si="174"/>
        <v>505.29666263090093</v>
      </c>
      <c r="CX161" s="62">
        <f t="shared" si="122"/>
        <v>792.85718685733286</v>
      </c>
      <c r="CY161" s="62">
        <f ca="1">AVERAGE(OFFSET($CX$3,0,0,'Données projet'!$E$13+1,1))-AVERAGE(OFFSET($H$3,0,0,'Données projet'!$E$13+1,1))</f>
        <v>351.7223836693733</v>
      </c>
      <c r="CZ161" s="62">
        <f t="shared" si="150"/>
        <v>339.34942976598518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0.99241797300265822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0.99241797300265822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183.33333333333334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6.3550942286383367E-14</v>
      </c>
      <c r="P162" s="14">
        <f t="shared" si="141"/>
        <v>1.0064464192543978E-12</v>
      </c>
      <c r="Q162" s="22">
        <f t="shared" si="162"/>
        <v>1.8635787380168604E-12</v>
      </c>
      <c r="R162" s="62">
        <f t="shared" si="109"/>
        <v>287.66066955837084</v>
      </c>
      <c r="S162" s="62">
        <f ca="1">AVERAGE(OFFSET($R$3,0,0,'Données projet'!$E$9+1,1))-AVERAGE(OFFSET($H$3,0,0,'Données projet'!$E$9+1,1))</f>
        <v>409.45931633551902</v>
      </c>
      <c r="T162" s="62">
        <f t="shared" si="142"/>
        <v>375.18886653687389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0.41193767732538389</v>
      </c>
      <c r="AA162" s="23">
        <f>EXP(-LN(2)/25)*AA161+(1-EXP(-LN(2)/25))/(LN(2)/25)*Calculateur!V162*Calculateur!X162*VLOOKUP('Données projet'!$B$9,Paramètres!$A$1:$I$89,3,0)*0.475*44/12</f>
        <v>0.54024539474734812</v>
      </c>
      <c r="AB162" s="23">
        <f>EXP(-LN(2)/2)*AB161+(1-EXP(-LN(2)/2))/(LN(2)/2)*V162*Y162*VLOOKUP('Données projet'!$B$9,Paramètres!$A$1:$I$89,3,0)*0.475*44/12</f>
        <v>4.4469674726655505E-19</v>
      </c>
      <c r="AC162" s="24">
        <f t="shared" si="163"/>
        <v>0.95218307207273201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5.6843418860808015E-14</v>
      </c>
      <c r="AJ162" s="14">
        <f>AI162*VLOOKUP('Données projet'!$B$10,Paramètres!$A$1:$I$89,3,0)*VLOOKUP('Données projet'!$B$10,Paramètres!$A$1:$I$89,5,0)</f>
        <v>3.3992364478763198E-14</v>
      </c>
      <c r="AK162" s="14">
        <f t="shared" si="164"/>
        <v>5.790027782444094E-13</v>
      </c>
      <c r="AL162" s="22">
        <f t="shared" si="165"/>
        <v>1.0676332069095257E-12</v>
      </c>
      <c r="AM162" s="62">
        <f t="shared" si="113"/>
        <v>287.66066955837005</v>
      </c>
      <c r="AN162" s="62">
        <f ca="1">AVERAGE(OFFSET($AM$3,0,0,'Données projet'!$E$10+1,1))-AVERAGE(OFFSET($H$3,0,0,'Données projet'!$E$10+1,1))</f>
        <v>212.90262675152454</v>
      </c>
      <c r="AO162" s="62">
        <f t="shared" si="144"/>
        <v>366.51899340890498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8.5009340618924831</v>
      </c>
      <c r="AV162" s="23">
        <f>EXP(-LN(2)/25)*AV161+(1-EXP(-LN(2)/25))/(LN(2)/25)*Calculateur!AQ162*Calculateur!AS162*VLOOKUP('Données projet'!$B$10,Paramètres!$A$1:$I$89,3,0)*0.475*44/12</f>
        <v>9.3504319693837448E-2</v>
      </c>
      <c r="AW162" s="23">
        <f>EXP(-LN(2)/2)*AW161+(1-EXP(-LN(2)/2))/(LN(2)/2)*AQ162*AT162*VLOOKUP('Données projet'!$B$10,Paramètres!$A$1:$I$89,3,0)*0.475*44/12</f>
        <v>4.2223781926398413E-17</v>
      </c>
      <c r="AX162" s="23">
        <f t="shared" si="166"/>
        <v>8.5944383815863201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5.6843418860808015E-14</v>
      </c>
      <c r="BE162" s="14">
        <f>BD162*VLOOKUP('Données projet'!$B$11,Paramètres!$A$1:$I$89,3,0)*VLOOKUP('Données projet'!$B$11,Paramètres!$A$1:$I$89,5,0)</f>
        <v>4.9658410716801891E-14</v>
      </c>
      <c r="BF162" s="14">
        <f t="shared" si="167"/>
        <v>8.0934058173791862E-13</v>
      </c>
      <c r="BG162" s="22">
        <f t="shared" si="168"/>
        <v>1.4960899118586383E-12</v>
      </c>
      <c r="BH162" s="62">
        <f t="shared" si="116"/>
        <v>287.66066955837044</v>
      </c>
      <c r="BI162" s="62">
        <f ca="1">AVERAGE(OFFSET($BH$3,0,0,'Données projet'!$E$11+1,1))-AVERAGE(OFFSET($H$3,0,0,'Données projet'!$E$11+1,1))</f>
        <v>342.02279578180605</v>
      </c>
      <c r="BJ162" s="62">
        <f t="shared" si="146"/>
        <v>409.02379334777754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317.99999999999972</v>
      </c>
      <c r="BZ162" s="14">
        <f>BY162*VLOOKUP('Données projet'!$B$12,Paramètres!$A$1:$I$89,3,0)*VLOOKUP('Données projet'!$B$12,Paramètres!$A$1:$I$89,5,0)</f>
        <v>253.0007999999998</v>
      </c>
      <c r="CA162" s="14">
        <f t="shared" si="170"/>
        <v>61.228070105968683</v>
      </c>
      <c r="CB162" s="22">
        <f t="shared" si="171"/>
        <v>547.28194876789507</v>
      </c>
      <c r="CC162" s="62">
        <f t="shared" si="119"/>
        <v>834.94261832626398</v>
      </c>
      <c r="CD162" s="62">
        <f ca="1">AVERAGE(OFFSET($CC$3,0,0,'Données projet'!$E$12+1,1))-AVERAGE(OFFSET($H$3,0,0,'Données projet'!$E$12+1,1))</f>
        <v>376.47942810265266</v>
      </c>
      <c r="CE162" s="62">
        <f t="shared" si="148"/>
        <v>362.87951024071265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1.3012882131752759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1.3012882131752759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317.99999999999972</v>
      </c>
      <c r="CU162" s="18">
        <f>CT162*VLOOKUP('Données projet'!$B$13,Paramètres!$A$1:$I$89,3,0)*VLOOKUP('Données projet'!$B$13,Paramètres!$A$1:$I$89,5,0)</f>
        <v>233.1575999999998</v>
      </c>
      <c r="CV162" s="14">
        <f t="shared" si="173"/>
        <v>56.964885721091697</v>
      </c>
      <c r="CW162" s="22">
        <f t="shared" si="174"/>
        <v>505.29666263090093</v>
      </c>
      <c r="CX162" s="62">
        <f t="shared" si="122"/>
        <v>792.95733218926989</v>
      </c>
      <c r="CY162" s="62">
        <f ca="1">AVERAGE(OFFSET($CX$3,0,0,'Données projet'!$E$13+1,1))-AVERAGE(OFFSET($H$3,0,0,'Données projet'!$E$13+1,1))</f>
        <v>351.7223836693733</v>
      </c>
      <c r="CZ162" s="62">
        <f t="shared" si="150"/>
        <v>339.34942976598518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0.97295726186726972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0.97295726186726972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183.33333333333334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6.3550942286383367E-14</v>
      </c>
      <c r="P163" s="14">
        <f t="shared" si="141"/>
        <v>1.0064464192543978E-12</v>
      </c>
      <c r="Q163" s="22">
        <f t="shared" si="162"/>
        <v>1.8635787380168604E-12</v>
      </c>
      <c r="R163" s="62">
        <f t="shared" si="109"/>
        <v>287.75907759269023</v>
      </c>
      <c r="S163" s="62">
        <f ca="1">AVERAGE(OFFSET($R$3,0,0,'Données projet'!$E$9+1,1))-AVERAGE(OFFSET($H$3,0,0,'Données projet'!$E$9+1,1))</f>
        <v>409.45931633551902</v>
      </c>
      <c r="T163" s="62">
        <f t="shared" si="142"/>
        <v>375.18886653687389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0.4038598307302067</v>
      </c>
      <c r="AA163" s="23">
        <f>EXP(-LN(2)/25)*AA162+(1-EXP(-LN(2)/25))/(LN(2)/25)*Calculateur!V163*Calculateur!X163*VLOOKUP('Données projet'!$B$9,Paramètres!$A$1:$I$89,3,0)*0.475*44/12</f>
        <v>0.52547235601771136</v>
      </c>
      <c r="AB163" s="23">
        <f>EXP(-LN(2)/2)*AB162+(1-EXP(-LN(2)/2))/(LN(2)/2)*V163*Y163*VLOOKUP('Données projet'!$B$9,Paramètres!$A$1:$I$89,3,0)*0.475*44/12</f>
        <v>3.1444808556378138E-19</v>
      </c>
      <c r="AC163" s="24">
        <f t="shared" si="163"/>
        <v>0.92933218674791807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5.6843418860808015E-14</v>
      </c>
      <c r="AJ163" s="14">
        <f>AI163*VLOOKUP('Données projet'!$B$10,Paramètres!$A$1:$I$89,3,0)*VLOOKUP('Données projet'!$B$10,Paramètres!$A$1:$I$89,5,0)</f>
        <v>3.3992364478763198E-14</v>
      </c>
      <c r="AK163" s="14">
        <f t="shared" si="164"/>
        <v>5.790027782444094E-13</v>
      </c>
      <c r="AL163" s="22">
        <f t="shared" si="165"/>
        <v>1.0676332069095257E-12</v>
      </c>
      <c r="AM163" s="62">
        <f t="shared" si="113"/>
        <v>287.75907759268944</v>
      </c>
      <c r="AN163" s="62">
        <f ca="1">AVERAGE(OFFSET($AM$3,0,0,'Données projet'!$E$10+1,1))-AVERAGE(OFFSET($H$3,0,0,'Données projet'!$E$10+1,1))</f>
        <v>212.90262675152454</v>
      </c>
      <c r="AO163" s="62">
        <f t="shared" si="144"/>
        <v>366.51899340890498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8.3342359299965665</v>
      </c>
      <c r="AV163" s="23">
        <f>EXP(-LN(2)/25)*AV162+(1-EXP(-LN(2)/25))/(LN(2)/25)*Calculateur!AQ163*Calculateur!AS163*VLOOKUP('Données projet'!$B$10,Paramètres!$A$1:$I$89,3,0)*0.475*44/12</f>
        <v>9.0947439154630993E-2</v>
      </c>
      <c r="AW163" s="23">
        <f>EXP(-LN(2)/2)*AW162+(1-EXP(-LN(2)/2))/(LN(2)/2)*AQ163*AT163*VLOOKUP('Données projet'!$B$10,Paramètres!$A$1:$I$89,3,0)*0.475*44/12</f>
        <v>2.9856722527498303E-17</v>
      </c>
      <c r="AX163" s="23">
        <f t="shared" si="166"/>
        <v>8.4251833691511973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5.6843418860808015E-14</v>
      </c>
      <c r="BE163" s="14">
        <f>BD163*VLOOKUP('Données projet'!$B$11,Paramètres!$A$1:$I$89,3,0)*VLOOKUP('Données projet'!$B$11,Paramètres!$A$1:$I$89,5,0)</f>
        <v>4.9658410716801891E-14</v>
      </c>
      <c r="BF163" s="14">
        <f t="shared" si="167"/>
        <v>8.0934058173791862E-13</v>
      </c>
      <c r="BG163" s="22">
        <f t="shared" si="168"/>
        <v>1.4960899118586383E-12</v>
      </c>
      <c r="BH163" s="62">
        <f t="shared" si="116"/>
        <v>287.75907759268983</v>
      </c>
      <c r="BI163" s="62">
        <f ca="1">AVERAGE(OFFSET($BH$3,0,0,'Données projet'!$E$11+1,1))-AVERAGE(OFFSET($H$3,0,0,'Données projet'!$E$11+1,1))</f>
        <v>342.02279578180605</v>
      </c>
      <c r="BJ163" s="62">
        <f t="shared" si="146"/>
        <v>409.02379334777754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317.99999999999972</v>
      </c>
      <c r="BZ163" s="14">
        <f>BY163*VLOOKUP('Données projet'!$B$12,Paramètres!$A$1:$I$89,3,0)*VLOOKUP('Données projet'!$B$12,Paramètres!$A$1:$I$89,5,0)</f>
        <v>253.0007999999998</v>
      </c>
      <c r="CA163" s="14">
        <f t="shared" si="170"/>
        <v>61.228070105968683</v>
      </c>
      <c r="CB163" s="22">
        <f t="shared" si="171"/>
        <v>547.28194876789507</v>
      </c>
      <c r="CC163" s="62">
        <f t="shared" si="119"/>
        <v>835.04102636058337</v>
      </c>
      <c r="CD163" s="62">
        <f ca="1">AVERAGE(OFFSET($CC$3,0,0,'Données projet'!$E$12+1,1))-AVERAGE(OFFSET($H$3,0,0,'Données projet'!$E$12+1,1))</f>
        <v>376.47942810265266</v>
      </c>
      <c r="CE163" s="62">
        <f t="shared" si="148"/>
        <v>362.87951024071265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1.2757707450223466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1.2757707450223466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317.99999999999972</v>
      </c>
      <c r="CU163" s="18">
        <f>CT163*VLOOKUP('Données projet'!$B$13,Paramètres!$A$1:$I$89,3,0)*VLOOKUP('Données projet'!$B$13,Paramètres!$A$1:$I$89,5,0)</f>
        <v>233.1575999999998</v>
      </c>
      <c r="CV163" s="14">
        <f t="shared" si="173"/>
        <v>56.964885721091697</v>
      </c>
      <c r="CW163" s="22">
        <f t="shared" si="174"/>
        <v>505.29666263090093</v>
      </c>
      <c r="CX163" s="62">
        <f t="shared" si="122"/>
        <v>793.05574022358928</v>
      </c>
      <c r="CY163" s="62">
        <f ca="1">AVERAGE(OFFSET($CX$3,0,0,'Données projet'!$E$13+1,1))-AVERAGE(OFFSET($H$3,0,0,'Données projet'!$E$13+1,1))</f>
        <v>351.7223836693733</v>
      </c>
      <c r="CZ163" s="62">
        <f t="shared" si="150"/>
        <v>339.34942976598518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0.95387816340738441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0.95387816340738441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183.33333333333334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6.3550942286383367E-14</v>
      </c>
      <c r="P164" s="14">
        <f t="shared" si="141"/>
        <v>1.0064464192543978E-12</v>
      </c>
      <c r="Q164" s="22">
        <f t="shared" si="162"/>
        <v>1.8635787380168604E-12</v>
      </c>
      <c r="R164" s="62">
        <f t="shared" si="109"/>
        <v>287.85577846762158</v>
      </c>
      <c r="S164" s="62">
        <f ca="1">AVERAGE(OFFSET($R$3,0,0,'Données projet'!$E$9+1,1))-AVERAGE(OFFSET($H$3,0,0,'Données projet'!$E$9+1,1))</f>
        <v>409.45931633551902</v>
      </c>
      <c r="T164" s="62">
        <f t="shared" si="142"/>
        <v>375.18886653687389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0.39594038577976098</v>
      </c>
      <c r="AA164" s="23">
        <f>EXP(-LN(2)/25)*AA163+(1-EXP(-LN(2)/25))/(LN(2)/25)*Calculateur!V164*Calculateur!X164*VLOOKUP('Données projet'!$B$9,Paramètres!$A$1:$I$89,3,0)*0.475*44/12</f>
        <v>0.51110328680901684</v>
      </c>
      <c r="AB164" s="23">
        <f>EXP(-LN(2)/2)*AB163+(1-EXP(-LN(2)/2))/(LN(2)/2)*V164*Y164*VLOOKUP('Données projet'!$B$9,Paramètres!$A$1:$I$89,3,0)*0.475*44/12</f>
        <v>2.2234837363327753E-19</v>
      </c>
      <c r="AC164" s="24">
        <f t="shared" si="163"/>
        <v>0.90704367258877783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5.6843418860808015E-14</v>
      </c>
      <c r="AJ164" s="14">
        <f>AI164*VLOOKUP('Données projet'!$B$10,Paramètres!$A$1:$I$89,3,0)*VLOOKUP('Données projet'!$B$10,Paramètres!$A$1:$I$89,5,0)</f>
        <v>3.3992364478763198E-14</v>
      </c>
      <c r="AK164" s="14">
        <f t="shared" si="164"/>
        <v>5.790027782444094E-13</v>
      </c>
      <c r="AL164" s="22">
        <f t="shared" si="165"/>
        <v>1.0676332069095257E-12</v>
      </c>
      <c r="AM164" s="62">
        <f t="shared" si="113"/>
        <v>287.85577846762078</v>
      </c>
      <c r="AN164" s="62">
        <f ca="1">AVERAGE(OFFSET($AM$3,0,0,'Données projet'!$E$10+1,1))-AVERAGE(OFFSET($H$3,0,0,'Données projet'!$E$10+1,1))</f>
        <v>212.90262675152454</v>
      </c>
      <c r="AO164" s="62">
        <f t="shared" si="144"/>
        <v>366.51899340890498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8.1708066467913092</v>
      </c>
      <c r="AV164" s="23">
        <f>EXP(-LN(2)/25)*AV163+(1-EXP(-LN(2)/25))/(LN(2)/25)*Calculateur!AQ164*Calculateur!AS164*VLOOKUP('Données projet'!$B$10,Paramètres!$A$1:$I$89,3,0)*0.475*44/12</f>
        <v>8.8460476648229647E-2</v>
      </c>
      <c r="AW164" s="23">
        <f>EXP(-LN(2)/2)*AW163+(1-EXP(-LN(2)/2))/(LN(2)/2)*AQ164*AT164*VLOOKUP('Données projet'!$B$10,Paramètres!$A$1:$I$89,3,0)*0.475*44/12</f>
        <v>2.1111890963199206E-17</v>
      </c>
      <c r="AX164" s="23">
        <f t="shared" si="166"/>
        <v>8.2592671234395389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5.6843418860808015E-14</v>
      </c>
      <c r="BE164" s="14">
        <f>BD164*VLOOKUP('Données projet'!$B$11,Paramètres!$A$1:$I$89,3,0)*VLOOKUP('Données projet'!$B$11,Paramètres!$A$1:$I$89,5,0)</f>
        <v>4.9658410716801891E-14</v>
      </c>
      <c r="BF164" s="14">
        <f t="shared" si="167"/>
        <v>8.0934058173791862E-13</v>
      </c>
      <c r="BG164" s="22">
        <f t="shared" si="168"/>
        <v>1.4960899118586383E-12</v>
      </c>
      <c r="BH164" s="62">
        <f t="shared" si="116"/>
        <v>287.85577846762118</v>
      </c>
      <c r="BI164" s="62">
        <f ca="1">AVERAGE(OFFSET($BH$3,0,0,'Données projet'!$E$11+1,1))-AVERAGE(OFFSET($H$3,0,0,'Données projet'!$E$11+1,1))</f>
        <v>342.02279578180605</v>
      </c>
      <c r="BJ164" s="62">
        <f t="shared" si="146"/>
        <v>409.02379334777754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317.99999999999972</v>
      </c>
      <c r="BZ164" s="14">
        <f>BY164*VLOOKUP('Données projet'!$B$12,Paramètres!$A$1:$I$89,3,0)*VLOOKUP('Données projet'!$B$12,Paramètres!$A$1:$I$89,5,0)</f>
        <v>253.0007999999998</v>
      </c>
      <c r="CA164" s="14">
        <f t="shared" si="170"/>
        <v>61.228070105968683</v>
      </c>
      <c r="CB164" s="22">
        <f t="shared" si="171"/>
        <v>547.28194876789507</v>
      </c>
      <c r="CC164" s="62">
        <f t="shared" si="119"/>
        <v>835.13772723551483</v>
      </c>
      <c r="CD164" s="62">
        <f ca="1">AVERAGE(OFFSET($CC$3,0,0,'Données projet'!$E$12+1,1))-AVERAGE(OFFSET($H$3,0,0,'Données projet'!$E$12+1,1))</f>
        <v>376.47942810265266</v>
      </c>
      <c r="CE164" s="62">
        <f t="shared" si="148"/>
        <v>362.87951024071265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1.2507536588557775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1.2507536588557775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317.99999999999972</v>
      </c>
      <c r="CU164" s="18">
        <f>CT164*VLOOKUP('Données projet'!$B$13,Paramètres!$A$1:$I$89,3,0)*VLOOKUP('Données projet'!$B$13,Paramètres!$A$1:$I$89,5,0)</f>
        <v>233.1575999999998</v>
      </c>
      <c r="CV164" s="14">
        <f t="shared" si="173"/>
        <v>56.964885721091697</v>
      </c>
      <c r="CW164" s="22">
        <f t="shared" si="174"/>
        <v>505.29666263090093</v>
      </c>
      <c r="CX164" s="62">
        <f t="shared" si="122"/>
        <v>793.15244109852063</v>
      </c>
      <c r="CY164" s="62">
        <f ca="1">AVERAGE(OFFSET($CX$3,0,0,'Données projet'!$E$13+1,1))-AVERAGE(OFFSET($H$3,0,0,'Données projet'!$E$13+1,1))</f>
        <v>351.7223836693733</v>
      </c>
      <c r="CZ164" s="62">
        <f t="shared" si="150"/>
        <v>339.34942976598518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0.93517319443119651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0.93517319443119651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183.33333333333334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6.3550942286383367E-14</v>
      </c>
      <c r="P165" s="14">
        <f t="shared" si="141"/>
        <v>1.0064464192543978E-12</v>
      </c>
      <c r="Q165" s="22">
        <f t="shared" si="162"/>
        <v>1.8635787380168604E-12</v>
      </c>
      <c r="R165" s="62">
        <f t="shared" si="109"/>
        <v>287.95080179856359</v>
      </c>
      <c r="S165" s="62">
        <f ca="1">AVERAGE(OFFSET($R$3,0,0,'Données projet'!$E$9+1,1))-AVERAGE(OFFSET($H$3,0,0,'Données projet'!$E$9+1,1))</f>
        <v>409.45931633551902</v>
      </c>
      <c r="T165" s="62">
        <f t="shared" si="142"/>
        <v>375.18886653687389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0.38817623631440906</v>
      </c>
      <c r="AA165" s="23">
        <f>EXP(-LN(2)/25)*AA164+(1-EXP(-LN(2)/25))/(LN(2)/25)*Calculateur!V165*Calculateur!X165*VLOOKUP('Données projet'!$B$9,Paramètres!$A$1:$I$89,3,0)*0.475*44/12</f>
        <v>0.49712714055347057</v>
      </c>
      <c r="AB165" s="23">
        <f>EXP(-LN(2)/2)*AB164+(1-EXP(-LN(2)/2))/(LN(2)/2)*V165*Y165*VLOOKUP('Données projet'!$B$9,Paramètres!$A$1:$I$89,3,0)*0.475*44/12</f>
        <v>1.5722404278189069E-19</v>
      </c>
      <c r="AC165" s="24">
        <f t="shared" si="163"/>
        <v>0.88530337686787963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5.6843418860808015E-14</v>
      </c>
      <c r="AJ165" s="14">
        <f>AI165*VLOOKUP('Données projet'!$B$10,Paramètres!$A$1:$I$89,3,0)*VLOOKUP('Données projet'!$B$10,Paramètres!$A$1:$I$89,5,0)</f>
        <v>3.3992364478763198E-14</v>
      </c>
      <c r="AK165" s="14">
        <f t="shared" si="164"/>
        <v>5.790027782444094E-13</v>
      </c>
      <c r="AL165" s="22">
        <f t="shared" si="165"/>
        <v>1.0676332069095257E-12</v>
      </c>
      <c r="AM165" s="62">
        <f t="shared" si="113"/>
        <v>287.95080179856279</v>
      </c>
      <c r="AN165" s="62">
        <f ca="1">AVERAGE(OFFSET($AM$3,0,0,'Données projet'!$E$10+1,1))-AVERAGE(OFFSET($H$3,0,0,'Données projet'!$E$10+1,1))</f>
        <v>212.90262675152454</v>
      </c>
      <c r="AO165" s="62">
        <f t="shared" si="144"/>
        <v>366.51899340890498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8.0105821121476861</v>
      </c>
      <c r="AV165" s="23">
        <f>EXP(-LN(2)/25)*AV164+(1-EXP(-LN(2)/25))/(LN(2)/25)*Calculateur!AQ165*Calculateur!AS165*VLOOKUP('Données projet'!$B$10,Paramètres!$A$1:$I$89,3,0)*0.475*44/12</f>
        <v>8.6041520262349513E-2</v>
      </c>
      <c r="AW165" s="23">
        <f>EXP(-LN(2)/2)*AW164+(1-EXP(-LN(2)/2))/(LN(2)/2)*AQ165*AT165*VLOOKUP('Données projet'!$B$10,Paramètres!$A$1:$I$89,3,0)*0.475*44/12</f>
        <v>1.4928361263749151E-17</v>
      </c>
      <c r="AX165" s="23">
        <f t="shared" si="166"/>
        <v>8.0966236324100365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5.6843418860808015E-14</v>
      </c>
      <c r="BE165" s="14">
        <f>BD165*VLOOKUP('Données projet'!$B$11,Paramètres!$A$1:$I$89,3,0)*VLOOKUP('Données projet'!$B$11,Paramètres!$A$1:$I$89,5,0)</f>
        <v>4.9658410716801891E-14</v>
      </c>
      <c r="BF165" s="14">
        <f t="shared" si="167"/>
        <v>8.0934058173791862E-13</v>
      </c>
      <c r="BG165" s="22">
        <f t="shared" si="168"/>
        <v>1.4960899118586383E-12</v>
      </c>
      <c r="BH165" s="62">
        <f t="shared" si="116"/>
        <v>287.95080179856319</v>
      </c>
      <c r="BI165" s="62">
        <f ca="1">AVERAGE(OFFSET($BH$3,0,0,'Données projet'!$E$11+1,1))-AVERAGE(OFFSET($H$3,0,0,'Données projet'!$E$11+1,1))</f>
        <v>342.02279578180605</v>
      </c>
      <c r="BJ165" s="62">
        <f t="shared" si="146"/>
        <v>409.02379334777754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317.99999999999972</v>
      </c>
      <c r="BZ165" s="14">
        <f>BY165*VLOOKUP('Données projet'!$B$12,Paramètres!$A$1:$I$89,3,0)*VLOOKUP('Données projet'!$B$12,Paramètres!$A$1:$I$89,5,0)</f>
        <v>253.0007999999998</v>
      </c>
      <c r="CA165" s="14">
        <f t="shared" si="170"/>
        <v>61.228070105968683</v>
      </c>
      <c r="CB165" s="22">
        <f t="shared" si="171"/>
        <v>547.28194876789507</v>
      </c>
      <c r="CC165" s="62">
        <f t="shared" si="119"/>
        <v>835.23275056645684</v>
      </c>
      <c r="CD165" s="62">
        <f ca="1">AVERAGE(OFFSET($CC$3,0,0,'Données projet'!$E$12+1,1))-AVERAGE(OFFSET($H$3,0,0,'Données projet'!$E$12+1,1))</f>
        <v>376.47942810265266</v>
      </c>
      <c r="CE165" s="62">
        <f t="shared" si="148"/>
        <v>362.87951024071265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1.2262271424900191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1.2262271424900191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317.99999999999972</v>
      </c>
      <c r="CU165" s="18">
        <f>CT165*VLOOKUP('Données projet'!$B$13,Paramètres!$A$1:$I$89,3,0)*VLOOKUP('Données projet'!$B$13,Paramètres!$A$1:$I$89,5,0)</f>
        <v>233.1575999999998</v>
      </c>
      <c r="CV165" s="14">
        <f t="shared" si="173"/>
        <v>56.964885721091697</v>
      </c>
      <c r="CW165" s="22">
        <f t="shared" si="174"/>
        <v>505.29666263090093</v>
      </c>
      <c r="CX165" s="62">
        <f t="shared" si="122"/>
        <v>793.24746442946264</v>
      </c>
      <c r="CY165" s="62">
        <f ca="1">AVERAGE(OFFSET($CX$3,0,0,'Données projet'!$E$13+1,1))-AVERAGE(OFFSET($H$3,0,0,'Données projet'!$E$13+1,1))</f>
        <v>351.7223836693733</v>
      </c>
      <c r="CZ165" s="62">
        <f t="shared" si="150"/>
        <v>339.34942976598518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0.91683501848772708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0.91683501848772708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183.33333333333334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6.3550942286383367E-14</v>
      </c>
      <c r="P166" s="14">
        <f t="shared" si="141"/>
        <v>1.0064464192543978E-12</v>
      </c>
      <c r="Q166" s="22">
        <f t="shared" si="162"/>
        <v>1.8635787380168604E-12</v>
      </c>
      <c r="R166" s="62">
        <f t="shared" si="109"/>
        <v>288.04417668715411</v>
      </c>
      <c r="S166" s="62">
        <f ca="1">AVERAGE(OFFSET($R$3,0,0,'Données projet'!$E$9+1,1))-AVERAGE(OFFSET($H$3,0,0,'Données projet'!$E$9+1,1))</f>
        <v>409.45931633551902</v>
      </c>
      <c r="T166" s="62">
        <f t="shared" si="142"/>
        <v>375.18886653687389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0.38056433708440912</v>
      </c>
      <c r="AA166" s="23">
        <f>EXP(-LN(2)/25)*AA165+(1-EXP(-LN(2)/25))/(LN(2)/25)*Calculateur!V166*Calculateur!X166*VLOOKUP('Données projet'!$B$9,Paramètres!$A$1:$I$89,3,0)*0.475*44/12</f>
        <v>0.48353317275225577</v>
      </c>
      <c r="AB166" s="23">
        <f>EXP(-LN(2)/2)*AB165+(1-EXP(-LN(2)/2))/(LN(2)/2)*V166*Y166*VLOOKUP('Données projet'!$B$9,Paramètres!$A$1:$I$89,3,0)*0.475*44/12</f>
        <v>1.1117418681663876E-19</v>
      </c>
      <c r="AC166" s="24">
        <f t="shared" si="163"/>
        <v>0.86409750983666489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5.6843418860808015E-14</v>
      </c>
      <c r="AJ166" s="14">
        <f>AI166*VLOOKUP('Données projet'!$B$10,Paramètres!$A$1:$I$89,3,0)*VLOOKUP('Données projet'!$B$10,Paramètres!$A$1:$I$89,5,0)</f>
        <v>3.3992364478763198E-14</v>
      </c>
      <c r="AK166" s="14">
        <f t="shared" si="164"/>
        <v>5.790027782444094E-13</v>
      </c>
      <c r="AL166" s="22">
        <f t="shared" si="165"/>
        <v>1.0676332069095257E-12</v>
      </c>
      <c r="AM166" s="62">
        <f t="shared" si="113"/>
        <v>288.04417668715331</v>
      </c>
      <c r="AN166" s="62">
        <f ca="1">AVERAGE(OFFSET($AM$3,0,0,'Données projet'!$E$10+1,1))-AVERAGE(OFFSET($H$3,0,0,'Données projet'!$E$10+1,1))</f>
        <v>212.90262675152454</v>
      </c>
      <c r="AO166" s="62">
        <f t="shared" si="144"/>
        <v>366.51899340890498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7.8534994829011087</v>
      </c>
      <c r="AV166" s="23">
        <f>EXP(-LN(2)/25)*AV165+(1-EXP(-LN(2)/25))/(LN(2)/25)*Calculateur!AQ166*Calculateur!AS166*VLOOKUP('Données projet'!$B$10,Paramètres!$A$1:$I$89,3,0)*0.475*44/12</f>
        <v>8.3688710366048663E-2</v>
      </c>
      <c r="AW166" s="23">
        <f>EXP(-LN(2)/2)*AW165+(1-EXP(-LN(2)/2))/(LN(2)/2)*AQ166*AT166*VLOOKUP('Données projet'!$B$10,Paramètres!$A$1:$I$89,3,0)*0.475*44/12</f>
        <v>1.0555945481599603E-17</v>
      </c>
      <c r="AX166" s="23">
        <f t="shared" si="166"/>
        <v>7.9371881932671577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5.6843418860808015E-14</v>
      </c>
      <c r="BE166" s="14">
        <f>BD166*VLOOKUP('Données projet'!$B$11,Paramètres!$A$1:$I$89,3,0)*VLOOKUP('Données projet'!$B$11,Paramètres!$A$1:$I$89,5,0)</f>
        <v>4.9658410716801891E-14</v>
      </c>
      <c r="BF166" s="14">
        <f t="shared" si="167"/>
        <v>8.0934058173791862E-13</v>
      </c>
      <c r="BG166" s="22">
        <f t="shared" si="168"/>
        <v>1.4960899118586383E-12</v>
      </c>
      <c r="BH166" s="62">
        <f t="shared" si="116"/>
        <v>288.04417668715371</v>
      </c>
      <c r="BI166" s="62">
        <f ca="1">AVERAGE(OFFSET($BH$3,0,0,'Données projet'!$E$11+1,1))-AVERAGE(OFFSET($H$3,0,0,'Données projet'!$E$11+1,1))</f>
        <v>342.02279578180605</v>
      </c>
      <c r="BJ166" s="62">
        <f t="shared" si="146"/>
        <v>409.02379334777754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317.99999999999972</v>
      </c>
      <c r="BZ166" s="14">
        <f>BY166*VLOOKUP('Données projet'!$B$12,Paramètres!$A$1:$I$89,3,0)*VLOOKUP('Données projet'!$B$12,Paramètres!$A$1:$I$89,5,0)</f>
        <v>253.0007999999998</v>
      </c>
      <c r="CA166" s="14">
        <f t="shared" si="170"/>
        <v>61.228070105968683</v>
      </c>
      <c r="CB166" s="22">
        <f t="shared" si="171"/>
        <v>547.28194876789507</v>
      </c>
      <c r="CC166" s="62">
        <f t="shared" si="119"/>
        <v>835.3261254550473</v>
      </c>
      <c r="CD166" s="62">
        <f ca="1">AVERAGE(OFFSET($CC$3,0,0,'Données projet'!$E$12+1,1))-AVERAGE(OFFSET($H$3,0,0,'Données projet'!$E$12+1,1))</f>
        <v>376.47942810265266</v>
      </c>
      <c r="CE166" s="62">
        <f t="shared" si="148"/>
        <v>362.87951024071265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1.2021815761504953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1.2021815761504953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317.99999999999972</v>
      </c>
      <c r="CU166" s="18">
        <f>CT166*VLOOKUP('Données projet'!$B$13,Paramètres!$A$1:$I$89,3,0)*VLOOKUP('Données projet'!$B$13,Paramètres!$A$1:$I$89,5,0)</f>
        <v>233.1575999999998</v>
      </c>
      <c r="CV166" s="14">
        <f t="shared" si="173"/>
        <v>56.964885721091697</v>
      </c>
      <c r="CW166" s="22">
        <f t="shared" si="174"/>
        <v>505.29666263090093</v>
      </c>
      <c r="CX166" s="62">
        <f t="shared" si="122"/>
        <v>793.34083931805321</v>
      </c>
      <c r="CY166" s="62">
        <f ca="1">AVERAGE(OFFSET($CX$3,0,0,'Données projet'!$E$13+1,1))-AVERAGE(OFFSET($H$3,0,0,'Données projet'!$E$13+1,1))</f>
        <v>351.7223836693733</v>
      </c>
      <c r="CZ166" s="62">
        <f t="shared" si="150"/>
        <v>339.34942976598518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0.89885644298932621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0.89885644298932621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183.33333333333334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6.3550942286383367E-14</v>
      </c>
      <c r="P167" s="14">
        <f t="shared" si="141"/>
        <v>1.0064464192543978E-12</v>
      </c>
      <c r="Q167" s="22">
        <f t="shared" si="162"/>
        <v>1.8635787380168604E-12</v>
      </c>
      <c r="R167" s="62">
        <f t="shared" si="109"/>
        <v>288.13593173018256</v>
      </c>
      <c r="S167" s="62">
        <f ca="1">AVERAGE(OFFSET($R$3,0,0,'Données projet'!$E$9+1,1))-AVERAGE(OFFSET($H$3,0,0,'Données projet'!$E$9+1,1))</f>
        <v>409.45931633551902</v>
      </c>
      <c r="T167" s="62">
        <f t="shared" si="142"/>
        <v>375.18886653687389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0.3731017025555094</v>
      </c>
      <c r="AA167" s="23">
        <f>EXP(-LN(2)/25)*AA166+(1-EXP(-LN(2)/25))/(LN(2)/25)*Calculateur!V167*Calculateur!X167*VLOOKUP('Données projet'!$B$9,Paramètres!$A$1:$I$89,3,0)*0.475*44/12</f>
        <v>0.47031093271544089</v>
      </c>
      <c r="AB167" s="23">
        <f>EXP(-LN(2)/2)*AB166+(1-EXP(-LN(2)/2))/(LN(2)/2)*V167*Y167*VLOOKUP('Données projet'!$B$9,Paramètres!$A$1:$I$89,3,0)*0.475*44/12</f>
        <v>7.8612021390945345E-20</v>
      </c>
      <c r="AC167" s="24">
        <f t="shared" si="163"/>
        <v>0.84341263527095034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5.6843418860808015E-14</v>
      </c>
      <c r="AJ167" s="14">
        <f>AI167*VLOOKUP('Données projet'!$B$10,Paramètres!$A$1:$I$89,3,0)*VLOOKUP('Données projet'!$B$10,Paramètres!$A$1:$I$89,5,0)</f>
        <v>3.3992364478763198E-14</v>
      </c>
      <c r="AK167" s="14">
        <f t="shared" si="164"/>
        <v>5.790027782444094E-13</v>
      </c>
      <c r="AL167" s="22">
        <f t="shared" si="165"/>
        <v>1.0676332069095257E-12</v>
      </c>
      <c r="AM167" s="62">
        <f t="shared" si="113"/>
        <v>288.13593173018177</v>
      </c>
      <c r="AN167" s="62">
        <f ca="1">AVERAGE(OFFSET($AM$3,0,0,'Données projet'!$E$10+1,1))-AVERAGE(OFFSET($H$3,0,0,'Données projet'!$E$10+1,1))</f>
        <v>212.90262675152454</v>
      </c>
      <c r="AO167" s="62">
        <f t="shared" si="144"/>
        <v>366.51899340890498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7.6994971482031129</v>
      </c>
      <c r="AV167" s="23">
        <f>EXP(-LN(2)/25)*AV166+(1-EXP(-LN(2)/25))/(LN(2)/25)*Calculateur!AQ167*Calculateur!AS167*VLOOKUP('Données projet'!$B$10,Paramètres!$A$1:$I$89,3,0)*0.475*44/12</f>
        <v>8.1400238180091053E-2</v>
      </c>
      <c r="AW167" s="23">
        <f>EXP(-LN(2)/2)*AW166+(1-EXP(-LN(2)/2))/(LN(2)/2)*AQ167*AT167*VLOOKUP('Données projet'!$B$10,Paramètres!$A$1:$I$89,3,0)*0.475*44/12</f>
        <v>7.4641806318745757E-18</v>
      </c>
      <c r="AX167" s="23">
        <f t="shared" si="166"/>
        <v>7.7808973863832041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5.6843418860808015E-14</v>
      </c>
      <c r="BE167" s="14">
        <f>BD167*VLOOKUP('Données projet'!$B$11,Paramètres!$A$1:$I$89,3,0)*VLOOKUP('Données projet'!$B$11,Paramètres!$A$1:$I$89,5,0)</f>
        <v>4.9658410716801891E-14</v>
      </c>
      <c r="BF167" s="14">
        <f t="shared" si="167"/>
        <v>8.0934058173791862E-13</v>
      </c>
      <c r="BG167" s="22">
        <f t="shared" si="168"/>
        <v>1.4960899118586383E-12</v>
      </c>
      <c r="BH167" s="62">
        <f t="shared" si="116"/>
        <v>288.13593173018216</v>
      </c>
      <c r="BI167" s="62">
        <f ca="1">AVERAGE(OFFSET($BH$3,0,0,'Données projet'!$E$11+1,1))-AVERAGE(OFFSET($H$3,0,0,'Données projet'!$E$11+1,1))</f>
        <v>342.02279578180605</v>
      </c>
      <c r="BJ167" s="62">
        <f t="shared" si="146"/>
        <v>409.02379334777754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317.99999999999972</v>
      </c>
      <c r="BZ167" s="14">
        <f>BY167*VLOOKUP('Données projet'!$B$12,Paramètres!$A$1:$I$89,3,0)*VLOOKUP('Données projet'!$B$12,Paramètres!$A$1:$I$89,5,0)</f>
        <v>253.0007999999998</v>
      </c>
      <c r="CA167" s="14">
        <f t="shared" si="170"/>
        <v>61.228070105968683</v>
      </c>
      <c r="CB167" s="22">
        <f t="shared" si="171"/>
        <v>547.28194876789507</v>
      </c>
      <c r="CC167" s="62">
        <f t="shared" si="119"/>
        <v>835.41788049807576</v>
      </c>
      <c r="CD167" s="62">
        <f ca="1">AVERAGE(OFFSET($CC$3,0,0,'Données projet'!$E$12+1,1))-AVERAGE(OFFSET($H$3,0,0,'Données projet'!$E$12+1,1))</f>
        <v>376.47942810265266</v>
      </c>
      <c r="CE167" s="62">
        <f t="shared" si="148"/>
        <v>362.87951024071265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1.1786075287005422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1.1786075287005422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317.99999999999972</v>
      </c>
      <c r="CU167" s="18">
        <f>CT167*VLOOKUP('Données projet'!$B$13,Paramètres!$A$1:$I$89,3,0)*VLOOKUP('Données projet'!$B$13,Paramètres!$A$1:$I$89,5,0)</f>
        <v>233.1575999999998</v>
      </c>
      <c r="CV167" s="14">
        <f t="shared" si="173"/>
        <v>56.964885721091697</v>
      </c>
      <c r="CW167" s="22">
        <f t="shared" si="174"/>
        <v>505.29666263090093</v>
      </c>
      <c r="CX167" s="62">
        <f t="shared" si="122"/>
        <v>793.43259436108156</v>
      </c>
      <c r="CY167" s="62">
        <f ca="1">AVERAGE(OFFSET($CX$3,0,0,'Données projet'!$E$13+1,1))-AVERAGE(OFFSET($H$3,0,0,'Données projet'!$E$13+1,1))</f>
        <v>351.7223836693733</v>
      </c>
      <c r="CZ167" s="62">
        <f t="shared" si="150"/>
        <v>339.34942976598518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0.88123041639060073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0.88123041639060073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183.33333333333334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6.3550942286383367E-14</v>
      </c>
      <c r="P168" s="14">
        <f t="shared" si="141"/>
        <v>1.0064464192543978E-12</v>
      </c>
      <c r="Q168" s="22">
        <f t="shared" si="162"/>
        <v>1.8635787380168604E-12</v>
      </c>
      <c r="R168" s="62">
        <f t="shared" si="109"/>
        <v>288.22609502834803</v>
      </c>
      <c r="S168" s="62">
        <f ca="1">AVERAGE(OFFSET($R$3,0,0,'Données projet'!$E$9+1,1))-AVERAGE(OFFSET($H$3,0,0,'Données projet'!$E$9+1,1))</f>
        <v>409.45931633551902</v>
      </c>
      <c r="T168" s="62">
        <f t="shared" si="142"/>
        <v>375.18886653687389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0.36578540573796381</v>
      </c>
      <c r="AA168" s="23">
        <f>EXP(-LN(2)/25)*AA167+(1-EXP(-LN(2)/25))/(LN(2)/25)*Calculateur!V168*Calculateur!X168*VLOOKUP('Données projet'!$B$9,Paramètres!$A$1:$I$89,3,0)*0.475*44/12</f>
        <v>0.45745025552776014</v>
      </c>
      <c r="AB168" s="23">
        <f>EXP(-LN(2)/2)*AB167+(1-EXP(-LN(2)/2))/(LN(2)/2)*V168*Y168*VLOOKUP('Données projet'!$B$9,Paramètres!$A$1:$I$89,3,0)*0.475*44/12</f>
        <v>5.5587093408319382E-20</v>
      </c>
      <c r="AC168" s="24">
        <f t="shared" si="163"/>
        <v>0.82323566126572389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5.6843418860808015E-14</v>
      </c>
      <c r="AJ168" s="14">
        <f>AI168*VLOOKUP('Données projet'!$B$10,Paramètres!$A$1:$I$89,3,0)*VLOOKUP('Données projet'!$B$10,Paramètres!$A$1:$I$89,5,0)</f>
        <v>3.3992364478763198E-14</v>
      </c>
      <c r="AK168" s="14">
        <f t="shared" si="164"/>
        <v>5.790027782444094E-13</v>
      </c>
      <c r="AL168" s="22">
        <f t="shared" si="165"/>
        <v>1.0676332069095257E-12</v>
      </c>
      <c r="AM168" s="62">
        <f t="shared" si="113"/>
        <v>288.22609502834723</v>
      </c>
      <c r="AN168" s="62">
        <f ca="1">AVERAGE(OFFSET($AM$3,0,0,'Données projet'!$E$10+1,1))-AVERAGE(OFFSET($H$3,0,0,'Données projet'!$E$10+1,1))</f>
        <v>212.90262675152454</v>
      </c>
      <c r="AO168" s="62">
        <f t="shared" si="144"/>
        <v>366.51899340890498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7.5485147053563963</v>
      </c>
      <c r="AV168" s="23">
        <f>EXP(-LN(2)/25)*AV167+(1-EXP(-LN(2)/25))/(LN(2)/25)*Calculateur!AQ168*Calculateur!AS168*VLOOKUP('Données projet'!$B$10,Paramètres!$A$1:$I$89,3,0)*0.475*44/12</f>
        <v>7.9174344386403986E-2</v>
      </c>
      <c r="AW168" s="23">
        <f>EXP(-LN(2)/2)*AW167+(1-EXP(-LN(2)/2))/(LN(2)/2)*AQ168*AT168*VLOOKUP('Données projet'!$B$10,Paramètres!$A$1:$I$89,3,0)*0.475*44/12</f>
        <v>5.2779727407998016E-18</v>
      </c>
      <c r="AX168" s="23">
        <f t="shared" si="166"/>
        <v>7.6276890497428003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5.6843418860808015E-14</v>
      </c>
      <c r="BE168" s="14">
        <f>BD168*VLOOKUP('Données projet'!$B$11,Paramètres!$A$1:$I$89,3,0)*VLOOKUP('Données projet'!$B$11,Paramètres!$A$1:$I$89,5,0)</f>
        <v>4.9658410716801891E-14</v>
      </c>
      <c r="BF168" s="14">
        <f t="shared" si="167"/>
        <v>8.0934058173791862E-13</v>
      </c>
      <c r="BG168" s="22">
        <f t="shared" si="168"/>
        <v>1.4960899118586383E-12</v>
      </c>
      <c r="BH168" s="62">
        <f t="shared" si="116"/>
        <v>288.22609502834763</v>
      </c>
      <c r="BI168" s="62">
        <f ca="1">AVERAGE(OFFSET($BH$3,0,0,'Données projet'!$E$11+1,1))-AVERAGE(OFFSET($H$3,0,0,'Données projet'!$E$11+1,1))</f>
        <v>342.02279578180605</v>
      </c>
      <c r="BJ168" s="62">
        <f t="shared" si="146"/>
        <v>409.02379334777754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317.99999999999972</v>
      </c>
      <c r="BZ168" s="14">
        <f>BY168*VLOOKUP('Données projet'!$B$12,Paramètres!$A$1:$I$89,3,0)*VLOOKUP('Données projet'!$B$12,Paramètres!$A$1:$I$89,5,0)</f>
        <v>253.0007999999998</v>
      </c>
      <c r="CA168" s="14">
        <f t="shared" si="170"/>
        <v>61.228070105968683</v>
      </c>
      <c r="CB168" s="22">
        <f t="shared" si="171"/>
        <v>547.28194876789507</v>
      </c>
      <c r="CC168" s="62">
        <f t="shared" si="119"/>
        <v>835.50804379624128</v>
      </c>
      <c r="CD168" s="62">
        <f ca="1">AVERAGE(OFFSET($CC$3,0,0,'Données projet'!$E$12+1,1))-AVERAGE(OFFSET($H$3,0,0,'Données projet'!$E$12+1,1))</f>
        <v>376.47942810265266</v>
      </c>
      <c r="CE168" s="62">
        <f t="shared" si="148"/>
        <v>362.87951024071265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1.1554957539423336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1.1554957539423336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317.99999999999972</v>
      </c>
      <c r="CU168" s="18">
        <f>CT168*VLOOKUP('Données projet'!$B$13,Paramètres!$A$1:$I$89,3,0)*VLOOKUP('Données projet'!$B$13,Paramètres!$A$1:$I$89,5,0)</f>
        <v>233.1575999999998</v>
      </c>
      <c r="CV168" s="14">
        <f t="shared" si="173"/>
        <v>56.964885721091697</v>
      </c>
      <c r="CW168" s="22">
        <f t="shared" si="174"/>
        <v>505.29666263090093</v>
      </c>
      <c r="CX168" s="62">
        <f t="shared" si="122"/>
        <v>793.52275765924708</v>
      </c>
      <c r="CY168" s="62">
        <f ca="1">AVERAGE(OFFSET($CX$3,0,0,'Données projet'!$E$13+1,1))-AVERAGE(OFFSET($H$3,0,0,'Données projet'!$E$13+1,1))</f>
        <v>351.7223836693733</v>
      </c>
      <c r="CZ168" s="62">
        <f t="shared" si="150"/>
        <v>339.34942976598518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0.86395002542266164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0.86395002542266164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183.33333333333334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6.3550942286383367E-14</v>
      </c>
      <c r="P169" s="14">
        <f t="shared" si="141"/>
        <v>1.0064464192543978E-12</v>
      </c>
      <c r="Q169" s="22">
        <f t="shared" si="162"/>
        <v>1.8635787380168604E-12</v>
      </c>
      <c r="R169" s="62">
        <f t="shared" si="109"/>
        <v>288.3146941948653</v>
      </c>
      <c r="S169" s="62">
        <f ca="1">AVERAGE(OFFSET($R$3,0,0,'Données projet'!$E$9+1,1))-AVERAGE(OFFSET($H$3,0,0,'Données projet'!$E$9+1,1))</f>
        <v>409.45931633551902</v>
      </c>
      <c r="T169" s="62">
        <f t="shared" si="142"/>
        <v>375.18886653687389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0.35861257703850985</v>
      </c>
      <c r="AA169" s="23">
        <f>EXP(-LN(2)/25)*AA168+(1-EXP(-LN(2)/25))/(LN(2)/25)*Calculateur!V169*Calculateur!X169*VLOOKUP('Données projet'!$B$9,Paramètres!$A$1:$I$89,3,0)*0.475*44/12</f>
        <v>0.44494125423409014</v>
      </c>
      <c r="AB169" s="23">
        <f>EXP(-LN(2)/2)*AB168+(1-EXP(-LN(2)/2))/(LN(2)/2)*V169*Y169*VLOOKUP('Données projet'!$B$9,Paramètres!$A$1:$I$89,3,0)*0.475*44/12</f>
        <v>3.9306010695472673E-20</v>
      </c>
      <c r="AC169" s="24">
        <f t="shared" si="163"/>
        <v>0.80355383127260005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5.6843418860808015E-14</v>
      </c>
      <c r="AJ169" s="14">
        <f>AI169*VLOOKUP('Données projet'!$B$10,Paramètres!$A$1:$I$89,3,0)*VLOOKUP('Données projet'!$B$10,Paramètres!$A$1:$I$89,5,0)</f>
        <v>3.3992364478763198E-14</v>
      </c>
      <c r="AK169" s="14">
        <f t="shared" si="164"/>
        <v>5.790027782444094E-13</v>
      </c>
      <c r="AL169" s="22">
        <f t="shared" si="165"/>
        <v>1.0676332069095257E-12</v>
      </c>
      <c r="AM169" s="62">
        <f t="shared" si="113"/>
        <v>288.3146941948645</v>
      </c>
      <c r="AN169" s="62">
        <f ca="1">AVERAGE(OFFSET($AM$3,0,0,'Données projet'!$E$10+1,1))-AVERAGE(OFFSET($H$3,0,0,'Données projet'!$E$10+1,1))</f>
        <v>212.90262675152454</v>
      </c>
      <c r="AO169" s="62">
        <f t="shared" si="144"/>
        <v>366.51899340890498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7.4004929361237064</v>
      </c>
      <c r="AV169" s="23">
        <f>EXP(-LN(2)/25)*AV168+(1-EXP(-LN(2)/25))/(LN(2)/25)*Calculateur!AQ169*Calculateur!AS169*VLOOKUP('Données projet'!$B$10,Paramètres!$A$1:$I$89,3,0)*0.475*44/12</f>
        <v>7.7009317775559957E-2</v>
      </c>
      <c r="AW169" s="23">
        <f>EXP(-LN(2)/2)*AW168+(1-EXP(-LN(2)/2))/(LN(2)/2)*AQ169*AT169*VLOOKUP('Données projet'!$B$10,Paramètres!$A$1:$I$89,3,0)*0.475*44/12</f>
        <v>3.7320903159372878E-18</v>
      </c>
      <c r="AX169" s="23">
        <f t="shared" si="166"/>
        <v>7.4775022538992664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5.6843418860808015E-14</v>
      </c>
      <c r="BE169" s="14">
        <f>BD169*VLOOKUP('Données projet'!$B$11,Paramètres!$A$1:$I$89,3,0)*VLOOKUP('Données projet'!$B$11,Paramètres!$A$1:$I$89,5,0)</f>
        <v>4.9658410716801891E-14</v>
      </c>
      <c r="BF169" s="14">
        <f t="shared" si="167"/>
        <v>8.0934058173791862E-13</v>
      </c>
      <c r="BG169" s="22">
        <f t="shared" si="168"/>
        <v>1.4960899118586383E-12</v>
      </c>
      <c r="BH169" s="62">
        <f t="shared" si="116"/>
        <v>288.3146941948649</v>
      </c>
      <c r="BI169" s="62">
        <f ca="1">AVERAGE(OFFSET($BH$3,0,0,'Données projet'!$E$11+1,1))-AVERAGE(OFFSET($H$3,0,0,'Données projet'!$E$11+1,1))</f>
        <v>342.02279578180605</v>
      </c>
      <c r="BJ169" s="62">
        <f t="shared" si="146"/>
        <v>409.02379334777754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317.99999999999972</v>
      </c>
      <c r="BZ169" s="14">
        <f>BY169*VLOOKUP('Données projet'!$B$12,Paramètres!$A$1:$I$89,3,0)*VLOOKUP('Données projet'!$B$12,Paramètres!$A$1:$I$89,5,0)</f>
        <v>253.0007999999998</v>
      </c>
      <c r="CA169" s="14">
        <f t="shared" si="170"/>
        <v>61.228070105968683</v>
      </c>
      <c r="CB169" s="22">
        <f t="shared" si="171"/>
        <v>547.28194876789507</v>
      </c>
      <c r="CC169" s="62">
        <f t="shared" si="119"/>
        <v>835.59664296275855</v>
      </c>
      <c r="CD169" s="62">
        <f ca="1">AVERAGE(OFFSET($CC$3,0,0,'Données projet'!$E$12+1,1))-AVERAGE(OFFSET($H$3,0,0,'Données projet'!$E$12+1,1))</f>
        <v>376.47942810265266</v>
      </c>
      <c r="CE169" s="62">
        <f t="shared" si="148"/>
        <v>362.87951024071265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1.1328371869903429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1.1328371869903429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317.99999999999972</v>
      </c>
      <c r="CU169" s="18">
        <f>CT169*VLOOKUP('Données projet'!$B$13,Paramètres!$A$1:$I$89,3,0)*VLOOKUP('Données projet'!$B$13,Paramètres!$A$1:$I$89,5,0)</f>
        <v>233.1575999999998</v>
      </c>
      <c r="CV169" s="14">
        <f t="shared" si="173"/>
        <v>56.964885721091697</v>
      </c>
      <c r="CW169" s="22">
        <f t="shared" si="174"/>
        <v>505.29666263090093</v>
      </c>
      <c r="CX169" s="62">
        <f t="shared" si="122"/>
        <v>793.61135682576435</v>
      </c>
      <c r="CY169" s="62">
        <f ca="1">AVERAGE(OFFSET($CX$3,0,0,'Données projet'!$E$13+1,1))-AVERAGE(OFFSET($H$3,0,0,'Données projet'!$E$13+1,1))</f>
        <v>351.7223836693733</v>
      </c>
      <c r="CZ169" s="62">
        <f t="shared" si="150"/>
        <v>339.34942976598518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0.84700849238160603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0.84700849238160603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183.33333333333334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6.3550942286383367E-14</v>
      </c>
      <c r="P170" s="14">
        <f t="shared" si="141"/>
        <v>1.0064464192543978E-12</v>
      </c>
      <c r="Q170" s="22">
        <f t="shared" si="162"/>
        <v>1.8635787380168604E-12</v>
      </c>
      <c r="R170" s="62">
        <f t="shared" si="109"/>
        <v>288.40175636392149</v>
      </c>
      <c r="S170" s="62">
        <f ca="1">AVERAGE(OFFSET($R$3,0,0,'Données projet'!$E$9+1,1))-AVERAGE(OFFSET($H$3,0,0,'Données projet'!$E$9+1,1))</f>
        <v>409.45931633551902</v>
      </c>
      <c r="T170" s="62">
        <f t="shared" si="142"/>
        <v>375.18886653687389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0.35158040313485867</v>
      </c>
      <c r="AA170" s="23">
        <f>EXP(-LN(2)/25)*AA169+(1-EXP(-LN(2)/25))/(LN(2)/25)*Calculateur!V170*Calculateur!X170*VLOOKUP('Données projet'!$B$9,Paramètres!$A$1:$I$89,3,0)*0.475*44/12</f>
        <v>0.43277431223861529</v>
      </c>
      <c r="AB170" s="23">
        <f>EXP(-LN(2)/2)*AB169+(1-EXP(-LN(2)/2))/(LN(2)/2)*V170*Y170*VLOOKUP('Données projet'!$B$9,Paramètres!$A$1:$I$89,3,0)*0.475*44/12</f>
        <v>2.7793546704159691E-20</v>
      </c>
      <c r="AC170" s="24">
        <f t="shared" si="163"/>
        <v>0.78435471537347401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5.6843418860808015E-14</v>
      </c>
      <c r="AJ170" s="14">
        <f>AI170*VLOOKUP('Données projet'!$B$10,Paramètres!$A$1:$I$89,3,0)*VLOOKUP('Données projet'!$B$10,Paramètres!$A$1:$I$89,5,0)</f>
        <v>3.3992364478763198E-14</v>
      </c>
      <c r="AK170" s="14">
        <f t="shared" si="164"/>
        <v>5.790027782444094E-13</v>
      </c>
      <c r="AL170" s="22">
        <f t="shared" si="165"/>
        <v>1.0676332069095257E-12</v>
      </c>
      <c r="AM170" s="62">
        <f t="shared" si="113"/>
        <v>288.4017563639207</v>
      </c>
      <c r="AN170" s="62">
        <f ca="1">AVERAGE(OFFSET($AM$3,0,0,'Données projet'!$E$10+1,1))-AVERAGE(OFFSET($H$3,0,0,'Données projet'!$E$10+1,1))</f>
        <v>212.90262675152454</v>
      </c>
      <c r="AO170" s="62">
        <f t="shared" si="144"/>
        <v>366.51899340890498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7.2553737835013052</v>
      </c>
      <c r="AV170" s="23">
        <f>EXP(-LN(2)/25)*AV169+(1-EXP(-LN(2)/25))/(LN(2)/25)*Calculateur!AQ170*Calculateur!AS170*VLOOKUP('Données projet'!$B$10,Paramètres!$A$1:$I$89,3,0)*0.475*44/12</f>
        <v>7.4903493931243251E-2</v>
      </c>
      <c r="AW170" s="23">
        <f>EXP(-LN(2)/2)*AW169+(1-EXP(-LN(2)/2))/(LN(2)/2)*AQ170*AT170*VLOOKUP('Données projet'!$B$10,Paramètres!$A$1:$I$89,3,0)*0.475*44/12</f>
        <v>2.6389863703999008E-18</v>
      </c>
      <c r="AX170" s="23">
        <f t="shared" si="166"/>
        <v>7.3302772774325486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5.6843418860808015E-14</v>
      </c>
      <c r="BE170" s="14">
        <f>BD170*VLOOKUP('Données projet'!$B$11,Paramètres!$A$1:$I$89,3,0)*VLOOKUP('Données projet'!$B$11,Paramètres!$A$1:$I$89,5,0)</f>
        <v>4.9658410716801891E-14</v>
      </c>
      <c r="BF170" s="14">
        <f t="shared" si="167"/>
        <v>8.0934058173791862E-13</v>
      </c>
      <c r="BG170" s="22">
        <f t="shared" si="168"/>
        <v>1.4960899118586383E-12</v>
      </c>
      <c r="BH170" s="62">
        <f t="shared" si="116"/>
        <v>288.40175636392109</v>
      </c>
      <c r="BI170" s="62">
        <f ca="1">AVERAGE(OFFSET($BH$3,0,0,'Données projet'!$E$11+1,1))-AVERAGE(OFFSET($H$3,0,0,'Données projet'!$E$11+1,1))</f>
        <v>342.02279578180605</v>
      </c>
      <c r="BJ170" s="62">
        <f t="shared" si="146"/>
        <v>409.02379334777754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317.99999999999972</v>
      </c>
      <c r="BZ170" s="14">
        <f>BY170*VLOOKUP('Données projet'!$B$12,Paramètres!$A$1:$I$89,3,0)*VLOOKUP('Données projet'!$B$12,Paramètres!$A$1:$I$89,5,0)</f>
        <v>253.0007999999998</v>
      </c>
      <c r="CA170" s="14">
        <f t="shared" si="170"/>
        <v>61.228070105968683</v>
      </c>
      <c r="CB170" s="22">
        <f t="shared" si="171"/>
        <v>547.28194876789507</v>
      </c>
      <c r="CC170" s="62">
        <f t="shared" si="119"/>
        <v>835.68370513181469</v>
      </c>
      <c r="CD170" s="62">
        <f ca="1">AVERAGE(OFFSET($CC$3,0,0,'Données projet'!$E$12+1,1))-AVERAGE(OFFSET($H$3,0,0,'Données projet'!$E$12+1,1))</f>
        <v>376.47942810265266</v>
      </c>
      <c r="CE170" s="62">
        <f t="shared" si="148"/>
        <v>362.87951024071265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1.1106229407159194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1.1106229407159194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317.99999999999972</v>
      </c>
      <c r="CU170" s="18">
        <f>CT170*VLOOKUP('Données projet'!$B$13,Paramètres!$A$1:$I$89,3,0)*VLOOKUP('Données projet'!$B$13,Paramètres!$A$1:$I$89,5,0)</f>
        <v>233.1575999999998</v>
      </c>
      <c r="CV170" s="14">
        <f t="shared" si="173"/>
        <v>56.964885721091697</v>
      </c>
      <c r="CW170" s="22">
        <f t="shared" si="174"/>
        <v>505.29666263090093</v>
      </c>
      <c r="CX170" s="62">
        <f t="shared" si="122"/>
        <v>793.69841899482049</v>
      </c>
      <c r="CY170" s="62">
        <f ca="1">AVERAGE(OFFSET($CX$3,0,0,'Données projet'!$E$13+1,1))-AVERAGE(OFFSET($H$3,0,0,'Données projet'!$E$13+1,1))</f>
        <v>351.7223836693733</v>
      </c>
      <c r="CZ170" s="62">
        <f t="shared" si="150"/>
        <v>339.34942976598518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0.8303991724701707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0.8303991724701707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183.33333333333334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6.3550942286383367E-14</v>
      </c>
      <c r="P171" s="14">
        <f t="shared" si="141"/>
        <v>1.0064464192543978E-12</v>
      </c>
      <c r="Q171" s="22">
        <f t="shared" si="162"/>
        <v>1.8635787380168604E-12</v>
      </c>
      <c r="R171" s="62">
        <f t="shared" si="109"/>
        <v>288.4873081989864</v>
      </c>
      <c r="S171" s="62">
        <f ca="1">AVERAGE(OFFSET($R$3,0,0,'Données projet'!$E$9+1,1))-AVERAGE(OFFSET($H$3,0,0,'Données projet'!$E$9+1,1))</f>
        <v>409.45931633551902</v>
      </c>
      <c r="T171" s="62">
        <f t="shared" si="142"/>
        <v>375.18886653687389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0.3446861258722555</v>
      </c>
      <c r="AA171" s="23">
        <f>EXP(-LN(2)/25)*AA170+(1-EXP(-LN(2)/25))/(LN(2)/25)*Calculateur!V171*Calculateur!X171*VLOOKUP('Données projet'!$B$9,Paramètres!$A$1:$I$89,3,0)*0.475*44/12</f>
        <v>0.42094007591183841</v>
      </c>
      <c r="AB171" s="23">
        <f>EXP(-LN(2)/2)*AB170+(1-EXP(-LN(2)/2))/(LN(2)/2)*V171*Y171*VLOOKUP('Données projet'!$B$9,Paramètres!$A$1:$I$89,3,0)*0.475*44/12</f>
        <v>1.9653005347736336E-20</v>
      </c>
      <c r="AC171" s="24">
        <f t="shared" si="163"/>
        <v>0.76562620178409391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5.6843418860808015E-14</v>
      </c>
      <c r="AJ171" s="14">
        <f>AI171*VLOOKUP('Données projet'!$B$10,Paramètres!$A$1:$I$89,3,0)*VLOOKUP('Données projet'!$B$10,Paramètres!$A$1:$I$89,5,0)</f>
        <v>3.3992364478763198E-14</v>
      </c>
      <c r="AK171" s="14">
        <f t="shared" si="164"/>
        <v>5.790027782444094E-13</v>
      </c>
      <c r="AL171" s="22">
        <f t="shared" si="165"/>
        <v>1.0676332069095257E-12</v>
      </c>
      <c r="AM171" s="62">
        <f t="shared" si="113"/>
        <v>288.4873081989856</v>
      </c>
      <c r="AN171" s="62">
        <f ca="1">AVERAGE(OFFSET($AM$3,0,0,'Données projet'!$E$10+1,1))-AVERAGE(OFFSET($H$3,0,0,'Données projet'!$E$10+1,1))</f>
        <v>212.90262675152454</v>
      </c>
      <c r="AO171" s="62">
        <f t="shared" si="144"/>
        <v>366.51899340890498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7.113100328947886</v>
      </c>
      <c r="AV171" s="23">
        <f>EXP(-LN(2)/25)*AV170+(1-EXP(-LN(2)/25))/(LN(2)/25)*Calculateur!AQ171*Calculateur!AS171*VLOOKUP('Données projet'!$B$10,Paramètres!$A$1:$I$89,3,0)*0.475*44/12</f>
        <v>7.2855253950689855E-2</v>
      </c>
      <c r="AW171" s="23">
        <f>EXP(-LN(2)/2)*AW170+(1-EXP(-LN(2)/2))/(LN(2)/2)*AQ171*AT171*VLOOKUP('Données projet'!$B$10,Paramètres!$A$1:$I$89,3,0)*0.475*44/12</f>
        <v>1.8660451579686439E-18</v>
      </c>
      <c r="AX171" s="23">
        <f t="shared" si="166"/>
        <v>7.1859555828985755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5.6843418860808015E-14</v>
      </c>
      <c r="BE171" s="14">
        <f>BD171*VLOOKUP('Données projet'!$B$11,Paramètres!$A$1:$I$89,3,0)*VLOOKUP('Données projet'!$B$11,Paramètres!$A$1:$I$89,5,0)</f>
        <v>4.9658410716801891E-14</v>
      </c>
      <c r="BF171" s="14">
        <f t="shared" si="167"/>
        <v>8.0934058173791862E-13</v>
      </c>
      <c r="BG171" s="22">
        <f t="shared" si="168"/>
        <v>1.4960899118586383E-12</v>
      </c>
      <c r="BH171" s="62">
        <f t="shared" si="116"/>
        <v>288.487308198986</v>
      </c>
      <c r="BI171" s="62">
        <f ca="1">AVERAGE(OFFSET($BH$3,0,0,'Données projet'!$E$11+1,1))-AVERAGE(OFFSET($H$3,0,0,'Données projet'!$E$11+1,1))</f>
        <v>342.02279578180605</v>
      </c>
      <c r="BJ171" s="62">
        <f t="shared" si="146"/>
        <v>409.02379334777754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317.99999999999972</v>
      </c>
      <c r="BZ171" s="14">
        <f>BY171*VLOOKUP('Données projet'!$B$12,Paramètres!$A$1:$I$89,3,0)*VLOOKUP('Données projet'!$B$12,Paramètres!$A$1:$I$89,5,0)</f>
        <v>253.0007999999998</v>
      </c>
      <c r="CA171" s="14">
        <f t="shared" si="170"/>
        <v>61.228070105968683</v>
      </c>
      <c r="CB171" s="22">
        <f t="shared" si="171"/>
        <v>547.28194876789507</v>
      </c>
      <c r="CC171" s="62">
        <f t="shared" si="119"/>
        <v>835.76925696687954</v>
      </c>
      <c r="CD171" s="62">
        <f ca="1">AVERAGE(OFFSET($CC$3,0,0,'Données projet'!$E$12+1,1))-AVERAGE(OFFSET($H$3,0,0,'Données projet'!$E$12+1,1))</f>
        <v>376.47942810265266</v>
      </c>
      <c r="CE171" s="62">
        <f t="shared" si="148"/>
        <v>362.87951024071265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1.088844302261585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1.088844302261585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317.99999999999972</v>
      </c>
      <c r="CU171" s="18">
        <f>CT171*VLOOKUP('Données projet'!$B$13,Paramètres!$A$1:$I$89,3,0)*VLOOKUP('Données projet'!$B$13,Paramètres!$A$1:$I$89,5,0)</f>
        <v>233.1575999999998</v>
      </c>
      <c r="CV171" s="14">
        <f t="shared" si="173"/>
        <v>56.964885721091697</v>
      </c>
      <c r="CW171" s="22">
        <f t="shared" si="174"/>
        <v>505.29666263090093</v>
      </c>
      <c r="CX171" s="62">
        <f t="shared" si="122"/>
        <v>793.78397082988545</v>
      </c>
      <c r="CY171" s="62">
        <f ca="1">AVERAGE(OFFSET($CX$3,0,0,'Données projet'!$E$13+1,1))-AVERAGE(OFFSET($H$3,0,0,'Données projet'!$E$13+1,1))</f>
        <v>351.7223836693733</v>
      </c>
      <c r="CZ171" s="62">
        <f t="shared" si="150"/>
        <v>339.34942976598518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0.8141155511915138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0.8141155511915138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183.33333333333334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6.3550942286383367E-14</v>
      </c>
      <c r="P172" s="14">
        <f t="shared" si="141"/>
        <v>1.0064464192543978E-12</v>
      </c>
      <c r="Q172" s="22">
        <f t="shared" si="162"/>
        <v>1.8635787380168604E-12</v>
      </c>
      <c r="R172" s="62">
        <f t="shared" si="109"/>
        <v>288.5713759009783</v>
      </c>
      <c r="S172" s="62">
        <f ca="1">AVERAGE(OFFSET($R$3,0,0,'Données projet'!$E$9+1,1))-AVERAGE(OFFSET($H$3,0,0,'Données projet'!$E$9+1,1))</f>
        <v>409.45931633551902</v>
      </c>
      <c r="T172" s="62">
        <f t="shared" si="142"/>
        <v>375.18886653687389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0.3379270411816781</v>
      </c>
      <c r="AA172" s="23">
        <f>EXP(-LN(2)/25)*AA171+(1-EXP(-LN(2)/25))/(LN(2)/25)*Calculateur!V172*Calculateur!X172*VLOOKUP('Données projet'!$B$9,Paramètres!$A$1:$I$89,3,0)*0.475*44/12</f>
        <v>0.40942944739975268</v>
      </c>
      <c r="AB172" s="23">
        <f>EXP(-LN(2)/2)*AB171+(1-EXP(-LN(2)/2))/(LN(2)/2)*V172*Y172*VLOOKUP('Données projet'!$B$9,Paramètres!$A$1:$I$89,3,0)*0.475*44/12</f>
        <v>1.3896773352079845E-20</v>
      </c>
      <c r="AC172" s="24">
        <f t="shared" si="163"/>
        <v>0.74735648858143078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5.6843418860808015E-14</v>
      </c>
      <c r="AJ172" s="14">
        <f>AI172*VLOOKUP('Données projet'!$B$10,Paramètres!$A$1:$I$89,3,0)*VLOOKUP('Données projet'!$B$10,Paramètres!$A$1:$I$89,5,0)</f>
        <v>3.3992364478763198E-14</v>
      </c>
      <c r="AK172" s="14">
        <f t="shared" si="164"/>
        <v>5.790027782444094E-13</v>
      </c>
      <c r="AL172" s="22">
        <f t="shared" si="165"/>
        <v>1.0676332069095257E-12</v>
      </c>
      <c r="AM172" s="62">
        <f t="shared" si="113"/>
        <v>288.5713759009775</v>
      </c>
      <c r="AN172" s="62">
        <f ca="1">AVERAGE(OFFSET($AM$3,0,0,'Données projet'!$E$10+1,1))-AVERAGE(OFFSET($H$3,0,0,'Données projet'!$E$10+1,1))</f>
        <v>212.90262675152454</v>
      </c>
      <c r="AO172" s="62">
        <f t="shared" si="144"/>
        <v>366.51899340890498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6.9736167700600209</v>
      </c>
      <c r="AV172" s="23">
        <f>EXP(-LN(2)/25)*AV171+(1-EXP(-LN(2)/25))/(LN(2)/25)*Calculateur!AQ172*Calculateur!AS172*VLOOKUP('Données projet'!$B$10,Paramètres!$A$1:$I$89,3,0)*0.475*44/12</f>
        <v>7.0863023200116948E-2</v>
      </c>
      <c r="AW172" s="23">
        <f>EXP(-LN(2)/2)*AW171+(1-EXP(-LN(2)/2))/(LN(2)/2)*AQ172*AT172*VLOOKUP('Données projet'!$B$10,Paramètres!$A$1:$I$89,3,0)*0.475*44/12</f>
        <v>1.3194931851999504E-18</v>
      </c>
      <c r="AX172" s="23">
        <f t="shared" si="166"/>
        <v>7.0444797932601375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5.6843418860808015E-14</v>
      </c>
      <c r="BE172" s="14">
        <f>BD172*VLOOKUP('Données projet'!$B$11,Paramètres!$A$1:$I$89,3,0)*VLOOKUP('Données projet'!$B$11,Paramètres!$A$1:$I$89,5,0)</f>
        <v>4.9658410716801891E-14</v>
      </c>
      <c r="BF172" s="14">
        <f t="shared" si="167"/>
        <v>8.0934058173791862E-13</v>
      </c>
      <c r="BG172" s="22">
        <f t="shared" si="168"/>
        <v>1.4960899118586383E-12</v>
      </c>
      <c r="BH172" s="62">
        <f t="shared" si="116"/>
        <v>288.5713759009779</v>
      </c>
      <c r="BI172" s="62">
        <f ca="1">AVERAGE(OFFSET($BH$3,0,0,'Données projet'!$E$11+1,1))-AVERAGE(OFFSET($H$3,0,0,'Données projet'!$E$11+1,1))</f>
        <v>342.02279578180605</v>
      </c>
      <c r="BJ172" s="62">
        <f t="shared" si="146"/>
        <v>409.02379334777754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317.99999999999972</v>
      </c>
      <c r="BZ172" s="14">
        <f>BY172*VLOOKUP('Données projet'!$B$12,Paramètres!$A$1:$I$89,3,0)*VLOOKUP('Données projet'!$B$12,Paramètres!$A$1:$I$89,5,0)</f>
        <v>253.0007999999998</v>
      </c>
      <c r="CA172" s="14">
        <f t="shared" si="170"/>
        <v>61.228070105968683</v>
      </c>
      <c r="CB172" s="22">
        <f t="shared" si="171"/>
        <v>547.28194876789507</v>
      </c>
      <c r="CC172" s="62">
        <f t="shared" si="119"/>
        <v>835.85332466887144</v>
      </c>
      <c r="CD172" s="62">
        <f ca="1">AVERAGE(OFFSET($CC$3,0,0,'Données projet'!$E$12+1,1))-AVERAGE(OFFSET($H$3,0,0,'Données projet'!$E$12+1,1))</f>
        <v>376.47942810265266</v>
      </c>
      <c r="CE172" s="62">
        <f t="shared" si="148"/>
        <v>362.87951024071265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1.0674927296236825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1.0674927296236825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317.99999999999972</v>
      </c>
      <c r="CU172" s="18">
        <f>CT172*VLOOKUP('Données projet'!$B$13,Paramètres!$A$1:$I$89,3,0)*VLOOKUP('Données projet'!$B$13,Paramètres!$A$1:$I$89,5,0)</f>
        <v>233.1575999999998</v>
      </c>
      <c r="CV172" s="14">
        <f t="shared" si="173"/>
        <v>56.964885721091697</v>
      </c>
      <c r="CW172" s="22">
        <f t="shared" si="174"/>
        <v>505.29666263090093</v>
      </c>
      <c r="CX172" s="62">
        <f t="shared" si="122"/>
        <v>793.86803853187735</v>
      </c>
      <c r="CY172" s="62">
        <f ca="1">AVERAGE(OFFSET($CX$3,0,0,'Données projet'!$E$13+1,1))-AVERAGE(OFFSET($H$3,0,0,'Données projet'!$E$13+1,1))</f>
        <v>351.7223836693733</v>
      </c>
      <c r="CZ172" s="62">
        <f t="shared" si="150"/>
        <v>339.34942976598518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0.79815124179410302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0.79815124179410302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183.33333333333334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6.3550942286383367E-14</v>
      </c>
      <c r="P173" s="14">
        <f t="shared" si="141"/>
        <v>1.0064464192543978E-12</v>
      </c>
      <c r="Q173" s="22">
        <f t="shared" si="162"/>
        <v>1.8635787380168604E-12</v>
      </c>
      <c r="R173" s="62">
        <f t="shared" si="109"/>
        <v>288.65398521628777</v>
      </c>
      <c r="S173" s="62">
        <f ca="1">AVERAGE(OFFSET($R$3,0,0,'Données projet'!$E$9+1,1))-AVERAGE(OFFSET($H$3,0,0,'Données projet'!$E$9+1,1))</f>
        <v>409.45931633551902</v>
      </c>
      <c r="T173" s="62">
        <f t="shared" si="142"/>
        <v>375.18886653687389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0.33130049801924832</v>
      </c>
      <c r="AA173" s="23">
        <f>EXP(-LN(2)/25)*AA172+(1-EXP(-LN(2)/25))/(LN(2)/25)*Calculateur!V173*Calculateur!X173*VLOOKUP('Données projet'!$B$9,Paramètres!$A$1:$I$89,3,0)*0.475*44/12</f>
        <v>0.39823357762964756</v>
      </c>
      <c r="AB173" s="23">
        <f>EXP(-LN(2)/2)*AB172+(1-EXP(-LN(2)/2))/(LN(2)/2)*V173*Y173*VLOOKUP('Données projet'!$B$9,Paramètres!$A$1:$I$89,3,0)*0.475*44/12</f>
        <v>9.8265026738681682E-21</v>
      </c>
      <c r="AC173" s="24">
        <f t="shared" si="163"/>
        <v>0.72953407564889594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5.6843418860808015E-14</v>
      </c>
      <c r="AJ173" s="14">
        <f>AI173*VLOOKUP('Données projet'!$B$10,Paramètres!$A$1:$I$89,3,0)*VLOOKUP('Données projet'!$B$10,Paramètres!$A$1:$I$89,5,0)</f>
        <v>3.3992364478763198E-14</v>
      </c>
      <c r="AK173" s="14">
        <f t="shared" si="164"/>
        <v>5.790027782444094E-13</v>
      </c>
      <c r="AL173" s="22">
        <f t="shared" si="165"/>
        <v>1.0676332069095257E-12</v>
      </c>
      <c r="AM173" s="62">
        <f t="shared" si="113"/>
        <v>288.65398521628697</v>
      </c>
      <c r="AN173" s="62">
        <f ca="1">AVERAGE(OFFSET($AM$3,0,0,'Données projet'!$E$10+1,1))-AVERAGE(OFFSET($H$3,0,0,'Données projet'!$E$10+1,1))</f>
        <v>212.90262675152454</v>
      </c>
      <c r="AO173" s="62">
        <f t="shared" si="144"/>
        <v>366.51899340890498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6.8368683986853771</v>
      </c>
      <c r="AV173" s="23">
        <f>EXP(-LN(2)/25)*AV172+(1-EXP(-LN(2)/25))/(LN(2)/25)*Calculateur!AQ173*Calculateur!AS173*VLOOKUP('Données projet'!$B$10,Paramètres!$A$1:$I$89,3,0)*0.475*44/12</f>
        <v>6.8925270104185324E-2</v>
      </c>
      <c r="AW173" s="23">
        <f>EXP(-LN(2)/2)*AW172+(1-EXP(-LN(2)/2))/(LN(2)/2)*AQ173*AT173*VLOOKUP('Données projet'!$B$10,Paramètres!$A$1:$I$89,3,0)*0.475*44/12</f>
        <v>9.3302257898432196E-19</v>
      </c>
      <c r="AX173" s="23">
        <f t="shared" si="166"/>
        <v>6.9057936687895625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5.6843418860808015E-14</v>
      </c>
      <c r="BE173" s="14">
        <f>BD173*VLOOKUP('Données projet'!$B$11,Paramètres!$A$1:$I$89,3,0)*VLOOKUP('Données projet'!$B$11,Paramètres!$A$1:$I$89,5,0)</f>
        <v>4.9658410716801891E-14</v>
      </c>
      <c r="BF173" s="14">
        <f t="shared" si="167"/>
        <v>8.0934058173791862E-13</v>
      </c>
      <c r="BG173" s="22">
        <f t="shared" si="168"/>
        <v>1.4960899118586383E-12</v>
      </c>
      <c r="BH173" s="62">
        <f t="shared" si="116"/>
        <v>288.65398521628737</v>
      </c>
      <c r="BI173" s="62">
        <f ca="1">AVERAGE(OFFSET($BH$3,0,0,'Données projet'!$E$11+1,1))-AVERAGE(OFFSET($H$3,0,0,'Données projet'!$E$11+1,1))</f>
        <v>342.02279578180605</v>
      </c>
      <c r="BJ173" s="62">
        <f t="shared" si="146"/>
        <v>409.02379334777754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317.99999999999972</v>
      </c>
      <c r="BZ173" s="14">
        <f>BY173*VLOOKUP('Données projet'!$B$12,Paramètres!$A$1:$I$89,3,0)*VLOOKUP('Données projet'!$B$12,Paramètres!$A$1:$I$89,5,0)</f>
        <v>253.0007999999998</v>
      </c>
      <c r="CA173" s="14">
        <f t="shared" si="170"/>
        <v>61.228070105968683</v>
      </c>
      <c r="CB173" s="22">
        <f t="shared" si="171"/>
        <v>547.28194876789507</v>
      </c>
      <c r="CC173" s="62">
        <f t="shared" si="119"/>
        <v>835.93593398418102</v>
      </c>
      <c r="CD173" s="62">
        <f ca="1">AVERAGE(OFFSET($CC$3,0,0,'Données projet'!$E$12+1,1))-AVERAGE(OFFSET($H$3,0,0,'Données projet'!$E$12+1,1))</f>
        <v>376.47942810265266</v>
      </c>
      <c r="CE173" s="62">
        <f t="shared" si="148"/>
        <v>362.87951024071265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1.0465598483020357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1.0465598483020357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317.99999999999972</v>
      </c>
      <c r="CU173" s="18">
        <f>CT173*VLOOKUP('Données projet'!$B$13,Paramètres!$A$1:$I$89,3,0)*VLOOKUP('Données projet'!$B$13,Paramètres!$A$1:$I$89,5,0)</f>
        <v>233.1575999999998</v>
      </c>
      <c r="CV173" s="14">
        <f t="shared" si="173"/>
        <v>56.964885721091697</v>
      </c>
      <c r="CW173" s="22">
        <f t="shared" si="174"/>
        <v>505.29666263090093</v>
      </c>
      <c r="CX173" s="62">
        <f t="shared" si="122"/>
        <v>793.95064784718681</v>
      </c>
      <c r="CY173" s="62">
        <f ca="1">AVERAGE(OFFSET($CX$3,0,0,'Données projet'!$E$13+1,1))-AVERAGE(OFFSET($H$3,0,0,'Données projet'!$E$13+1,1))</f>
        <v>351.7223836693733</v>
      </c>
      <c r="CZ173" s="62">
        <f t="shared" si="150"/>
        <v>339.34942976598518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0.78249998276670829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0.78249998276670829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183.33333333333334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6.3550942286383367E-14</v>
      </c>
      <c r="P174" s="14">
        <f t="shared" si="141"/>
        <v>1.0064464192543978E-12</v>
      </c>
      <c r="Q174" s="22">
        <f t="shared" si="162"/>
        <v>1.8635787380168604E-12</v>
      </c>
      <c r="R174" s="62">
        <f t="shared" si="109"/>
        <v>288.73516144466339</v>
      </c>
      <c r="S174" s="62">
        <f ca="1">AVERAGE(OFFSET($R$3,0,0,'Données projet'!$E$9+1,1))-AVERAGE(OFFSET($H$3,0,0,'Données projet'!$E$9+1,1))</f>
        <v>409.45931633551902</v>
      </c>
      <c r="T174" s="62">
        <f t="shared" si="142"/>
        <v>375.18886653687389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0.32480389732644155</v>
      </c>
      <c r="AA174" s="23">
        <f>EXP(-LN(2)/25)*AA173+(1-EXP(-LN(2)/25))/(LN(2)/25)*Calculateur!V174*Calculateur!X174*VLOOKUP('Données projet'!$B$9,Paramètres!$A$1:$I$89,3,0)*0.475*44/12</f>
        <v>0.38734385950717115</v>
      </c>
      <c r="AB174" s="23">
        <f>EXP(-LN(2)/2)*AB173+(1-EXP(-LN(2)/2))/(LN(2)/2)*V174*Y174*VLOOKUP('Données projet'!$B$9,Paramètres!$A$1:$I$89,3,0)*0.475*44/12</f>
        <v>6.9483866760399227E-21</v>
      </c>
      <c r="AC174" s="24">
        <f t="shared" si="163"/>
        <v>0.71214775683361276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5.6843418860808015E-14</v>
      </c>
      <c r="AJ174" s="14">
        <f>AI174*VLOOKUP('Données projet'!$B$10,Paramètres!$A$1:$I$89,3,0)*VLOOKUP('Données projet'!$B$10,Paramètres!$A$1:$I$89,5,0)</f>
        <v>3.3992364478763198E-14</v>
      </c>
      <c r="AK174" s="14">
        <f t="shared" si="164"/>
        <v>5.790027782444094E-13</v>
      </c>
      <c r="AL174" s="22">
        <f t="shared" si="165"/>
        <v>1.0676332069095257E-12</v>
      </c>
      <c r="AM174" s="62">
        <f t="shared" si="113"/>
        <v>288.73516144466259</v>
      </c>
      <c r="AN174" s="62">
        <f ca="1">AVERAGE(OFFSET($AM$3,0,0,'Données projet'!$E$10+1,1))-AVERAGE(OFFSET($H$3,0,0,'Données projet'!$E$10+1,1))</f>
        <v>212.90262675152454</v>
      </c>
      <c r="AO174" s="62">
        <f t="shared" si="144"/>
        <v>366.51899340890498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6.7028015794651195</v>
      </c>
      <c r="AV174" s="23">
        <f>EXP(-LN(2)/25)*AV173+(1-EXP(-LN(2)/25))/(LN(2)/25)*Calculateur!AQ174*Calculateur!AS174*VLOOKUP('Données projet'!$B$10,Paramètres!$A$1:$I$89,3,0)*0.475*44/12</f>
        <v>6.7040504968563952E-2</v>
      </c>
      <c r="AW174" s="23">
        <f>EXP(-LN(2)/2)*AW173+(1-EXP(-LN(2)/2))/(LN(2)/2)*AQ174*AT174*VLOOKUP('Données projet'!$B$10,Paramètres!$A$1:$I$89,3,0)*0.475*44/12</f>
        <v>6.597465925999752E-19</v>
      </c>
      <c r="AX174" s="23">
        <f t="shared" si="166"/>
        <v>6.7698420844336837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5.6843418860808015E-14</v>
      </c>
      <c r="BE174" s="14">
        <f>BD174*VLOOKUP('Données projet'!$B$11,Paramètres!$A$1:$I$89,3,0)*VLOOKUP('Données projet'!$B$11,Paramètres!$A$1:$I$89,5,0)</f>
        <v>4.9658410716801891E-14</v>
      </c>
      <c r="BF174" s="14">
        <f t="shared" si="167"/>
        <v>8.0934058173791862E-13</v>
      </c>
      <c r="BG174" s="22">
        <f t="shared" si="168"/>
        <v>1.4960899118586383E-12</v>
      </c>
      <c r="BH174" s="62">
        <f t="shared" si="116"/>
        <v>288.73516144466299</v>
      </c>
      <c r="BI174" s="62">
        <f ca="1">AVERAGE(OFFSET($BH$3,0,0,'Données projet'!$E$11+1,1))-AVERAGE(OFFSET($H$3,0,0,'Données projet'!$E$11+1,1))</f>
        <v>342.02279578180605</v>
      </c>
      <c r="BJ174" s="62">
        <f t="shared" si="146"/>
        <v>409.02379334777754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317.99999999999972</v>
      </c>
      <c r="BZ174" s="14">
        <f>BY174*VLOOKUP('Données projet'!$B$12,Paramètres!$A$1:$I$89,3,0)*VLOOKUP('Données projet'!$B$12,Paramètres!$A$1:$I$89,5,0)</f>
        <v>253.0007999999998</v>
      </c>
      <c r="CA174" s="14">
        <f t="shared" si="170"/>
        <v>61.228070105968683</v>
      </c>
      <c r="CB174" s="22">
        <f t="shared" si="171"/>
        <v>547.28194876789507</v>
      </c>
      <c r="CC174" s="62">
        <f t="shared" si="119"/>
        <v>836.01711021255664</v>
      </c>
      <c r="CD174" s="62">
        <f ca="1">AVERAGE(OFFSET($CC$3,0,0,'Données projet'!$E$12+1,1))-AVERAGE(OFFSET($H$3,0,0,'Données projet'!$E$12+1,1))</f>
        <v>376.47942810265266</v>
      </c>
      <c r="CE174" s="62">
        <f t="shared" si="148"/>
        <v>362.87951024071265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1.0260374480153096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1.0260374480153096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317.99999999999972</v>
      </c>
      <c r="CU174" s="18">
        <f>CT174*VLOOKUP('Données projet'!$B$13,Paramètres!$A$1:$I$89,3,0)*VLOOKUP('Données projet'!$B$13,Paramètres!$A$1:$I$89,5,0)</f>
        <v>233.1575999999998</v>
      </c>
      <c r="CV174" s="14">
        <f t="shared" si="173"/>
        <v>56.964885721091697</v>
      </c>
      <c r="CW174" s="22">
        <f t="shared" si="174"/>
        <v>505.29666263090093</v>
      </c>
      <c r="CX174" s="62">
        <f t="shared" si="122"/>
        <v>794.03182407556244</v>
      </c>
      <c r="CY174" s="62">
        <f ca="1">AVERAGE(OFFSET($CX$3,0,0,'Données projet'!$E$13+1,1))-AVERAGE(OFFSET($H$3,0,0,'Données projet'!$E$13+1,1))</f>
        <v>351.7223836693733</v>
      </c>
      <c r="CZ174" s="62">
        <f t="shared" si="150"/>
        <v>339.34942976598518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0.7671556353825153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0.7671556353825153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183.33333333333334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6.3550942286383367E-14</v>
      </c>
      <c r="P175" s="14">
        <f t="shared" si="141"/>
        <v>1.0064464192543978E-12</v>
      </c>
      <c r="Q175" s="22">
        <f t="shared" si="162"/>
        <v>1.8635787380168604E-12</v>
      </c>
      <c r="R175" s="62">
        <f t="shared" si="109"/>
        <v>288.81492944695952</v>
      </c>
      <c r="S175" s="62">
        <f ca="1">AVERAGE(OFFSET($R$3,0,0,'Données projet'!$E$9+1,1))-AVERAGE(OFFSET($H$3,0,0,'Données projet'!$E$9+1,1))</f>
        <v>409.45931633551902</v>
      </c>
      <c r="T175" s="62">
        <f t="shared" si="142"/>
        <v>375.18886653687389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0.31843469101068556</v>
      </c>
      <c r="AA175" s="23">
        <f>EXP(-LN(2)/25)*AA174+(1-EXP(-LN(2)/25))/(LN(2)/25)*Calculateur!V175*Calculateur!X175*VLOOKUP('Données projet'!$B$9,Paramètres!$A$1:$I$89,3,0)*0.475*44/12</f>
        <v>0.37675192129941926</v>
      </c>
      <c r="AB175" s="23">
        <f>EXP(-LN(2)/2)*AB174+(1-EXP(-LN(2)/2))/(LN(2)/2)*V175*Y175*VLOOKUP('Données projet'!$B$9,Paramètres!$A$1:$I$89,3,0)*0.475*44/12</f>
        <v>4.9132513369340841E-21</v>
      </c>
      <c r="AC175" s="24">
        <f t="shared" si="163"/>
        <v>0.69518661231010481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5.6843418860808015E-14</v>
      </c>
      <c r="AJ175" s="14">
        <f>AI175*VLOOKUP('Données projet'!$B$10,Paramètres!$A$1:$I$89,3,0)*VLOOKUP('Données projet'!$B$10,Paramètres!$A$1:$I$89,5,0)</f>
        <v>3.3992364478763198E-14</v>
      </c>
      <c r="AK175" s="14">
        <f t="shared" si="164"/>
        <v>5.790027782444094E-13</v>
      </c>
      <c r="AL175" s="22">
        <f t="shared" si="165"/>
        <v>1.0676332069095257E-12</v>
      </c>
      <c r="AM175" s="62">
        <f t="shared" si="113"/>
        <v>288.81492944695873</v>
      </c>
      <c r="AN175" s="62">
        <f ca="1">AVERAGE(OFFSET($AM$3,0,0,'Données projet'!$E$10+1,1))-AVERAGE(OFFSET($H$3,0,0,'Données projet'!$E$10+1,1))</f>
        <v>212.90262675152454</v>
      </c>
      <c r="AO175" s="62">
        <f t="shared" si="144"/>
        <v>366.51899340890498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6.5713637287970856</v>
      </c>
      <c r="AV175" s="23">
        <f>EXP(-LN(2)/25)*AV174+(1-EXP(-LN(2)/25))/(LN(2)/25)*Calculateur!AQ175*Calculateur!AS175*VLOOKUP('Données projet'!$B$10,Paramètres!$A$1:$I$89,3,0)*0.475*44/12</f>
        <v>6.5207278834691643E-2</v>
      </c>
      <c r="AW175" s="23">
        <f>EXP(-LN(2)/2)*AW174+(1-EXP(-LN(2)/2))/(LN(2)/2)*AQ175*AT175*VLOOKUP('Données projet'!$B$10,Paramètres!$A$1:$I$89,3,0)*0.475*44/12</f>
        <v>4.6651128949216098E-19</v>
      </c>
      <c r="AX175" s="23">
        <f t="shared" si="166"/>
        <v>6.636571007631777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5.6843418860808015E-14</v>
      </c>
      <c r="BE175" s="14">
        <f>BD175*VLOOKUP('Données projet'!$B$11,Paramètres!$A$1:$I$89,3,0)*VLOOKUP('Données projet'!$B$11,Paramètres!$A$1:$I$89,5,0)</f>
        <v>4.9658410716801891E-14</v>
      </c>
      <c r="BF175" s="14">
        <f t="shared" si="167"/>
        <v>8.0934058173791862E-13</v>
      </c>
      <c r="BG175" s="22">
        <f t="shared" si="168"/>
        <v>1.4960899118586383E-12</v>
      </c>
      <c r="BH175" s="62">
        <f t="shared" si="116"/>
        <v>288.81492944695913</v>
      </c>
      <c r="BI175" s="62">
        <f ca="1">AVERAGE(OFFSET($BH$3,0,0,'Données projet'!$E$11+1,1))-AVERAGE(OFFSET($H$3,0,0,'Données projet'!$E$11+1,1))</f>
        <v>342.02279578180605</v>
      </c>
      <c r="BJ175" s="62">
        <f t="shared" si="146"/>
        <v>409.02379334777754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317.99999999999972</v>
      </c>
      <c r="BZ175" s="14">
        <f>BY175*VLOOKUP('Données projet'!$B$12,Paramètres!$A$1:$I$89,3,0)*VLOOKUP('Données projet'!$B$12,Paramètres!$A$1:$I$89,5,0)</f>
        <v>253.0007999999998</v>
      </c>
      <c r="CA175" s="14">
        <f t="shared" si="170"/>
        <v>61.228070105968683</v>
      </c>
      <c r="CB175" s="22">
        <f t="shared" si="171"/>
        <v>547.28194876789507</v>
      </c>
      <c r="CC175" s="62">
        <f t="shared" si="119"/>
        <v>836.09687821485272</v>
      </c>
      <c r="CD175" s="62">
        <f ca="1">AVERAGE(OFFSET($CC$3,0,0,'Données projet'!$E$12+1,1))-AVERAGE(OFFSET($H$3,0,0,'Données projet'!$E$12+1,1))</f>
        <v>376.47942810265266</v>
      </c>
      <c r="CE175" s="62">
        <f t="shared" si="148"/>
        <v>362.87951024071265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1.0059174794807779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1.0059174794807779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317.99999999999972</v>
      </c>
      <c r="CU175" s="18">
        <f>CT175*VLOOKUP('Données projet'!$B$13,Paramètres!$A$1:$I$89,3,0)*VLOOKUP('Données projet'!$B$13,Paramètres!$A$1:$I$89,5,0)</f>
        <v>233.1575999999998</v>
      </c>
      <c r="CV175" s="14">
        <f t="shared" si="173"/>
        <v>56.964885721091697</v>
      </c>
      <c r="CW175" s="22">
        <f t="shared" si="174"/>
        <v>505.29666263090093</v>
      </c>
      <c r="CX175" s="62">
        <f t="shared" si="122"/>
        <v>794.11159207785863</v>
      </c>
      <c r="CY175" s="62">
        <f ca="1">AVERAGE(OFFSET($CX$3,0,0,'Données projet'!$E$13+1,1))-AVERAGE(OFFSET($H$3,0,0,'Données projet'!$E$13+1,1))</f>
        <v>351.7223836693733</v>
      </c>
      <c r="CZ175" s="62">
        <f t="shared" si="150"/>
        <v>339.34942976598518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0.75211218129139867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0.75211218129139867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183.33333333333334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6.3550942286383367E-14</v>
      </c>
      <c r="P176" s="14">
        <f t="shared" si="141"/>
        <v>1.0064464192543978E-12</v>
      </c>
      <c r="Q176" s="22">
        <f t="shared" si="162"/>
        <v>1.8635787380168604E-12</v>
      </c>
      <c r="R176" s="62">
        <f t="shared" si="109"/>
        <v>288.89331365275035</v>
      </c>
      <c r="S176" s="62">
        <f ca="1">AVERAGE(OFFSET($R$3,0,0,'Données projet'!$E$9+1,1))-AVERAGE(OFFSET($H$3,0,0,'Données projet'!$E$9+1,1))</f>
        <v>409.45931633551902</v>
      </c>
      <c r="T176" s="62">
        <f t="shared" si="142"/>
        <v>375.18886653687389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0.31219038094594931</v>
      </c>
      <c r="AA176" s="23">
        <f>EXP(-LN(2)/25)*AA175+(1-EXP(-LN(2)/25))/(LN(2)/25)*Calculateur!V176*Calculateur!X176*VLOOKUP('Données projet'!$B$9,Paramètres!$A$1:$I$89,3,0)*0.475*44/12</f>
        <v>0.36644962019896415</v>
      </c>
      <c r="AB176" s="23">
        <f>EXP(-LN(2)/2)*AB175+(1-EXP(-LN(2)/2))/(LN(2)/2)*V176*Y176*VLOOKUP('Données projet'!$B$9,Paramètres!$A$1:$I$89,3,0)*0.475*44/12</f>
        <v>3.4741933380199614E-21</v>
      </c>
      <c r="AC176" s="24">
        <f t="shared" si="163"/>
        <v>0.67864000114491341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5.6843418860808015E-14</v>
      </c>
      <c r="AJ176" s="14">
        <f>AI176*VLOOKUP('Données projet'!$B$10,Paramètres!$A$1:$I$89,3,0)*VLOOKUP('Données projet'!$B$10,Paramètres!$A$1:$I$89,5,0)</f>
        <v>3.3992364478763198E-14</v>
      </c>
      <c r="AK176" s="14">
        <f t="shared" si="164"/>
        <v>5.790027782444094E-13</v>
      </c>
      <c r="AL176" s="22">
        <f t="shared" si="165"/>
        <v>1.0676332069095257E-12</v>
      </c>
      <c r="AM176" s="62">
        <f t="shared" si="113"/>
        <v>288.89331365274955</v>
      </c>
      <c r="AN176" s="62">
        <f ca="1">AVERAGE(OFFSET($AM$3,0,0,'Données projet'!$E$10+1,1))-AVERAGE(OFFSET($H$3,0,0,'Données projet'!$E$10+1,1))</f>
        <v>212.90262675152454</v>
      </c>
      <c r="AO176" s="62">
        <f t="shared" si="144"/>
        <v>366.51899340890498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6.4425032942114786</v>
      </c>
      <c r="AV176" s="23">
        <f>EXP(-LN(2)/25)*AV175+(1-EXP(-LN(2)/25))/(LN(2)/25)*Calculateur!AQ176*Calculateur!AS176*VLOOKUP('Données projet'!$B$10,Paramètres!$A$1:$I$89,3,0)*0.475*44/12</f>
        <v>6.3424182365855244E-2</v>
      </c>
      <c r="AW176" s="23">
        <f>EXP(-LN(2)/2)*AW175+(1-EXP(-LN(2)/2))/(LN(2)/2)*AQ176*AT176*VLOOKUP('Données projet'!$B$10,Paramètres!$A$1:$I$89,3,0)*0.475*44/12</f>
        <v>3.298732962999876E-19</v>
      </c>
      <c r="AX176" s="23">
        <f t="shared" si="166"/>
        <v>6.5059274765773338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5.6843418860808015E-14</v>
      </c>
      <c r="BE176" s="14">
        <f>BD176*VLOOKUP('Données projet'!$B$11,Paramètres!$A$1:$I$89,3,0)*VLOOKUP('Données projet'!$B$11,Paramètres!$A$1:$I$89,5,0)</f>
        <v>4.9658410716801891E-14</v>
      </c>
      <c r="BF176" s="14">
        <f t="shared" si="167"/>
        <v>8.0934058173791862E-13</v>
      </c>
      <c r="BG176" s="22">
        <f t="shared" si="168"/>
        <v>1.4960899118586383E-12</v>
      </c>
      <c r="BH176" s="62">
        <f t="shared" si="116"/>
        <v>288.89331365274995</v>
      </c>
      <c r="BI176" s="62">
        <f ca="1">AVERAGE(OFFSET($BH$3,0,0,'Données projet'!$E$11+1,1))-AVERAGE(OFFSET($H$3,0,0,'Données projet'!$E$11+1,1))</f>
        <v>342.02279578180605</v>
      </c>
      <c r="BJ176" s="62">
        <f t="shared" si="146"/>
        <v>409.02379334777754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317.99999999999972</v>
      </c>
      <c r="BZ176" s="14">
        <f>BY176*VLOOKUP('Données projet'!$B$12,Paramètres!$A$1:$I$89,3,0)*VLOOKUP('Données projet'!$B$12,Paramètres!$A$1:$I$89,5,0)</f>
        <v>253.0007999999998</v>
      </c>
      <c r="CA176" s="14">
        <f t="shared" si="170"/>
        <v>61.228070105968683</v>
      </c>
      <c r="CB176" s="22">
        <f t="shared" si="171"/>
        <v>547.28194876789507</v>
      </c>
      <c r="CC176" s="62">
        <f t="shared" si="119"/>
        <v>836.17526242064355</v>
      </c>
      <c r="CD176" s="62">
        <f ca="1">AVERAGE(OFFSET($CC$3,0,0,'Données projet'!$E$12+1,1))-AVERAGE(OFFSET($H$3,0,0,'Données projet'!$E$12+1,1))</f>
        <v>376.47942810265266</v>
      </c>
      <c r="CE176" s="62">
        <f t="shared" si="148"/>
        <v>362.87951024071265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0.98619205125723941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0.98619205125723941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317.99999999999972</v>
      </c>
      <c r="CU176" s="18">
        <f>CT176*VLOOKUP('Données projet'!$B$13,Paramètres!$A$1:$I$89,3,0)*VLOOKUP('Données projet'!$B$13,Paramètres!$A$1:$I$89,5,0)</f>
        <v>233.1575999999998</v>
      </c>
      <c r="CV176" s="14">
        <f t="shared" si="173"/>
        <v>56.964885721091697</v>
      </c>
      <c r="CW176" s="22">
        <f t="shared" si="174"/>
        <v>505.29666263090093</v>
      </c>
      <c r="CX176" s="62">
        <f t="shared" si="122"/>
        <v>794.18997628364946</v>
      </c>
      <c r="CY176" s="62">
        <f ca="1">AVERAGE(OFFSET($CX$3,0,0,'Données projet'!$E$13+1,1))-AVERAGE(OFFSET($H$3,0,0,'Données projet'!$E$13+1,1))</f>
        <v>351.7223836693733</v>
      </c>
      <c r="CZ176" s="62">
        <f t="shared" si="150"/>
        <v>339.34942976598518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0.73736372015940777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0.73736372015940777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183.33333333333334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6.3550942286383367E-14</v>
      </c>
      <c r="P177" s="14">
        <f t="shared" si="141"/>
        <v>1.0064464192543978E-12</v>
      </c>
      <c r="Q177" s="22">
        <f t="shared" si="162"/>
        <v>1.8635787380168604E-12</v>
      </c>
      <c r="R177" s="62">
        <f t="shared" si="109"/>
        <v>288.97033806781161</v>
      </c>
      <c r="S177" s="62">
        <f ca="1">AVERAGE(OFFSET($R$3,0,0,'Données projet'!$E$9+1,1))-AVERAGE(OFFSET($H$3,0,0,'Données projet'!$E$9+1,1))</f>
        <v>409.45931633551902</v>
      </c>
      <c r="T177" s="62">
        <f t="shared" si="142"/>
        <v>375.18886653687389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0.30606851799292945</v>
      </c>
      <c r="AA177" s="23">
        <f>EXP(-LN(2)/25)*AA176+(1-EXP(-LN(2)/25))/(LN(2)/25)*Calculateur!V177*Calculateur!X177*VLOOKUP('Données projet'!$B$9,Paramètres!$A$1:$I$89,3,0)*0.475*44/12</f>
        <v>0.35642903606387549</v>
      </c>
      <c r="AB177" s="23">
        <f>EXP(-LN(2)/2)*AB176+(1-EXP(-LN(2)/2))/(LN(2)/2)*V177*Y177*VLOOKUP('Données projet'!$B$9,Paramètres!$A$1:$I$89,3,0)*0.475*44/12</f>
        <v>2.456625668467042E-21</v>
      </c>
      <c r="AC177" s="24">
        <f t="shared" si="163"/>
        <v>0.66249755405680499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5.6843418860808015E-14</v>
      </c>
      <c r="AJ177" s="14">
        <f>AI177*VLOOKUP('Données projet'!$B$10,Paramètres!$A$1:$I$89,3,0)*VLOOKUP('Données projet'!$B$10,Paramètres!$A$1:$I$89,5,0)</f>
        <v>3.3992364478763198E-14</v>
      </c>
      <c r="AK177" s="14">
        <f t="shared" si="164"/>
        <v>5.790027782444094E-13</v>
      </c>
      <c r="AL177" s="22">
        <f t="shared" si="165"/>
        <v>1.0676332069095257E-12</v>
      </c>
      <c r="AM177" s="62">
        <f t="shared" si="113"/>
        <v>288.97033806781081</v>
      </c>
      <c r="AN177" s="62">
        <f ca="1">AVERAGE(OFFSET($AM$3,0,0,'Données projet'!$E$10+1,1))-AVERAGE(OFFSET($H$3,0,0,'Données projet'!$E$10+1,1))</f>
        <v>212.90262675152454</v>
      </c>
      <c r="AO177" s="62">
        <f t="shared" si="144"/>
        <v>366.51899340890498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6.316169734150991</v>
      </c>
      <c r="AV177" s="23">
        <f>EXP(-LN(2)/25)*AV176+(1-EXP(-LN(2)/25))/(LN(2)/25)*Calculateur!AQ177*Calculateur!AS177*VLOOKUP('Données projet'!$B$10,Paramètres!$A$1:$I$89,3,0)*0.475*44/12</f>
        <v>6.1689844763728137E-2</v>
      </c>
      <c r="AW177" s="23">
        <f>EXP(-LN(2)/2)*AW176+(1-EXP(-LN(2)/2))/(LN(2)/2)*AQ177*AT177*VLOOKUP('Données projet'!$B$10,Paramètres!$A$1:$I$89,3,0)*0.475*44/12</f>
        <v>2.3325564474608049E-19</v>
      </c>
      <c r="AX177" s="23">
        <f t="shared" si="166"/>
        <v>6.3778595789147188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5.6843418860808015E-14</v>
      </c>
      <c r="BE177" s="14">
        <f>BD177*VLOOKUP('Données projet'!$B$11,Paramètres!$A$1:$I$89,3,0)*VLOOKUP('Données projet'!$B$11,Paramètres!$A$1:$I$89,5,0)</f>
        <v>4.9658410716801891E-14</v>
      </c>
      <c r="BF177" s="14">
        <f t="shared" si="167"/>
        <v>8.0934058173791862E-13</v>
      </c>
      <c r="BG177" s="22">
        <f t="shared" si="168"/>
        <v>1.4960899118586383E-12</v>
      </c>
      <c r="BH177" s="62">
        <f t="shared" si="116"/>
        <v>288.97033806781121</v>
      </c>
      <c r="BI177" s="62">
        <f ca="1">AVERAGE(OFFSET($BH$3,0,0,'Données projet'!$E$11+1,1))-AVERAGE(OFFSET($H$3,0,0,'Données projet'!$E$11+1,1))</f>
        <v>342.02279578180605</v>
      </c>
      <c r="BJ177" s="62">
        <f t="shared" si="146"/>
        <v>409.02379334777754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317.99999999999972</v>
      </c>
      <c r="BZ177" s="14">
        <f>BY177*VLOOKUP('Données projet'!$B$12,Paramètres!$A$1:$I$89,3,0)*VLOOKUP('Données projet'!$B$12,Paramètres!$A$1:$I$89,5,0)</f>
        <v>253.0007999999998</v>
      </c>
      <c r="CA177" s="14">
        <f t="shared" si="170"/>
        <v>61.228070105968683</v>
      </c>
      <c r="CB177" s="22">
        <f t="shared" si="171"/>
        <v>547.28194876789507</v>
      </c>
      <c r="CC177" s="62">
        <f t="shared" si="119"/>
        <v>836.25228683570481</v>
      </c>
      <c r="CD177" s="62">
        <f ca="1">AVERAGE(OFFSET($CC$3,0,0,'Données projet'!$E$12+1,1))-AVERAGE(OFFSET($H$3,0,0,'Données projet'!$E$12+1,1))</f>
        <v>376.47942810265266</v>
      </c>
      <c r="CE177" s="62">
        <f t="shared" si="148"/>
        <v>362.87951024071265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0.96685342664984131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0.96685342664984131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317.99999999999972</v>
      </c>
      <c r="CU177" s="18">
        <f>CT177*VLOOKUP('Données projet'!$B$13,Paramètres!$A$1:$I$89,3,0)*VLOOKUP('Données projet'!$B$13,Paramètres!$A$1:$I$89,5,0)</f>
        <v>233.1575999999998</v>
      </c>
      <c r="CV177" s="14">
        <f t="shared" si="173"/>
        <v>56.964885721091697</v>
      </c>
      <c r="CW177" s="22">
        <f t="shared" si="174"/>
        <v>505.29666263090093</v>
      </c>
      <c r="CX177" s="62">
        <f t="shared" si="122"/>
        <v>794.26700069871072</v>
      </c>
      <c r="CY177" s="62">
        <f ca="1">AVERAGE(OFFSET($CX$3,0,0,'Données projet'!$E$13+1,1))-AVERAGE(OFFSET($H$3,0,0,'Données projet'!$E$13+1,1))</f>
        <v>351.7223836693733</v>
      </c>
      <c r="CZ177" s="62">
        <f t="shared" si="150"/>
        <v>339.34942976598518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0.72290446735454217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0.72290446735454217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183.33333333333334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6.3550942286383367E-14</v>
      </c>
      <c r="P178" s="14">
        <f t="shared" si="141"/>
        <v>1.0064464192543978E-12</v>
      </c>
      <c r="Q178" s="22">
        <f t="shared" si="162"/>
        <v>1.8635787380168604E-12</v>
      </c>
      <c r="R178" s="62">
        <f t="shared" si="109"/>
        <v>289.04602628147228</v>
      </c>
      <c r="S178" s="62">
        <f ca="1">AVERAGE(OFFSET($R$3,0,0,'Données projet'!$E$9+1,1))-AVERAGE(OFFSET($H$3,0,0,'Données projet'!$E$9+1,1))</f>
        <v>409.45931633551902</v>
      </c>
      <c r="T178" s="62">
        <f t="shared" si="142"/>
        <v>375.18886653687389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0.30006670103845062</v>
      </c>
      <c r="AA178" s="23">
        <f>EXP(-LN(2)/25)*AA177+(1-EXP(-LN(2)/25))/(LN(2)/25)*Calculateur!V178*Calculateur!X178*VLOOKUP('Données projet'!$B$9,Paramètres!$A$1:$I$89,3,0)*0.475*44/12</f>
        <v>0.34668246532892044</v>
      </c>
      <c r="AB178" s="23">
        <f>EXP(-LN(2)/2)*AB177+(1-EXP(-LN(2)/2))/(LN(2)/2)*V178*Y178*VLOOKUP('Données projet'!$B$9,Paramètres!$A$1:$I$89,3,0)*0.475*44/12</f>
        <v>1.7370966690099807E-21</v>
      </c>
      <c r="AC178" s="24">
        <f t="shared" si="163"/>
        <v>0.64674916636737101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5.6843418860808015E-14</v>
      </c>
      <c r="AJ178" s="14">
        <f>AI178*VLOOKUP('Données projet'!$B$10,Paramètres!$A$1:$I$89,3,0)*VLOOKUP('Données projet'!$B$10,Paramètres!$A$1:$I$89,5,0)</f>
        <v>3.3992364478763198E-14</v>
      </c>
      <c r="AK178" s="14">
        <f t="shared" si="164"/>
        <v>5.790027782444094E-13</v>
      </c>
      <c r="AL178" s="22">
        <f t="shared" si="165"/>
        <v>1.0676332069095257E-12</v>
      </c>
      <c r="AM178" s="62">
        <f t="shared" si="113"/>
        <v>289.04602628147148</v>
      </c>
      <c r="AN178" s="62">
        <f ca="1">AVERAGE(OFFSET($AM$3,0,0,'Données projet'!$E$10+1,1))-AVERAGE(OFFSET($H$3,0,0,'Données projet'!$E$10+1,1))</f>
        <v>212.90262675152454</v>
      </c>
      <c r="AO178" s="62">
        <f t="shared" si="144"/>
        <v>366.51899340890498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6.1923134981474268</v>
      </c>
      <c r="AV178" s="23">
        <f>EXP(-LN(2)/25)*AV177+(1-EXP(-LN(2)/25))/(LN(2)/25)*Calculateur!AQ178*Calculateur!AS178*VLOOKUP('Données projet'!$B$10,Paramètres!$A$1:$I$89,3,0)*0.475*44/12</f>
        <v>6.000293271453605E-2</v>
      </c>
      <c r="AW178" s="23">
        <f>EXP(-LN(2)/2)*AW177+(1-EXP(-LN(2)/2))/(LN(2)/2)*AQ178*AT178*VLOOKUP('Données projet'!$B$10,Paramètres!$A$1:$I$89,3,0)*0.475*44/12</f>
        <v>1.649366481499938E-19</v>
      </c>
      <c r="AX178" s="23">
        <f t="shared" si="166"/>
        <v>6.2523164308619625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5.6843418860808015E-14</v>
      </c>
      <c r="BE178" s="14">
        <f>BD178*VLOOKUP('Données projet'!$B$11,Paramètres!$A$1:$I$89,3,0)*VLOOKUP('Données projet'!$B$11,Paramètres!$A$1:$I$89,5,0)</f>
        <v>4.9658410716801891E-14</v>
      </c>
      <c r="BF178" s="14">
        <f t="shared" si="167"/>
        <v>8.0934058173791862E-13</v>
      </c>
      <c r="BG178" s="22">
        <f t="shared" si="168"/>
        <v>1.4960899118586383E-12</v>
      </c>
      <c r="BH178" s="62">
        <f t="shared" si="116"/>
        <v>289.04602628147188</v>
      </c>
      <c r="BI178" s="62">
        <f ca="1">AVERAGE(OFFSET($BH$3,0,0,'Données projet'!$E$11+1,1))-AVERAGE(OFFSET($H$3,0,0,'Données projet'!$E$11+1,1))</f>
        <v>342.02279578180605</v>
      </c>
      <c r="BJ178" s="62">
        <f t="shared" si="146"/>
        <v>409.02379334777754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317.99999999999972</v>
      </c>
      <c r="BZ178" s="14">
        <f>BY178*VLOOKUP('Données projet'!$B$12,Paramètres!$A$1:$I$89,3,0)*VLOOKUP('Données projet'!$B$12,Paramètres!$A$1:$I$89,5,0)</f>
        <v>253.0007999999998</v>
      </c>
      <c r="CA178" s="14">
        <f t="shared" si="170"/>
        <v>61.228070105968683</v>
      </c>
      <c r="CB178" s="22">
        <f t="shared" si="171"/>
        <v>547.28194876789507</v>
      </c>
      <c r="CC178" s="62">
        <f t="shared" si="119"/>
        <v>836.32797504936548</v>
      </c>
      <c r="CD178" s="62">
        <f ca="1">AVERAGE(OFFSET($CC$3,0,0,'Données projet'!$E$12+1,1))-AVERAGE(OFFSET($H$3,0,0,'Données projet'!$E$12+1,1))</f>
        <v>376.47942810265266</v>
      </c>
      <c r="CE178" s="62">
        <f t="shared" si="148"/>
        <v>362.87951024071265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0.94789402067559791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0.94789402067559791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317.99999999999972</v>
      </c>
      <c r="CU178" s="18">
        <f>CT178*VLOOKUP('Données projet'!$B$13,Paramètres!$A$1:$I$89,3,0)*VLOOKUP('Données projet'!$B$13,Paramètres!$A$1:$I$89,5,0)</f>
        <v>233.1575999999998</v>
      </c>
      <c r="CV178" s="14">
        <f t="shared" si="173"/>
        <v>56.964885721091697</v>
      </c>
      <c r="CW178" s="22">
        <f t="shared" si="174"/>
        <v>505.29666263090093</v>
      </c>
      <c r="CX178" s="62">
        <f t="shared" si="122"/>
        <v>794.34268891237139</v>
      </c>
      <c r="CY178" s="62">
        <f ca="1">AVERAGE(OFFSET($CX$3,0,0,'Données projet'!$E$13+1,1))-AVERAGE(OFFSET($H$3,0,0,'Données projet'!$E$13+1,1))</f>
        <v>351.7223836693733</v>
      </c>
      <c r="CZ178" s="62">
        <f t="shared" si="150"/>
        <v>339.34942976598518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0.70872875167790661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0.70872875167790661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183.33333333333334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6.3550942286383367E-14</v>
      </c>
      <c r="P179" s="14">
        <f t="shared" si="141"/>
        <v>1.0064464192543978E-12</v>
      </c>
      <c r="Q179" s="22">
        <f t="shared" si="162"/>
        <v>1.8635787380168604E-12</v>
      </c>
      <c r="R179" s="62">
        <f t="shared" si="109"/>
        <v>289.12040147383948</v>
      </c>
      <c r="S179" s="62">
        <f ca="1">AVERAGE(OFFSET($R$3,0,0,'Données projet'!$E$9+1,1))-AVERAGE(OFFSET($H$3,0,0,'Données projet'!$E$9+1,1))</f>
        <v>409.45931633551902</v>
      </c>
      <c r="T179" s="62">
        <f t="shared" si="142"/>
        <v>375.18886653687389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0.29418257605370224</v>
      </c>
      <c r="AA179" s="23">
        <f>EXP(-LN(2)/25)*AA178+(1-EXP(-LN(2)/25))/(LN(2)/25)*Calculateur!V179*Calculateur!X179*VLOOKUP('Données projet'!$B$9,Paramètres!$A$1:$I$89,3,0)*0.475*44/12</f>
        <v>0.3372024150832626</v>
      </c>
      <c r="AB179" s="23">
        <f>EXP(-LN(2)/2)*AB178+(1-EXP(-LN(2)/2))/(LN(2)/2)*V179*Y179*VLOOKUP('Données projet'!$B$9,Paramètres!$A$1:$I$89,3,0)*0.475*44/12</f>
        <v>1.228312834233521E-21</v>
      </c>
      <c r="AC179" s="24">
        <f t="shared" si="163"/>
        <v>0.63138499113696489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5.6843418860808015E-14</v>
      </c>
      <c r="AJ179" s="14">
        <f>AI179*VLOOKUP('Données projet'!$B$10,Paramètres!$A$1:$I$89,3,0)*VLOOKUP('Données projet'!$B$10,Paramètres!$A$1:$I$89,5,0)</f>
        <v>3.3992364478763198E-14</v>
      </c>
      <c r="AK179" s="14">
        <f t="shared" si="164"/>
        <v>5.790027782444094E-13</v>
      </c>
      <c r="AL179" s="22">
        <f t="shared" si="165"/>
        <v>1.0676332069095257E-12</v>
      </c>
      <c r="AM179" s="62">
        <f t="shared" si="113"/>
        <v>289.12040147383868</v>
      </c>
      <c r="AN179" s="62">
        <f ca="1">AVERAGE(OFFSET($AM$3,0,0,'Données projet'!$E$10+1,1))-AVERAGE(OFFSET($H$3,0,0,'Données projet'!$E$10+1,1))</f>
        <v>212.90262675152454</v>
      </c>
      <c r="AO179" s="62">
        <f t="shared" si="144"/>
        <v>366.51899340890498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6.0708860073870481</v>
      </c>
      <c r="AV179" s="23">
        <f>EXP(-LN(2)/25)*AV178+(1-EXP(-LN(2)/25))/(LN(2)/25)*Calculateur!AQ179*Calculateur!AS179*VLOOKUP('Données projet'!$B$10,Paramètres!$A$1:$I$89,3,0)*0.475*44/12</f>
        <v>5.8362149364039967E-2</v>
      </c>
      <c r="AW179" s="23">
        <f>EXP(-LN(2)/2)*AW178+(1-EXP(-LN(2)/2))/(LN(2)/2)*AQ179*AT179*VLOOKUP('Données projet'!$B$10,Paramètres!$A$1:$I$89,3,0)*0.475*44/12</f>
        <v>1.1662782237304025E-19</v>
      </c>
      <c r="AX179" s="23">
        <f t="shared" si="166"/>
        <v>6.1292481567510881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5.6843418860808015E-14</v>
      </c>
      <c r="BE179" s="14">
        <f>BD179*VLOOKUP('Données projet'!$B$11,Paramètres!$A$1:$I$89,3,0)*VLOOKUP('Données projet'!$B$11,Paramètres!$A$1:$I$89,5,0)</f>
        <v>4.9658410716801891E-14</v>
      </c>
      <c r="BF179" s="14">
        <f t="shared" si="167"/>
        <v>8.0934058173791862E-13</v>
      </c>
      <c r="BG179" s="22">
        <f t="shared" si="168"/>
        <v>1.4960899118586383E-12</v>
      </c>
      <c r="BH179" s="62">
        <f t="shared" si="116"/>
        <v>289.12040147383908</v>
      </c>
      <c r="BI179" s="62">
        <f ca="1">AVERAGE(OFFSET($BH$3,0,0,'Données projet'!$E$11+1,1))-AVERAGE(OFFSET($H$3,0,0,'Données projet'!$E$11+1,1))</f>
        <v>342.02279578180605</v>
      </c>
      <c r="BJ179" s="62">
        <f t="shared" si="146"/>
        <v>409.02379334777754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317.99999999999972</v>
      </c>
      <c r="BZ179" s="14">
        <f>BY179*VLOOKUP('Données projet'!$B$12,Paramètres!$A$1:$I$89,3,0)*VLOOKUP('Données projet'!$B$12,Paramètres!$A$1:$I$89,5,0)</f>
        <v>253.0007999999998</v>
      </c>
      <c r="CA179" s="14">
        <f t="shared" si="170"/>
        <v>61.228070105968683</v>
      </c>
      <c r="CB179" s="22">
        <f t="shared" si="171"/>
        <v>547.28194876789507</v>
      </c>
      <c r="CC179" s="62">
        <f t="shared" si="119"/>
        <v>836.40235024173262</v>
      </c>
      <c r="CD179" s="62">
        <f ca="1">AVERAGE(OFFSET($CC$3,0,0,'Données projet'!$E$12+1,1))-AVERAGE(OFFSET($H$3,0,0,'Données projet'!$E$12+1,1))</f>
        <v>376.47942810265266</v>
      </c>
      <c r="CE179" s="62">
        <f t="shared" si="148"/>
        <v>362.87951024071265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0.92930639708841367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0.92930639708841367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317.99999999999972</v>
      </c>
      <c r="CU179" s="18">
        <f>CT179*VLOOKUP('Données projet'!$B$13,Paramètres!$A$1:$I$89,3,0)*VLOOKUP('Données projet'!$B$13,Paramètres!$A$1:$I$89,5,0)</f>
        <v>233.1575999999998</v>
      </c>
      <c r="CV179" s="14">
        <f t="shared" si="173"/>
        <v>56.964885721091697</v>
      </c>
      <c r="CW179" s="22">
        <f t="shared" si="174"/>
        <v>505.29666263090093</v>
      </c>
      <c r="CX179" s="62">
        <f t="shared" si="122"/>
        <v>794.41706410473853</v>
      </c>
      <c r="CY179" s="62">
        <f ca="1">AVERAGE(OFFSET($CX$3,0,0,'Données projet'!$E$13+1,1))-AVERAGE(OFFSET($H$3,0,0,'Données projet'!$E$13+1,1))</f>
        <v>351.7223836693733</v>
      </c>
      <c r="CZ179" s="62">
        <f t="shared" si="150"/>
        <v>339.34942976598518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0.69483101313935713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0.69483101313935713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183.33333333333334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6.3550942286383367E-14</v>
      </c>
      <c r="P180" s="14">
        <f t="shared" si="141"/>
        <v>1.0064464192543978E-12</v>
      </c>
      <c r="Q180" s="22">
        <f t="shared" si="162"/>
        <v>1.8635787380168604E-12</v>
      </c>
      <c r="R180" s="62">
        <f t="shared" si="109"/>
        <v>289.19348642289714</v>
      </c>
      <c r="S180" s="62">
        <f ca="1">AVERAGE(OFFSET($R$3,0,0,'Données projet'!$E$9+1,1))-AVERAGE(OFFSET($H$3,0,0,'Données projet'!$E$9+1,1))</f>
        <v>409.45931633551902</v>
      </c>
      <c r="T180" s="62">
        <f t="shared" si="142"/>
        <v>375.18886653687389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0.28841383517094293</v>
      </c>
      <c r="AA180" s="23">
        <f>EXP(-LN(2)/25)*AA179+(1-EXP(-LN(2)/25))/(LN(2)/25)*Calculateur!V180*Calculateur!X180*VLOOKUP('Données projet'!$B$9,Paramètres!$A$1:$I$89,3,0)*0.475*44/12</f>
        <v>0.32798159731010645</v>
      </c>
      <c r="AB180" s="23">
        <f>EXP(-LN(2)/2)*AB179+(1-EXP(-LN(2)/2))/(LN(2)/2)*V180*Y180*VLOOKUP('Données projet'!$B$9,Paramètres!$A$1:$I$89,3,0)*0.475*44/12</f>
        <v>8.6854833450499034E-22</v>
      </c>
      <c r="AC180" s="24">
        <f t="shared" si="163"/>
        <v>0.61639543248104944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5.6843418860808015E-14</v>
      </c>
      <c r="AJ180" s="14">
        <f>AI180*VLOOKUP('Données projet'!$B$10,Paramètres!$A$1:$I$89,3,0)*VLOOKUP('Données projet'!$B$10,Paramètres!$A$1:$I$89,5,0)</f>
        <v>3.3992364478763198E-14</v>
      </c>
      <c r="AK180" s="14">
        <f t="shared" si="164"/>
        <v>5.790027782444094E-13</v>
      </c>
      <c r="AL180" s="22">
        <f t="shared" si="165"/>
        <v>1.0676332069095257E-12</v>
      </c>
      <c r="AM180" s="62">
        <f t="shared" si="113"/>
        <v>289.19348642289634</v>
      </c>
      <c r="AN180" s="62">
        <f ca="1">AVERAGE(OFFSET($AM$3,0,0,'Données projet'!$E$10+1,1))-AVERAGE(OFFSET($H$3,0,0,'Données projet'!$E$10+1,1))</f>
        <v>212.90262675152454</v>
      </c>
      <c r="AO180" s="62">
        <f t="shared" si="144"/>
        <v>366.51899340890498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5.9518396356570245</v>
      </c>
      <c r="AV180" s="23">
        <f>EXP(-LN(2)/25)*AV179+(1-EXP(-LN(2)/25))/(LN(2)/25)*Calculateur!AQ180*Calculateur!AS180*VLOOKUP('Données projet'!$B$10,Paramètres!$A$1:$I$89,3,0)*0.475*44/12</f>
        <v>5.6766233320548247E-2</v>
      </c>
      <c r="AW180" s="23">
        <f>EXP(-LN(2)/2)*AW179+(1-EXP(-LN(2)/2))/(LN(2)/2)*AQ180*AT180*VLOOKUP('Données projet'!$B$10,Paramètres!$A$1:$I$89,3,0)*0.475*44/12</f>
        <v>8.24683240749969E-20</v>
      </c>
      <c r="AX180" s="23">
        <f t="shared" si="166"/>
        <v>6.0086058689775728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5.6843418860808015E-14</v>
      </c>
      <c r="BE180" s="14">
        <f>BD180*VLOOKUP('Données projet'!$B$11,Paramètres!$A$1:$I$89,3,0)*VLOOKUP('Données projet'!$B$11,Paramètres!$A$1:$I$89,5,0)</f>
        <v>4.9658410716801891E-14</v>
      </c>
      <c r="BF180" s="14">
        <f t="shared" si="167"/>
        <v>8.0934058173791862E-13</v>
      </c>
      <c r="BG180" s="22">
        <f t="shared" si="168"/>
        <v>1.4960899118586383E-12</v>
      </c>
      <c r="BH180" s="62">
        <f t="shared" si="116"/>
        <v>289.19348642289674</v>
      </c>
      <c r="BI180" s="62">
        <f ca="1">AVERAGE(OFFSET($BH$3,0,0,'Données projet'!$E$11+1,1))-AVERAGE(OFFSET($H$3,0,0,'Données projet'!$E$11+1,1))</f>
        <v>342.02279578180605</v>
      </c>
      <c r="BJ180" s="62">
        <f t="shared" si="146"/>
        <v>409.02379334777754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317.99999999999972</v>
      </c>
      <c r="BZ180" s="14">
        <f>BY180*VLOOKUP('Données projet'!$B$12,Paramètres!$A$1:$I$89,3,0)*VLOOKUP('Données projet'!$B$12,Paramètres!$A$1:$I$89,5,0)</f>
        <v>253.0007999999998</v>
      </c>
      <c r="CA180" s="14">
        <f t="shared" si="170"/>
        <v>61.228070105968683</v>
      </c>
      <c r="CB180" s="22">
        <f t="shared" si="171"/>
        <v>547.28194876789507</v>
      </c>
      <c r="CC180" s="62">
        <f t="shared" si="119"/>
        <v>836.47543519079034</v>
      </c>
      <c r="CD180" s="62">
        <f ca="1">AVERAGE(OFFSET($CC$3,0,0,'Données projet'!$E$12+1,1))-AVERAGE(OFFSET($H$3,0,0,'Données projet'!$E$12+1,1))</f>
        <v>376.47942810265266</v>
      </c>
      <c r="CE180" s="62">
        <f t="shared" si="148"/>
        <v>362.87951024071265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0.91108326546244323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0.91108326546244323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317.99999999999972</v>
      </c>
      <c r="CU180" s="18">
        <f>CT180*VLOOKUP('Données projet'!$B$13,Paramètres!$A$1:$I$89,3,0)*VLOOKUP('Données projet'!$B$13,Paramètres!$A$1:$I$89,5,0)</f>
        <v>233.1575999999998</v>
      </c>
      <c r="CV180" s="14">
        <f t="shared" si="173"/>
        <v>56.964885721091697</v>
      </c>
      <c r="CW180" s="22">
        <f t="shared" si="174"/>
        <v>505.29666263090093</v>
      </c>
      <c r="CX180" s="62">
        <f t="shared" si="122"/>
        <v>794.49014905379613</v>
      </c>
      <c r="CY180" s="62">
        <f ca="1">AVERAGE(OFFSET($CX$3,0,0,'Données projet'!$E$13+1,1))-AVERAGE(OFFSET($H$3,0,0,'Données projet'!$E$13+1,1))</f>
        <v>351.7223836693733</v>
      </c>
      <c r="CZ180" s="62">
        <f t="shared" si="150"/>
        <v>339.34942976598518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0.68120580077676507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0.68120580077676507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183.33333333333334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6.3550942286383367E-14</v>
      </c>
      <c r="P181" s="14">
        <f t="shared" si="141"/>
        <v>1.0064464192543978E-12</v>
      </c>
      <c r="Q181" s="22">
        <f t="shared" si="162"/>
        <v>1.8635787380168604E-12</v>
      </c>
      <c r="R181" s="62">
        <f t="shared" si="109"/>
        <v>289.26530351148205</v>
      </c>
      <c r="S181" s="62">
        <f ca="1">AVERAGE(OFFSET($R$3,0,0,'Données projet'!$E$9+1,1))-AVERAGE(OFFSET($H$3,0,0,'Données projet'!$E$9+1,1))</f>
        <v>409.45931633551902</v>
      </c>
      <c r="T181" s="62">
        <f t="shared" si="142"/>
        <v>375.18886653687389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0.28275821577831001</v>
      </c>
      <c r="AA181" s="23">
        <f>EXP(-LN(2)/25)*AA180+(1-EXP(-LN(2)/25))/(LN(2)/25)*Calculateur!V181*Calculateur!X181*VLOOKUP('Données projet'!$B$9,Paramètres!$A$1:$I$89,3,0)*0.475*44/12</f>
        <v>0.319012923283859</v>
      </c>
      <c r="AB181" s="23">
        <f>EXP(-LN(2)/2)*AB180+(1-EXP(-LN(2)/2))/(LN(2)/2)*V181*Y181*VLOOKUP('Données projet'!$B$9,Paramètres!$A$1:$I$89,3,0)*0.475*44/12</f>
        <v>6.1415641711676051E-22</v>
      </c>
      <c r="AC181" s="24">
        <f t="shared" si="163"/>
        <v>0.60177113906216895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5.6843418860808015E-14</v>
      </c>
      <c r="AJ181" s="14">
        <f>AI181*VLOOKUP('Données projet'!$B$10,Paramètres!$A$1:$I$89,3,0)*VLOOKUP('Données projet'!$B$10,Paramètres!$A$1:$I$89,5,0)</f>
        <v>3.3992364478763198E-14</v>
      </c>
      <c r="AK181" s="14">
        <f t="shared" si="164"/>
        <v>5.790027782444094E-13</v>
      </c>
      <c r="AL181" s="22">
        <f t="shared" si="165"/>
        <v>1.0676332069095257E-12</v>
      </c>
      <c r="AM181" s="62">
        <f t="shared" si="113"/>
        <v>289.26530351148125</v>
      </c>
      <c r="AN181" s="62">
        <f ca="1">AVERAGE(OFFSET($AM$3,0,0,'Données projet'!$E$10+1,1))-AVERAGE(OFFSET($H$3,0,0,'Données projet'!$E$10+1,1))</f>
        <v>212.90262675152454</v>
      </c>
      <c r="AO181" s="62">
        <f t="shared" si="144"/>
        <v>366.51899340890498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5.8351276906655096</v>
      </c>
      <c r="AV181" s="23">
        <f>EXP(-LN(2)/25)*AV180+(1-EXP(-LN(2)/25))/(LN(2)/25)*Calculateur!AQ181*Calculateur!AS181*VLOOKUP('Données projet'!$B$10,Paramètres!$A$1:$I$89,3,0)*0.475*44/12</f>
        <v>5.5213957685191384E-2</v>
      </c>
      <c r="AW181" s="23">
        <f>EXP(-LN(2)/2)*AW180+(1-EXP(-LN(2)/2))/(LN(2)/2)*AQ181*AT181*VLOOKUP('Données projet'!$B$10,Paramètres!$A$1:$I$89,3,0)*0.475*44/12</f>
        <v>5.8313911186520123E-20</v>
      </c>
      <c r="AX181" s="23">
        <f t="shared" si="166"/>
        <v>5.8903416483507014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5.6843418860808015E-14</v>
      </c>
      <c r="BE181" s="14">
        <f>BD181*VLOOKUP('Données projet'!$B$11,Paramètres!$A$1:$I$89,3,0)*VLOOKUP('Données projet'!$B$11,Paramètres!$A$1:$I$89,5,0)</f>
        <v>4.9658410716801891E-14</v>
      </c>
      <c r="BF181" s="14">
        <f t="shared" si="167"/>
        <v>8.0934058173791862E-13</v>
      </c>
      <c r="BG181" s="22">
        <f t="shared" si="168"/>
        <v>1.4960899118586383E-12</v>
      </c>
      <c r="BH181" s="62">
        <f t="shared" si="116"/>
        <v>289.26530351148165</v>
      </c>
      <c r="BI181" s="62">
        <f ca="1">AVERAGE(OFFSET($BH$3,0,0,'Données projet'!$E$11+1,1))-AVERAGE(OFFSET($H$3,0,0,'Données projet'!$E$11+1,1))</f>
        <v>342.02279578180605</v>
      </c>
      <c r="BJ181" s="62">
        <f t="shared" si="146"/>
        <v>409.02379334777754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317.99999999999972</v>
      </c>
      <c r="BZ181" s="14">
        <f>BY181*VLOOKUP('Données projet'!$B$12,Paramètres!$A$1:$I$89,3,0)*VLOOKUP('Données projet'!$B$12,Paramètres!$A$1:$I$89,5,0)</f>
        <v>253.0007999999998</v>
      </c>
      <c r="CA181" s="14">
        <f t="shared" si="170"/>
        <v>61.228070105968683</v>
      </c>
      <c r="CB181" s="22">
        <f t="shared" si="171"/>
        <v>547.28194876789507</v>
      </c>
      <c r="CC181" s="62">
        <f t="shared" si="119"/>
        <v>836.54725227937524</v>
      </c>
      <c r="CD181" s="62">
        <f ca="1">AVERAGE(OFFSET($CC$3,0,0,'Données projet'!$E$12+1,1))-AVERAGE(OFFSET($H$3,0,0,'Données projet'!$E$12+1,1))</f>
        <v>376.47942810265266</v>
      </c>
      <c r="CE181" s="62">
        <f t="shared" si="148"/>
        <v>362.87951024071265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0.8932174783326452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0.8932174783326452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317.99999999999972</v>
      </c>
      <c r="CU181" s="18">
        <f>CT181*VLOOKUP('Données projet'!$B$13,Paramètres!$A$1:$I$89,3,0)*VLOOKUP('Données projet'!$B$13,Paramètres!$A$1:$I$89,5,0)</f>
        <v>233.1575999999998</v>
      </c>
      <c r="CV181" s="14">
        <f t="shared" si="173"/>
        <v>56.964885721091697</v>
      </c>
      <c r="CW181" s="22">
        <f t="shared" si="174"/>
        <v>505.29666263090093</v>
      </c>
      <c r="CX181" s="62">
        <f t="shared" si="122"/>
        <v>794.56196614238115</v>
      </c>
      <c r="CY181" s="62">
        <f ca="1">AVERAGE(OFFSET($CX$3,0,0,'Données projet'!$E$13+1,1))-AVERAGE(OFFSET($H$3,0,0,'Données projet'!$E$13+1,1))</f>
        <v>351.7223836693733</v>
      </c>
      <c r="CZ181" s="62">
        <f t="shared" si="150"/>
        <v>339.34942976598518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0.66784777051804456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0.66784777051804456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183.33333333333334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6.3550942286383367E-14</v>
      </c>
      <c r="P182" s="14">
        <f t="shared" si="141"/>
        <v>1.0064464192543978E-12</v>
      </c>
      <c r="Q182" s="22">
        <f t="shared" si="162"/>
        <v>1.8635787380168604E-12</v>
      </c>
      <c r="R182" s="62">
        <f t="shared" si="109"/>
        <v>289.335874734139</v>
      </c>
      <c r="S182" s="62">
        <f ca="1">AVERAGE(OFFSET($R$3,0,0,'Données projet'!$E$9+1,1))-AVERAGE(OFFSET($H$3,0,0,'Données projet'!$E$9+1,1))</f>
        <v>409.45931633551902</v>
      </c>
      <c r="T182" s="62">
        <f t="shared" si="142"/>
        <v>375.18886653687389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0.2772134996323794</v>
      </c>
      <c r="AA182" s="23">
        <f>EXP(-LN(2)/25)*AA181+(1-EXP(-LN(2)/25))/(LN(2)/25)*Calculateur!V182*Calculateur!X182*VLOOKUP('Données projet'!$B$9,Paramètres!$A$1:$I$89,3,0)*0.475*44/12</f>
        <v>0.31028949812050133</v>
      </c>
      <c r="AB182" s="23">
        <f>EXP(-LN(2)/2)*AB181+(1-EXP(-LN(2)/2))/(LN(2)/2)*V182*Y182*VLOOKUP('Données projet'!$B$9,Paramètres!$A$1:$I$89,3,0)*0.475*44/12</f>
        <v>4.3427416725249517E-22</v>
      </c>
      <c r="AC182" s="24">
        <f t="shared" si="163"/>
        <v>0.58750299775288073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5.6843418860808015E-14</v>
      </c>
      <c r="AJ182" s="14">
        <f>AI182*VLOOKUP('Données projet'!$B$10,Paramètres!$A$1:$I$89,3,0)*VLOOKUP('Données projet'!$B$10,Paramètres!$A$1:$I$89,5,0)</f>
        <v>3.3992364478763198E-14</v>
      </c>
      <c r="AK182" s="14">
        <f t="shared" si="164"/>
        <v>5.790027782444094E-13</v>
      </c>
      <c r="AL182" s="22">
        <f t="shared" si="165"/>
        <v>1.0676332069095257E-12</v>
      </c>
      <c r="AM182" s="62">
        <f t="shared" si="113"/>
        <v>289.3358747341382</v>
      </c>
      <c r="AN182" s="62">
        <f ca="1">AVERAGE(OFFSET($AM$3,0,0,'Données projet'!$E$10+1,1))-AVERAGE(OFFSET($H$3,0,0,'Données projet'!$E$10+1,1))</f>
        <v>212.90262675152454</v>
      </c>
      <c r="AO182" s="62">
        <f t="shared" si="144"/>
        <v>366.51899340890498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5.7207043957280206</v>
      </c>
      <c r="AV182" s="23">
        <f>EXP(-LN(2)/25)*AV181+(1-EXP(-LN(2)/25))/(LN(2)/25)*Calculateur!AQ182*Calculateur!AS182*VLOOKUP('Données projet'!$B$10,Paramètres!$A$1:$I$89,3,0)*0.475*44/12</f>
        <v>5.3704129108713985E-2</v>
      </c>
      <c r="AW182" s="23">
        <f>EXP(-LN(2)/2)*AW181+(1-EXP(-LN(2)/2))/(LN(2)/2)*AQ182*AT182*VLOOKUP('Données projet'!$B$10,Paramètres!$A$1:$I$89,3,0)*0.475*44/12</f>
        <v>4.123416203749845E-20</v>
      </c>
      <c r="AX182" s="23">
        <f t="shared" si="166"/>
        <v>5.7744085248367343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5.6843418860808015E-14</v>
      </c>
      <c r="BE182" s="14">
        <f>BD182*VLOOKUP('Données projet'!$B$11,Paramètres!$A$1:$I$89,3,0)*VLOOKUP('Données projet'!$B$11,Paramètres!$A$1:$I$89,5,0)</f>
        <v>4.9658410716801891E-14</v>
      </c>
      <c r="BF182" s="14">
        <f t="shared" si="167"/>
        <v>8.0934058173791862E-13</v>
      </c>
      <c r="BG182" s="22">
        <f t="shared" si="168"/>
        <v>1.4960899118586383E-12</v>
      </c>
      <c r="BH182" s="62">
        <f t="shared" si="116"/>
        <v>289.3358747341386</v>
      </c>
      <c r="BI182" s="62">
        <f ca="1">AVERAGE(OFFSET($BH$3,0,0,'Données projet'!$E$11+1,1))-AVERAGE(OFFSET($H$3,0,0,'Données projet'!$E$11+1,1))</f>
        <v>342.02279578180605</v>
      </c>
      <c r="BJ182" s="62">
        <f t="shared" si="146"/>
        <v>409.02379334777754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317.99999999999972</v>
      </c>
      <c r="BZ182" s="14">
        <f>BY182*VLOOKUP('Données projet'!$B$12,Paramètres!$A$1:$I$89,3,0)*VLOOKUP('Données projet'!$B$12,Paramètres!$A$1:$I$89,5,0)</f>
        <v>253.0007999999998</v>
      </c>
      <c r="CA182" s="14">
        <f t="shared" si="170"/>
        <v>61.228070105968683</v>
      </c>
      <c r="CB182" s="22">
        <f t="shared" si="171"/>
        <v>547.28194876789507</v>
      </c>
      <c r="CC182" s="62">
        <f t="shared" si="119"/>
        <v>836.61782350203225</v>
      </c>
      <c r="CD182" s="62">
        <f ca="1">AVERAGE(OFFSET($CC$3,0,0,'Données projet'!$E$12+1,1))-AVERAGE(OFFSET($H$3,0,0,'Données projet'!$E$12+1,1))</f>
        <v>376.47942810265266</v>
      </c>
      <c r="CE182" s="62">
        <f t="shared" si="148"/>
        <v>362.87951024071265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0.87570202839140843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0.87570202839140843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317.99999999999972</v>
      </c>
      <c r="CU182" s="18">
        <f>CT182*VLOOKUP('Données projet'!$B$13,Paramètres!$A$1:$I$89,3,0)*VLOOKUP('Données projet'!$B$13,Paramètres!$A$1:$I$89,5,0)</f>
        <v>233.1575999999998</v>
      </c>
      <c r="CV182" s="14">
        <f t="shared" si="173"/>
        <v>56.964885721091697</v>
      </c>
      <c r="CW182" s="22">
        <f t="shared" si="174"/>
        <v>505.29666263090093</v>
      </c>
      <c r="CX182" s="62">
        <f t="shared" si="122"/>
        <v>794.63253736503805</v>
      </c>
      <c r="CY182" s="62">
        <f ca="1">AVERAGE(OFFSET($CX$3,0,0,'Données projet'!$E$13+1,1))-AVERAGE(OFFSET($H$3,0,0,'Données projet'!$E$13+1,1))</f>
        <v>351.7223836693733</v>
      </c>
      <c r="CZ182" s="62">
        <f t="shared" si="150"/>
        <v>339.34942976598518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0.65475168308510356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0.65475168308510356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183.33333333333334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6.3550942286383367E-14</v>
      </c>
      <c r="P183" s="14">
        <f t="shared" si="141"/>
        <v>1.0064464192543978E-12</v>
      </c>
      <c r="Q183" s="22">
        <f t="shared" si="162"/>
        <v>1.8635787380168604E-12</v>
      </c>
      <c r="R183" s="62">
        <f t="shared" si="109"/>
        <v>289.40522170385651</v>
      </c>
      <c r="S183" s="62">
        <f ca="1">AVERAGE(OFFSET($R$3,0,0,'Données projet'!$E$9+1,1))-AVERAGE(OFFSET($H$3,0,0,'Données projet'!$E$9+1,1))</f>
        <v>409.45931633551902</v>
      </c>
      <c r="T183" s="62">
        <f t="shared" si="142"/>
        <v>375.18886653687389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0.27177751198812761</v>
      </c>
      <c r="AA183" s="23">
        <f>EXP(-LN(2)/25)*AA182+(1-EXP(-LN(2)/25))/(LN(2)/25)*Calculateur!V183*Calculateur!X183*VLOOKUP('Données projet'!$B$9,Paramètres!$A$1:$I$89,3,0)*0.475*44/12</f>
        <v>0.30180461547698068</v>
      </c>
      <c r="AB183" s="23">
        <f>EXP(-LN(2)/2)*AB182+(1-EXP(-LN(2)/2))/(LN(2)/2)*V183*Y183*VLOOKUP('Données projet'!$B$9,Paramètres!$A$1:$I$89,3,0)*0.475*44/12</f>
        <v>3.0707820855838026E-22</v>
      </c>
      <c r="AC183" s="24">
        <f t="shared" si="163"/>
        <v>0.57358212746510828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5.6843418860808015E-14</v>
      </c>
      <c r="AJ183" s="14">
        <f>AI183*VLOOKUP('Données projet'!$B$10,Paramètres!$A$1:$I$89,3,0)*VLOOKUP('Données projet'!$B$10,Paramètres!$A$1:$I$89,5,0)</f>
        <v>3.3992364478763198E-14</v>
      </c>
      <c r="AK183" s="14">
        <f t="shared" si="164"/>
        <v>5.790027782444094E-13</v>
      </c>
      <c r="AL183" s="22">
        <f t="shared" si="165"/>
        <v>1.0676332069095257E-12</v>
      </c>
      <c r="AM183" s="62">
        <f t="shared" si="113"/>
        <v>289.40522170385572</v>
      </c>
      <c r="AN183" s="62">
        <f ca="1">AVERAGE(OFFSET($AM$3,0,0,'Données projet'!$E$10+1,1))-AVERAGE(OFFSET($H$3,0,0,'Données projet'!$E$10+1,1))</f>
        <v>212.90262675152454</v>
      </c>
      <c r="AO183" s="62">
        <f t="shared" si="144"/>
        <v>366.51899340890498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5.6085248718129375</v>
      </c>
      <c r="AV183" s="23">
        <f>EXP(-LN(2)/25)*AV182+(1-EXP(-LN(2)/25))/(LN(2)/25)*Calculateur!AQ183*Calculateur!AS183*VLOOKUP('Données projet'!$B$10,Paramètres!$A$1:$I$89,3,0)*0.475*44/12</f>
        <v>5.2235586874058791E-2</v>
      </c>
      <c r="AW183" s="23">
        <f>EXP(-LN(2)/2)*AW182+(1-EXP(-LN(2)/2))/(LN(2)/2)*AQ183*AT183*VLOOKUP('Données projet'!$B$10,Paramètres!$A$1:$I$89,3,0)*0.475*44/12</f>
        <v>2.9156955593260061E-20</v>
      </c>
      <c r="AX183" s="23">
        <f t="shared" si="166"/>
        <v>5.6607604586869966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5.6843418860808015E-14</v>
      </c>
      <c r="BE183" s="14">
        <f>BD183*VLOOKUP('Données projet'!$B$11,Paramètres!$A$1:$I$89,3,0)*VLOOKUP('Données projet'!$B$11,Paramètres!$A$1:$I$89,5,0)</f>
        <v>4.9658410716801891E-14</v>
      </c>
      <c r="BF183" s="14">
        <f t="shared" si="167"/>
        <v>8.0934058173791862E-13</v>
      </c>
      <c r="BG183" s="22">
        <f t="shared" si="168"/>
        <v>1.4960899118586383E-12</v>
      </c>
      <c r="BH183" s="62">
        <f t="shared" si="116"/>
        <v>289.40522170385611</v>
      </c>
      <c r="BI183" s="62">
        <f ca="1">AVERAGE(OFFSET($BH$3,0,0,'Données projet'!$E$11+1,1))-AVERAGE(OFFSET($H$3,0,0,'Données projet'!$E$11+1,1))</f>
        <v>342.02279578180605</v>
      </c>
      <c r="BJ183" s="62">
        <f t="shared" si="146"/>
        <v>409.02379334777754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317.99999999999972</v>
      </c>
      <c r="BZ183" s="14">
        <f>BY183*VLOOKUP('Données projet'!$B$12,Paramètres!$A$1:$I$89,3,0)*VLOOKUP('Données projet'!$B$12,Paramètres!$A$1:$I$89,5,0)</f>
        <v>253.0007999999998</v>
      </c>
      <c r="CA183" s="14">
        <f t="shared" si="170"/>
        <v>61.228070105968683</v>
      </c>
      <c r="CB183" s="22">
        <f t="shared" si="171"/>
        <v>547.28194876789507</v>
      </c>
      <c r="CC183" s="62">
        <f t="shared" si="119"/>
        <v>836.68717047174971</v>
      </c>
      <c r="CD183" s="62">
        <f ca="1">AVERAGE(OFFSET($CC$3,0,0,'Données projet'!$E$12+1,1))-AVERAGE(OFFSET($H$3,0,0,'Données projet'!$E$12+1,1))</f>
        <v>376.47942810265266</v>
      </c>
      <c r="CE183" s="62">
        <f t="shared" si="148"/>
        <v>362.87951024071265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0.85853004574014968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0.85853004574014968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317.99999999999972</v>
      </c>
      <c r="CU183" s="18">
        <f>CT183*VLOOKUP('Données projet'!$B$13,Paramètres!$A$1:$I$89,3,0)*VLOOKUP('Données projet'!$B$13,Paramètres!$A$1:$I$89,5,0)</f>
        <v>233.1575999999998</v>
      </c>
      <c r="CV183" s="14">
        <f t="shared" si="173"/>
        <v>56.964885721091697</v>
      </c>
      <c r="CW183" s="22">
        <f t="shared" si="174"/>
        <v>505.29666263090093</v>
      </c>
      <c r="CX183" s="62">
        <f t="shared" si="122"/>
        <v>794.7018843347555</v>
      </c>
      <c r="CY183" s="62">
        <f ca="1">AVERAGE(OFFSET($CX$3,0,0,'Données projet'!$E$13+1,1))-AVERAGE(OFFSET($H$3,0,0,'Données projet'!$E$13+1,1))</f>
        <v>351.7223836693733</v>
      </c>
      <c r="CZ183" s="62">
        <f t="shared" si="150"/>
        <v>339.34942976598518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0.64191240193889798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0.64191240193889798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183.33333333333334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6.3550942286383367E-14</v>
      </c>
      <c r="P184" s="14">
        <f t="shared" si="141"/>
        <v>1.0064464192543978E-12</v>
      </c>
      <c r="Q184" s="22">
        <f t="shared" si="162"/>
        <v>1.8635787380168604E-12</v>
      </c>
      <c r="R184" s="62">
        <f t="shared" si="109"/>
        <v>289.47336565868596</v>
      </c>
      <c r="S184" s="62">
        <f ca="1">AVERAGE(OFFSET($R$3,0,0,'Données projet'!$E$9+1,1))-AVERAGE(OFFSET($H$3,0,0,'Données projet'!$E$9+1,1))</f>
        <v>409.45931633551902</v>
      </c>
      <c r="T184" s="62">
        <f t="shared" si="142"/>
        <v>375.18886653687389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0.26644812074595453</v>
      </c>
      <c r="AA184" s="23">
        <f>EXP(-LN(2)/25)*AA183+(1-EXP(-LN(2)/25))/(LN(2)/25)*Calculateur!V184*Calculateur!X184*VLOOKUP('Données projet'!$B$9,Paramètres!$A$1:$I$89,3,0)*0.475*44/12</f>
        <v>0.2935517523955477</v>
      </c>
      <c r="AB184" s="23">
        <f>EXP(-LN(2)/2)*AB183+(1-EXP(-LN(2)/2))/(LN(2)/2)*V184*Y184*VLOOKUP('Données projet'!$B$9,Paramètres!$A$1:$I$89,3,0)*0.475*44/12</f>
        <v>2.1713708362624758E-22</v>
      </c>
      <c r="AC184" s="24">
        <f t="shared" si="163"/>
        <v>0.55999987314150224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5.6843418860808015E-14</v>
      </c>
      <c r="AJ184" s="14">
        <f>AI184*VLOOKUP('Données projet'!$B$10,Paramètres!$A$1:$I$89,3,0)*VLOOKUP('Données projet'!$B$10,Paramètres!$A$1:$I$89,5,0)</f>
        <v>3.3992364478763198E-14</v>
      </c>
      <c r="AK184" s="14">
        <f t="shared" si="164"/>
        <v>5.790027782444094E-13</v>
      </c>
      <c r="AL184" s="22">
        <f t="shared" si="165"/>
        <v>1.0676332069095257E-12</v>
      </c>
      <c r="AM184" s="62">
        <f t="shared" si="113"/>
        <v>289.47336565868517</v>
      </c>
      <c r="AN184" s="62">
        <f ca="1">AVERAGE(OFFSET($AM$3,0,0,'Données projet'!$E$10+1,1))-AVERAGE(OFFSET($H$3,0,0,'Données projet'!$E$10+1,1))</f>
        <v>212.90262675152454</v>
      </c>
      <c r="AO184" s="62">
        <f t="shared" si="144"/>
        <v>366.51899340890498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5.4985451199390756</v>
      </c>
      <c r="AV184" s="23">
        <f>EXP(-LN(2)/25)*AV183+(1-EXP(-LN(2)/25))/(LN(2)/25)*Calculateur!AQ184*Calculateur!AS184*VLOOKUP('Données projet'!$B$10,Paramètres!$A$1:$I$89,3,0)*0.475*44/12</f>
        <v>5.0807202004037523E-2</v>
      </c>
      <c r="AW184" s="23">
        <f>EXP(-LN(2)/2)*AW183+(1-EXP(-LN(2)/2))/(LN(2)/2)*AQ184*AT184*VLOOKUP('Données projet'!$B$10,Paramètres!$A$1:$I$89,3,0)*0.475*44/12</f>
        <v>2.0617081018749225E-20</v>
      </c>
      <c r="AX184" s="23">
        <f t="shared" si="166"/>
        <v>5.5493523219431129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5.6843418860808015E-14</v>
      </c>
      <c r="BE184" s="14">
        <f>BD184*VLOOKUP('Données projet'!$B$11,Paramètres!$A$1:$I$89,3,0)*VLOOKUP('Données projet'!$B$11,Paramètres!$A$1:$I$89,5,0)</f>
        <v>4.9658410716801891E-14</v>
      </c>
      <c r="BF184" s="14">
        <f t="shared" si="167"/>
        <v>8.0934058173791862E-13</v>
      </c>
      <c r="BG184" s="22">
        <f t="shared" si="168"/>
        <v>1.4960899118586383E-12</v>
      </c>
      <c r="BH184" s="62">
        <f t="shared" si="116"/>
        <v>289.47336565868557</v>
      </c>
      <c r="BI184" s="62">
        <f ca="1">AVERAGE(OFFSET($BH$3,0,0,'Données projet'!$E$11+1,1))-AVERAGE(OFFSET($H$3,0,0,'Données projet'!$E$11+1,1))</f>
        <v>342.02279578180605</v>
      </c>
      <c r="BJ184" s="62">
        <f t="shared" si="146"/>
        <v>409.02379334777754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317.99999999999972</v>
      </c>
      <c r="BZ184" s="14">
        <f>BY184*VLOOKUP('Données projet'!$B$12,Paramètres!$A$1:$I$89,3,0)*VLOOKUP('Données projet'!$B$12,Paramètres!$A$1:$I$89,5,0)</f>
        <v>253.0007999999998</v>
      </c>
      <c r="CA184" s="14">
        <f t="shared" si="170"/>
        <v>61.228070105968683</v>
      </c>
      <c r="CB184" s="22">
        <f t="shared" si="171"/>
        <v>547.28194876789507</v>
      </c>
      <c r="CC184" s="62">
        <f t="shared" si="119"/>
        <v>836.75531442657916</v>
      </c>
      <c r="CD184" s="62">
        <f ca="1">AVERAGE(OFFSET($CC$3,0,0,'Données projet'!$E$12+1,1))-AVERAGE(OFFSET($H$3,0,0,'Données projet'!$E$12+1,1))</f>
        <v>376.47942810265266</v>
      </c>
      <c r="CE184" s="62">
        <f t="shared" si="148"/>
        <v>362.87951024071265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0.84169479519480694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0.84169479519480694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317.99999999999972</v>
      </c>
      <c r="CU184" s="18">
        <f>CT184*VLOOKUP('Données projet'!$B$13,Paramètres!$A$1:$I$89,3,0)*VLOOKUP('Données projet'!$B$13,Paramètres!$A$1:$I$89,5,0)</f>
        <v>233.1575999999998</v>
      </c>
      <c r="CV184" s="14">
        <f t="shared" si="173"/>
        <v>56.964885721091697</v>
      </c>
      <c r="CW184" s="22">
        <f t="shared" si="174"/>
        <v>505.29666263090093</v>
      </c>
      <c r="CX184" s="62">
        <f t="shared" si="122"/>
        <v>794.77002828958507</v>
      </c>
      <c r="CY184" s="62">
        <f ca="1">AVERAGE(OFFSET($CX$3,0,0,'Données projet'!$E$13+1,1))-AVERAGE(OFFSET($H$3,0,0,'Données projet'!$E$13+1,1))</f>
        <v>351.7223836693733</v>
      </c>
      <c r="CZ184" s="62">
        <f t="shared" si="150"/>
        <v>339.34942976598518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0.62932489126478119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0.62932489126478119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183.33333333333334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6.3550942286383367E-14</v>
      </c>
      <c r="P185" s="14">
        <f t="shared" si="141"/>
        <v>1.0064464192543978E-12</v>
      </c>
      <c r="Q185" s="22">
        <f t="shared" si="162"/>
        <v>1.8635787380168604E-12</v>
      </c>
      <c r="R185" s="62">
        <f t="shared" si="109"/>
        <v>289.54032746824629</v>
      </c>
      <c r="S185" s="62">
        <f ca="1">AVERAGE(OFFSET($R$3,0,0,'Données projet'!$E$9+1,1))-AVERAGE(OFFSET($H$3,0,0,'Données projet'!$E$9+1,1))</f>
        <v>409.45931633551902</v>
      </c>
      <c r="T185" s="62">
        <f t="shared" si="142"/>
        <v>375.18886653687389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0.26122323561543276</v>
      </c>
      <c r="AA185" s="23">
        <f>EXP(-LN(2)/25)*AA184+(1-EXP(-LN(2)/25))/(LN(2)/25)*Calculateur!V185*Calculateur!X185*VLOOKUP('Données projet'!$B$9,Paramètres!$A$1:$I$89,3,0)*0.475*44/12</f>
        <v>0.28552456428907569</v>
      </c>
      <c r="AB185" s="23">
        <f>EXP(-LN(2)/2)*AB184+(1-EXP(-LN(2)/2))/(LN(2)/2)*V185*Y185*VLOOKUP('Données projet'!$B$9,Paramètres!$A$1:$I$89,3,0)*0.475*44/12</f>
        <v>1.5353910427919013E-22</v>
      </c>
      <c r="AC185" s="24">
        <f t="shared" si="163"/>
        <v>0.5467477999045085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5.6843418860808015E-14</v>
      </c>
      <c r="AJ185" s="14">
        <f>AI185*VLOOKUP('Données projet'!$B$10,Paramètres!$A$1:$I$89,3,0)*VLOOKUP('Données projet'!$B$10,Paramètres!$A$1:$I$89,5,0)</f>
        <v>3.3992364478763198E-14</v>
      </c>
      <c r="AK185" s="14">
        <f t="shared" si="164"/>
        <v>5.790027782444094E-13</v>
      </c>
      <c r="AL185" s="22">
        <f t="shared" si="165"/>
        <v>1.0676332069095257E-12</v>
      </c>
      <c r="AM185" s="62">
        <f t="shared" si="113"/>
        <v>289.54032746824549</v>
      </c>
      <c r="AN185" s="62">
        <f ca="1">AVERAGE(OFFSET($AM$3,0,0,'Données projet'!$E$10+1,1))-AVERAGE(OFFSET($H$3,0,0,'Données projet'!$E$10+1,1))</f>
        <v>212.90262675152454</v>
      </c>
      <c r="AO185" s="62">
        <f t="shared" si="144"/>
        <v>366.51899340890498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5.3907220039184347</v>
      </c>
      <c r="AV185" s="23">
        <f>EXP(-LN(2)/25)*AV184+(1-EXP(-LN(2)/25))/(LN(2)/25)*Calculateur!AQ185*Calculateur!AS185*VLOOKUP('Données projet'!$B$10,Paramètres!$A$1:$I$89,3,0)*0.475*44/12</f>
        <v>4.9417876393402484E-2</v>
      </c>
      <c r="AW185" s="23">
        <f>EXP(-LN(2)/2)*AW184+(1-EXP(-LN(2)/2))/(LN(2)/2)*AQ185*AT185*VLOOKUP('Données projet'!$B$10,Paramètres!$A$1:$I$89,3,0)*0.475*44/12</f>
        <v>1.4578477796630031E-20</v>
      </c>
      <c r="AX185" s="23">
        <f t="shared" si="166"/>
        <v>5.440139880311837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5.6843418860808015E-14</v>
      </c>
      <c r="BE185" s="14">
        <f>BD185*VLOOKUP('Données projet'!$B$11,Paramètres!$A$1:$I$89,3,0)*VLOOKUP('Données projet'!$B$11,Paramètres!$A$1:$I$89,5,0)</f>
        <v>4.9658410716801891E-14</v>
      </c>
      <c r="BF185" s="14">
        <f t="shared" si="167"/>
        <v>8.0934058173791862E-13</v>
      </c>
      <c r="BG185" s="22">
        <f t="shared" si="168"/>
        <v>1.4960899118586383E-12</v>
      </c>
      <c r="BH185" s="62">
        <f t="shared" si="116"/>
        <v>289.54032746824589</v>
      </c>
      <c r="BI185" s="62">
        <f ca="1">AVERAGE(OFFSET($BH$3,0,0,'Données projet'!$E$11+1,1))-AVERAGE(OFFSET($H$3,0,0,'Données projet'!$E$11+1,1))</f>
        <v>342.02279578180605</v>
      </c>
      <c r="BJ185" s="62">
        <f t="shared" si="146"/>
        <v>409.02379334777754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317.99999999999972</v>
      </c>
      <c r="BZ185" s="14">
        <f>BY185*VLOOKUP('Données projet'!$B$12,Paramètres!$A$1:$I$89,3,0)*VLOOKUP('Données projet'!$B$12,Paramètres!$A$1:$I$89,5,0)</f>
        <v>253.0007999999998</v>
      </c>
      <c r="CA185" s="14">
        <f t="shared" si="170"/>
        <v>61.228070105968683</v>
      </c>
      <c r="CB185" s="22">
        <f t="shared" si="171"/>
        <v>547.28194876789507</v>
      </c>
      <c r="CC185" s="62">
        <f t="shared" si="119"/>
        <v>836.82227623613949</v>
      </c>
      <c r="CD185" s="62">
        <f ca="1">AVERAGE(OFFSET($CC$3,0,0,'Données projet'!$E$12+1,1))-AVERAGE(OFFSET($H$3,0,0,'Données projet'!$E$12+1,1))</f>
        <v>376.47942810265266</v>
      </c>
      <c r="CE185" s="62">
        <f t="shared" si="148"/>
        <v>362.87951024071265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0.82518967364416951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0.82518967364416951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317.99999999999972</v>
      </c>
      <c r="CU185" s="18">
        <f>CT185*VLOOKUP('Données projet'!$B$13,Paramètres!$A$1:$I$89,3,0)*VLOOKUP('Données projet'!$B$13,Paramètres!$A$1:$I$89,5,0)</f>
        <v>233.1575999999998</v>
      </c>
      <c r="CV185" s="14">
        <f t="shared" si="173"/>
        <v>56.964885721091697</v>
      </c>
      <c r="CW185" s="22">
        <f t="shared" si="174"/>
        <v>505.29666263090093</v>
      </c>
      <c r="CX185" s="62">
        <f t="shared" si="122"/>
        <v>794.8369900991454</v>
      </c>
      <c r="CY185" s="62">
        <f ca="1">AVERAGE(OFFSET($CX$3,0,0,'Données projet'!$E$13+1,1))-AVERAGE(OFFSET($H$3,0,0,'Données projet'!$E$13+1,1))</f>
        <v>351.7223836693733</v>
      </c>
      <c r="CZ185" s="62">
        <f t="shared" si="150"/>
        <v>339.34942976598518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0.61698421399736048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0.61698421399736048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183.33333333333334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6.3550942286383367E-14</v>
      </c>
      <c r="P186" s="14">
        <f t="shared" si="141"/>
        <v>1.0064464192543978E-12</v>
      </c>
      <c r="Q186" s="22">
        <f t="shared" si="162"/>
        <v>1.8635787380168604E-12</v>
      </c>
      <c r="R186" s="62">
        <f t="shared" si="109"/>
        <v>289.60612764011483</v>
      </c>
      <c r="S186" s="62">
        <f ca="1">AVERAGE(OFFSET($R$3,0,0,'Données projet'!$E$9+1,1))-AVERAGE(OFFSET($H$3,0,0,'Données projet'!$E$9+1,1))</f>
        <v>409.45931633551902</v>
      </c>
      <c r="T186" s="62">
        <f t="shared" si="142"/>
        <v>375.18886653687389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0.25610080729545526</v>
      </c>
      <c r="AA186" s="23">
        <f>EXP(-LN(2)/25)*AA185+(1-EXP(-LN(2)/25))/(LN(2)/25)*Calculateur!V186*Calculateur!X186*VLOOKUP('Données projet'!$B$9,Paramètres!$A$1:$I$89,3,0)*0.475*44/12</f>
        <v>0.27771688006350664</v>
      </c>
      <c r="AB186" s="23">
        <f>EXP(-LN(2)/2)*AB185+(1-EXP(-LN(2)/2))/(LN(2)/2)*V186*Y186*VLOOKUP('Données projet'!$B$9,Paramètres!$A$1:$I$89,3,0)*0.475*44/12</f>
        <v>1.0856854181312379E-22</v>
      </c>
      <c r="AC186" s="24">
        <f t="shared" si="163"/>
        <v>0.53381768735896196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5.6843418860808015E-14</v>
      </c>
      <c r="AJ186" s="14">
        <f>AI186*VLOOKUP('Données projet'!$B$10,Paramètres!$A$1:$I$89,3,0)*VLOOKUP('Données projet'!$B$10,Paramètres!$A$1:$I$89,5,0)</f>
        <v>3.3992364478763198E-14</v>
      </c>
      <c r="AK186" s="14">
        <f t="shared" si="164"/>
        <v>5.790027782444094E-13</v>
      </c>
      <c r="AL186" s="22">
        <f t="shared" si="165"/>
        <v>1.0676332069095257E-12</v>
      </c>
      <c r="AM186" s="62">
        <f t="shared" si="113"/>
        <v>289.60612764011404</v>
      </c>
      <c r="AN186" s="62">
        <f ca="1">AVERAGE(OFFSET($AM$3,0,0,'Données projet'!$E$10+1,1))-AVERAGE(OFFSET($H$3,0,0,'Données projet'!$E$10+1,1))</f>
        <v>212.90262675152454</v>
      </c>
      <c r="AO186" s="62">
        <f t="shared" si="144"/>
        <v>366.51899340890498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5.2850132334373523</v>
      </c>
      <c r="AV186" s="23">
        <f>EXP(-LN(2)/25)*AV185+(1-EXP(-LN(2)/25))/(LN(2)/25)*Calculateur!AQ186*Calculateur!AS186*VLOOKUP('Données projet'!$B$10,Paramètres!$A$1:$I$89,3,0)*0.475*44/12</f>
        <v>4.8066541964651717E-2</v>
      </c>
      <c r="AW186" s="23">
        <f>EXP(-LN(2)/2)*AW185+(1-EXP(-LN(2)/2))/(LN(2)/2)*AQ186*AT186*VLOOKUP('Données projet'!$B$10,Paramètres!$A$1:$I$89,3,0)*0.475*44/12</f>
        <v>1.0308540509374613E-20</v>
      </c>
      <c r="AX186" s="23">
        <f t="shared" si="166"/>
        <v>5.3330797754020036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5.6843418860808015E-14</v>
      </c>
      <c r="BE186" s="14">
        <f>BD186*VLOOKUP('Données projet'!$B$11,Paramètres!$A$1:$I$89,3,0)*VLOOKUP('Données projet'!$B$11,Paramètres!$A$1:$I$89,5,0)</f>
        <v>4.9658410716801891E-14</v>
      </c>
      <c r="BF186" s="14">
        <f t="shared" si="167"/>
        <v>8.0934058173791862E-13</v>
      </c>
      <c r="BG186" s="22">
        <f t="shared" si="168"/>
        <v>1.4960899118586383E-12</v>
      </c>
      <c r="BH186" s="62">
        <f t="shared" si="116"/>
        <v>289.60612764011444</v>
      </c>
      <c r="BI186" s="62">
        <f ca="1">AVERAGE(OFFSET($BH$3,0,0,'Données projet'!$E$11+1,1))-AVERAGE(OFFSET($H$3,0,0,'Données projet'!$E$11+1,1))</f>
        <v>342.02279578180605</v>
      </c>
      <c r="BJ186" s="62">
        <f t="shared" si="146"/>
        <v>409.02379334777754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317.99999999999972</v>
      </c>
      <c r="BZ186" s="14">
        <f>BY186*VLOOKUP('Données projet'!$B$12,Paramètres!$A$1:$I$89,3,0)*VLOOKUP('Données projet'!$B$12,Paramètres!$A$1:$I$89,5,0)</f>
        <v>253.0007999999998</v>
      </c>
      <c r="CA186" s="14">
        <f t="shared" si="170"/>
        <v>61.228070105968683</v>
      </c>
      <c r="CB186" s="22">
        <f t="shared" si="171"/>
        <v>547.28194876789507</v>
      </c>
      <c r="CC186" s="62">
        <f t="shared" si="119"/>
        <v>836.88807640800803</v>
      </c>
      <c r="CD186" s="62">
        <f ca="1">AVERAGE(OFFSET($CC$3,0,0,'Données projet'!$E$12+1,1))-AVERAGE(OFFSET($H$3,0,0,'Données projet'!$E$12+1,1))</f>
        <v>376.47942810265266</v>
      </c>
      <c r="CE186" s="62">
        <f t="shared" si="148"/>
        <v>362.87951024071265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0.8090082074600099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0.8090082074600099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317.99999999999972</v>
      </c>
      <c r="CU186" s="18">
        <f>CT186*VLOOKUP('Données projet'!$B$13,Paramètres!$A$1:$I$89,3,0)*VLOOKUP('Données projet'!$B$13,Paramètres!$A$1:$I$89,5,0)</f>
        <v>233.1575999999998</v>
      </c>
      <c r="CV186" s="14">
        <f t="shared" si="173"/>
        <v>56.964885721091697</v>
      </c>
      <c r="CW186" s="22">
        <f t="shared" si="174"/>
        <v>505.29666263090093</v>
      </c>
      <c r="CX186" s="62">
        <f t="shared" si="122"/>
        <v>794.90279027101383</v>
      </c>
      <c r="CY186" s="62">
        <f ca="1">AVERAGE(OFFSET($CX$3,0,0,'Données projet'!$E$13+1,1))-AVERAGE(OFFSET($H$3,0,0,'Données projet'!$E$13+1,1))</f>
        <v>351.7223836693733</v>
      </c>
      <c r="CZ186" s="62">
        <f t="shared" si="150"/>
        <v>339.34942976598518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0.60488552988408395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0.60488552988408395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183.33333333333334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6.3550942286383367E-14</v>
      </c>
      <c r="P187" s="14">
        <f t="shared" si="141"/>
        <v>1.0064464192543978E-12</v>
      </c>
      <c r="Q187" s="22">
        <f t="shared" si="162"/>
        <v>1.8635787380168604E-12</v>
      </c>
      <c r="R187" s="62">
        <f t="shared" si="109"/>
        <v>289.67078632610861</v>
      </c>
      <c r="S187" s="62">
        <f ca="1">AVERAGE(OFFSET($R$3,0,0,'Données projet'!$E$9+1,1))-AVERAGE(OFFSET($H$3,0,0,'Données projet'!$E$9+1,1))</f>
        <v>409.45931633551902</v>
      </c>
      <c r="T187" s="62">
        <f t="shared" si="142"/>
        <v>375.18886653687389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0.25107882667045978</v>
      </c>
      <c r="AA187" s="23">
        <f>EXP(-LN(2)/25)*AA186+(1-EXP(-LN(2)/25))/(LN(2)/25)*Calculateur!V187*Calculateur!X187*VLOOKUP('Données projet'!$B$9,Paramètres!$A$1:$I$89,3,0)*0.475*44/12</f>
        <v>0.27012269737367406</v>
      </c>
      <c r="AB187" s="23">
        <f>EXP(-LN(2)/2)*AB186+(1-EXP(-LN(2)/2))/(LN(2)/2)*V187*Y187*VLOOKUP('Données projet'!$B$9,Paramètres!$A$1:$I$89,3,0)*0.475*44/12</f>
        <v>7.6769552139595064E-23</v>
      </c>
      <c r="AC187" s="24">
        <f t="shared" si="163"/>
        <v>0.52120152404413389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5.6843418860808015E-14</v>
      </c>
      <c r="AJ187" s="14">
        <f>AI187*VLOOKUP('Données projet'!$B$10,Paramètres!$A$1:$I$89,3,0)*VLOOKUP('Données projet'!$B$10,Paramètres!$A$1:$I$89,5,0)</f>
        <v>3.3992364478763198E-14</v>
      </c>
      <c r="AK187" s="14">
        <f t="shared" si="164"/>
        <v>5.790027782444094E-13</v>
      </c>
      <c r="AL187" s="22">
        <f t="shared" si="165"/>
        <v>1.0676332069095257E-12</v>
      </c>
      <c r="AM187" s="62">
        <f t="shared" si="113"/>
        <v>289.67078632610782</v>
      </c>
      <c r="AN187" s="62">
        <f ca="1">AVERAGE(OFFSET($AM$3,0,0,'Données projet'!$E$10+1,1))-AVERAGE(OFFSET($H$3,0,0,'Données projet'!$E$10+1,1))</f>
        <v>212.90262675152454</v>
      </c>
      <c r="AO187" s="62">
        <f t="shared" si="144"/>
        <v>366.51899340890498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5.1813773474694198</v>
      </c>
      <c r="AV187" s="23">
        <f>EXP(-LN(2)/25)*AV186+(1-EXP(-LN(2)/25))/(LN(2)/25)*Calculateur!AQ187*Calculateur!AS187*VLOOKUP('Données projet'!$B$10,Paramètres!$A$1:$I$89,3,0)*0.475*44/12</f>
        <v>4.6752159846918731E-2</v>
      </c>
      <c r="AW187" s="23">
        <f>EXP(-LN(2)/2)*AW186+(1-EXP(-LN(2)/2))/(LN(2)/2)*AQ187*AT187*VLOOKUP('Données projet'!$B$10,Paramètres!$A$1:$I$89,3,0)*0.475*44/12</f>
        <v>7.2892388983150153E-21</v>
      </c>
      <c r="AX187" s="23">
        <f t="shared" si="166"/>
        <v>5.2281295073163383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5.6843418860808015E-14</v>
      </c>
      <c r="BE187" s="14">
        <f>BD187*VLOOKUP('Données projet'!$B$11,Paramètres!$A$1:$I$89,3,0)*VLOOKUP('Données projet'!$B$11,Paramètres!$A$1:$I$89,5,0)</f>
        <v>4.9658410716801891E-14</v>
      </c>
      <c r="BF187" s="14">
        <f t="shared" si="167"/>
        <v>8.0934058173791862E-13</v>
      </c>
      <c r="BG187" s="22">
        <f t="shared" si="168"/>
        <v>1.4960899118586383E-12</v>
      </c>
      <c r="BH187" s="62">
        <f t="shared" si="116"/>
        <v>289.67078632610821</v>
      </c>
      <c r="BI187" s="62">
        <f ca="1">AVERAGE(OFFSET($BH$3,0,0,'Données projet'!$E$11+1,1))-AVERAGE(OFFSET($H$3,0,0,'Données projet'!$E$11+1,1))</f>
        <v>342.02279578180605</v>
      </c>
      <c r="BJ187" s="62">
        <f t="shared" si="146"/>
        <v>409.02379334777754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317.99999999999972</v>
      </c>
      <c r="BZ187" s="14">
        <f>BY187*VLOOKUP('Données projet'!$B$12,Paramètres!$A$1:$I$89,3,0)*VLOOKUP('Données projet'!$B$12,Paramètres!$A$1:$I$89,5,0)</f>
        <v>253.0007999999998</v>
      </c>
      <c r="CA187" s="14">
        <f t="shared" si="170"/>
        <v>61.228070105968683</v>
      </c>
      <c r="CB187" s="22">
        <f t="shared" si="171"/>
        <v>547.28194876789507</v>
      </c>
      <c r="CC187" s="62">
        <f t="shared" si="119"/>
        <v>836.95273509400181</v>
      </c>
      <c r="CD187" s="62">
        <f ca="1">AVERAGE(OFFSET($CC$3,0,0,'Données projet'!$E$12+1,1))-AVERAGE(OFFSET($H$3,0,0,'Données projet'!$E$12+1,1))</f>
        <v>376.47942810265266</v>
      </c>
      <c r="CE187" s="62">
        <f t="shared" si="148"/>
        <v>362.87951024071265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0.79314404995800192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0.79314404995800192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317.99999999999972</v>
      </c>
      <c r="CU187" s="18">
        <f>CT187*VLOOKUP('Données projet'!$B$13,Paramètres!$A$1:$I$89,3,0)*VLOOKUP('Données projet'!$B$13,Paramètres!$A$1:$I$89,5,0)</f>
        <v>233.1575999999998</v>
      </c>
      <c r="CV187" s="14">
        <f t="shared" si="173"/>
        <v>56.964885721091697</v>
      </c>
      <c r="CW187" s="22">
        <f t="shared" si="174"/>
        <v>505.29666263090093</v>
      </c>
      <c r="CX187" s="62">
        <f t="shared" si="122"/>
        <v>794.96744895700772</v>
      </c>
      <c r="CY187" s="62">
        <f ca="1">AVERAGE(OFFSET($CX$3,0,0,'Données projet'!$E$13+1,1))-AVERAGE(OFFSET($H$3,0,0,'Données projet'!$E$13+1,1))</f>
        <v>351.7223836693733</v>
      </c>
      <c r="CZ187" s="62">
        <f t="shared" si="150"/>
        <v>339.34942976598518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0.59302409358680008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0.59302409358680008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183.33333333333334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6.3550942286383367E-14</v>
      </c>
      <c r="P188" s="14">
        <f t="shared" si="141"/>
        <v>1.0064464192543978E-12</v>
      </c>
      <c r="Q188" s="22">
        <f t="shared" si="162"/>
        <v>1.8635787380168604E-12</v>
      </c>
      <c r="R188" s="62">
        <f t="shared" si="109"/>
        <v>289.73432332845562</v>
      </c>
      <c r="S188" s="62">
        <f ca="1">AVERAGE(OFFSET($R$3,0,0,'Données projet'!$E$9+1,1))-AVERAGE(OFFSET($H$3,0,0,'Données projet'!$E$9+1,1))</f>
        <v>409.45931633551902</v>
      </c>
      <c r="T188" s="62">
        <f t="shared" si="142"/>
        <v>375.18886653687389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0.24615532402241472</v>
      </c>
      <c r="AA188" s="23">
        <f>EXP(-LN(2)/25)*AA187+(1-EXP(-LN(2)/25))/(LN(2)/25)*Calculateur!V188*Calculateur!X188*VLOOKUP('Données projet'!$B$9,Paramètres!$A$1:$I$89,3,0)*0.475*44/12</f>
        <v>0.26273617800885568</v>
      </c>
      <c r="AB188" s="23">
        <f>EXP(-LN(2)/2)*AB187+(1-EXP(-LN(2)/2))/(LN(2)/2)*V188*Y188*VLOOKUP('Données projet'!$B$9,Paramètres!$A$1:$I$89,3,0)*0.475*44/12</f>
        <v>5.4284270906561896E-23</v>
      </c>
      <c r="AC188" s="24">
        <f t="shared" si="163"/>
        <v>0.50889150203127043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5.6843418860808015E-14</v>
      </c>
      <c r="AJ188" s="14">
        <f>AI188*VLOOKUP('Données projet'!$B$10,Paramètres!$A$1:$I$89,3,0)*VLOOKUP('Données projet'!$B$10,Paramètres!$A$1:$I$89,5,0)</f>
        <v>3.3992364478763198E-14</v>
      </c>
      <c r="AK188" s="14">
        <f t="shared" si="164"/>
        <v>5.790027782444094E-13</v>
      </c>
      <c r="AL188" s="22">
        <f t="shared" si="165"/>
        <v>1.0676332069095257E-12</v>
      </c>
      <c r="AM188" s="62">
        <f t="shared" si="113"/>
        <v>289.73432332845482</v>
      </c>
      <c r="AN188" s="62">
        <f ca="1">AVERAGE(OFFSET($AM$3,0,0,'Données projet'!$E$10+1,1))-AVERAGE(OFFSET($H$3,0,0,'Données projet'!$E$10+1,1))</f>
        <v>212.90262675152454</v>
      </c>
      <c r="AO188" s="62">
        <f t="shared" si="144"/>
        <v>366.51899340890498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5.0797736980136703</v>
      </c>
      <c r="AV188" s="23">
        <f>EXP(-LN(2)/25)*AV187+(1-EXP(-LN(2)/25))/(LN(2)/25)*Calculateur!AQ188*Calculateur!AS188*VLOOKUP('Données projet'!$B$10,Paramètres!$A$1:$I$89,3,0)*0.475*44/12</f>
        <v>4.5473719577315504E-2</v>
      </c>
      <c r="AW188" s="23">
        <f>EXP(-LN(2)/2)*AW187+(1-EXP(-LN(2)/2))/(LN(2)/2)*AQ188*AT188*VLOOKUP('Données projet'!$B$10,Paramètres!$A$1:$I$89,3,0)*0.475*44/12</f>
        <v>5.1542702546873063E-21</v>
      </c>
      <c r="AX188" s="23">
        <f t="shared" si="166"/>
        <v>5.1252474175909857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5.6843418860808015E-14</v>
      </c>
      <c r="BE188" s="14">
        <f>BD188*VLOOKUP('Données projet'!$B$11,Paramètres!$A$1:$I$89,3,0)*VLOOKUP('Données projet'!$B$11,Paramètres!$A$1:$I$89,5,0)</f>
        <v>4.9658410716801891E-14</v>
      </c>
      <c r="BF188" s="14">
        <f t="shared" si="167"/>
        <v>8.0934058173791862E-13</v>
      </c>
      <c r="BG188" s="22">
        <f t="shared" si="168"/>
        <v>1.4960899118586383E-12</v>
      </c>
      <c r="BH188" s="62">
        <f t="shared" si="116"/>
        <v>289.73432332845522</v>
      </c>
      <c r="BI188" s="62">
        <f ca="1">AVERAGE(OFFSET($BH$3,0,0,'Données projet'!$E$11+1,1))-AVERAGE(OFFSET($H$3,0,0,'Données projet'!$E$11+1,1))</f>
        <v>342.02279578180605</v>
      </c>
      <c r="BJ188" s="62">
        <f t="shared" si="146"/>
        <v>409.02379334777754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317.99999999999972</v>
      </c>
      <c r="BZ188" s="14">
        <f>BY188*VLOOKUP('Données projet'!$B$12,Paramètres!$A$1:$I$89,3,0)*VLOOKUP('Données projet'!$B$12,Paramètres!$A$1:$I$89,5,0)</f>
        <v>253.0007999999998</v>
      </c>
      <c r="CA188" s="14">
        <f t="shared" si="170"/>
        <v>61.228070105968683</v>
      </c>
      <c r="CB188" s="22">
        <f t="shared" si="171"/>
        <v>547.28194876789507</v>
      </c>
      <c r="CC188" s="62">
        <f t="shared" si="119"/>
        <v>837.01627209634876</v>
      </c>
      <c r="CD188" s="62">
        <f ca="1">AVERAGE(OFFSET($CC$3,0,0,'Données projet'!$E$12+1,1))-AVERAGE(OFFSET($H$3,0,0,'Données projet'!$E$12+1,1))</f>
        <v>376.47942810265266</v>
      </c>
      <c r="CE188" s="62">
        <f t="shared" si="148"/>
        <v>362.87951024071265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0.77759097890842765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0.77759097890842765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317.99999999999972</v>
      </c>
      <c r="CU188" s="18">
        <f>CT188*VLOOKUP('Données projet'!$B$13,Paramètres!$A$1:$I$89,3,0)*VLOOKUP('Données projet'!$B$13,Paramètres!$A$1:$I$89,5,0)</f>
        <v>233.1575999999998</v>
      </c>
      <c r="CV188" s="14">
        <f t="shared" si="173"/>
        <v>56.964885721091697</v>
      </c>
      <c r="CW188" s="22">
        <f t="shared" si="174"/>
        <v>505.29666263090093</v>
      </c>
      <c r="CX188" s="62">
        <f t="shared" si="122"/>
        <v>795.03098595935467</v>
      </c>
      <c r="CY188" s="62">
        <f ca="1">AVERAGE(OFFSET($CX$3,0,0,'Données projet'!$E$13+1,1))-AVERAGE(OFFSET($H$3,0,0,'Données projet'!$E$13+1,1))</f>
        <v>351.7223836693733</v>
      </c>
      <c r="CZ188" s="62">
        <f t="shared" si="150"/>
        <v>339.34942976598518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0.58139525282054427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0.58139525282054427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183.33333333333334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6.3550942286383367E-14</v>
      </c>
      <c r="P189" s="14">
        <f t="shared" si="141"/>
        <v>1.0064464192543978E-12</v>
      </c>
      <c r="Q189" s="22">
        <f t="shared" si="162"/>
        <v>1.8635787380168604E-12</v>
      </c>
      <c r="R189" s="62">
        <f t="shared" si="109"/>
        <v>289.79675810585928</v>
      </c>
      <c r="S189" s="62">
        <f ca="1">AVERAGE(OFFSET($R$3,0,0,'Données projet'!$E$9+1,1))-AVERAGE(OFFSET($H$3,0,0,'Données projet'!$E$9+1,1))</f>
        <v>409.45931633551902</v>
      </c>
      <c r="T189" s="62">
        <f t="shared" si="142"/>
        <v>375.18886653687389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0.24132836825825774</v>
      </c>
      <c r="AA189" s="23">
        <f>EXP(-LN(2)/25)*AA188+(1-EXP(-LN(2)/25))/(LN(2)/25)*Calculateur!V189*Calculateur!X189*VLOOKUP('Données projet'!$B$9,Paramètres!$A$1:$I$89,3,0)*0.475*44/12</f>
        <v>0.25555164340450842</v>
      </c>
      <c r="AB189" s="23">
        <f>EXP(-LN(2)/2)*AB188+(1-EXP(-LN(2)/2))/(LN(2)/2)*V189*Y189*VLOOKUP('Données projet'!$B$9,Paramètres!$A$1:$I$89,3,0)*0.475*44/12</f>
        <v>3.8384776069797532E-23</v>
      </c>
      <c r="AC189" s="24">
        <f t="shared" si="163"/>
        <v>0.49688001166276619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5.6843418860808015E-14</v>
      </c>
      <c r="AJ189" s="14">
        <f>AI189*VLOOKUP('Données projet'!$B$10,Paramètres!$A$1:$I$89,3,0)*VLOOKUP('Données projet'!$B$10,Paramètres!$A$1:$I$89,5,0)</f>
        <v>3.3992364478763198E-14</v>
      </c>
      <c r="AK189" s="14">
        <f t="shared" si="164"/>
        <v>5.790027782444094E-13</v>
      </c>
      <c r="AL189" s="22">
        <f t="shared" si="165"/>
        <v>1.0676332069095257E-12</v>
      </c>
      <c r="AM189" s="62">
        <f t="shared" si="113"/>
        <v>289.79675810585849</v>
      </c>
      <c r="AN189" s="62">
        <f ca="1">AVERAGE(OFFSET($AM$3,0,0,'Données projet'!$E$10+1,1))-AVERAGE(OFFSET($H$3,0,0,'Données projet'!$E$10+1,1))</f>
        <v>212.90262675152454</v>
      </c>
      <c r="AO189" s="62">
        <f t="shared" si="144"/>
        <v>366.51899340890498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4.9801624341516408</v>
      </c>
      <c r="AV189" s="23">
        <f>EXP(-LN(2)/25)*AV188+(1-EXP(-LN(2)/25))/(LN(2)/25)*Calculateur!AQ189*Calculateur!AS189*VLOOKUP('Données projet'!$B$10,Paramètres!$A$1:$I$89,3,0)*0.475*44/12</f>
        <v>4.423023832411483E-2</v>
      </c>
      <c r="AW189" s="23">
        <f>EXP(-LN(2)/2)*AW188+(1-EXP(-LN(2)/2))/(LN(2)/2)*AQ189*AT189*VLOOKUP('Données projet'!$B$10,Paramètres!$A$1:$I$89,3,0)*0.475*44/12</f>
        <v>3.6446194491575077E-21</v>
      </c>
      <c r="AX189" s="23">
        <f t="shared" si="166"/>
        <v>5.0243926724757557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5.6843418860808015E-14</v>
      </c>
      <c r="BE189" s="14">
        <f>BD189*VLOOKUP('Données projet'!$B$11,Paramètres!$A$1:$I$89,3,0)*VLOOKUP('Données projet'!$B$11,Paramètres!$A$1:$I$89,5,0)</f>
        <v>4.9658410716801891E-14</v>
      </c>
      <c r="BF189" s="14">
        <f t="shared" si="167"/>
        <v>8.0934058173791862E-13</v>
      </c>
      <c r="BG189" s="22">
        <f t="shared" si="168"/>
        <v>1.4960899118586383E-12</v>
      </c>
      <c r="BH189" s="62">
        <f t="shared" si="116"/>
        <v>289.79675810585888</v>
      </c>
      <c r="BI189" s="62">
        <f ca="1">AVERAGE(OFFSET($BH$3,0,0,'Données projet'!$E$11+1,1))-AVERAGE(OFFSET($H$3,0,0,'Données projet'!$E$11+1,1))</f>
        <v>342.02279578180605</v>
      </c>
      <c r="BJ189" s="62">
        <f t="shared" si="146"/>
        <v>409.02379334777754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317.99999999999972</v>
      </c>
      <c r="BZ189" s="14">
        <f>BY189*VLOOKUP('Données projet'!$B$12,Paramètres!$A$1:$I$89,3,0)*VLOOKUP('Données projet'!$B$12,Paramètres!$A$1:$I$89,5,0)</f>
        <v>253.0007999999998</v>
      </c>
      <c r="CA189" s="14">
        <f t="shared" si="170"/>
        <v>61.228070105968683</v>
      </c>
      <c r="CB189" s="22">
        <f t="shared" si="171"/>
        <v>547.28194876789507</v>
      </c>
      <c r="CC189" s="62">
        <f t="shared" si="119"/>
        <v>837.07870687375248</v>
      </c>
      <c r="CD189" s="62">
        <f ca="1">AVERAGE(OFFSET($CC$3,0,0,'Données projet'!$E$12+1,1))-AVERAGE(OFFSET($H$3,0,0,'Données projet'!$E$12+1,1))</f>
        <v>376.47942810265266</v>
      </c>
      <c r="CE189" s="62">
        <f t="shared" si="148"/>
        <v>362.87951024071265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0.76234289409569889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0.76234289409569889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317.99999999999972</v>
      </c>
      <c r="CU189" s="18">
        <f>CT189*VLOOKUP('Données projet'!$B$13,Paramètres!$A$1:$I$89,3,0)*VLOOKUP('Données projet'!$B$13,Paramètres!$A$1:$I$89,5,0)</f>
        <v>233.1575999999998</v>
      </c>
      <c r="CV189" s="14">
        <f t="shared" si="173"/>
        <v>56.964885721091697</v>
      </c>
      <c r="CW189" s="22">
        <f t="shared" si="174"/>
        <v>505.29666263090093</v>
      </c>
      <c r="CX189" s="62">
        <f t="shared" si="122"/>
        <v>795.09342073675839</v>
      </c>
      <c r="CY189" s="62">
        <f ca="1">AVERAGE(OFFSET($CX$3,0,0,'Données projet'!$E$13+1,1))-AVERAGE(OFFSET($H$3,0,0,'Données projet'!$E$13+1,1))</f>
        <v>351.7223836693733</v>
      </c>
      <c r="CZ189" s="62">
        <f t="shared" si="150"/>
        <v>339.34942976598518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0.56999444652882214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0.56999444652882214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183.33333333333334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6.3550942286383367E-14</v>
      </c>
      <c r="P190" s="14">
        <f t="shared" si="141"/>
        <v>1.0064464192543978E-12</v>
      </c>
      <c r="Q190" s="22">
        <f t="shared" si="162"/>
        <v>1.8635787380168604E-12</v>
      </c>
      <c r="R190" s="62">
        <f t="shared" si="109"/>
        <v>289.85810977945829</v>
      </c>
      <c r="S190" s="62">
        <f ca="1">AVERAGE(OFFSET($R$3,0,0,'Données projet'!$E$9+1,1))-AVERAGE(OFFSET($H$3,0,0,'Données projet'!$E$9+1,1))</f>
        <v>409.45931633551902</v>
      </c>
      <c r="T190" s="62">
        <f t="shared" si="142"/>
        <v>375.18886653687389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0.23659606615248358</v>
      </c>
      <c r="AA190" s="23">
        <f>EXP(-LN(2)/25)*AA189+(1-EXP(-LN(2)/25))/(LN(2)/25)*Calculateur!V190*Calculateur!X190*VLOOKUP('Données projet'!$B$9,Paramètres!$A$1:$I$89,3,0)*0.475*44/12</f>
        <v>0.24856357027673529</v>
      </c>
      <c r="AB190" s="23">
        <f>EXP(-LN(2)/2)*AB189+(1-EXP(-LN(2)/2))/(LN(2)/2)*V190*Y190*VLOOKUP('Données projet'!$B$9,Paramètres!$A$1:$I$89,3,0)*0.475*44/12</f>
        <v>2.7142135453280948E-23</v>
      </c>
      <c r="AC190" s="24">
        <f t="shared" si="163"/>
        <v>0.48515963642921889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5.6843418860808015E-14</v>
      </c>
      <c r="AJ190" s="14">
        <f>AI190*VLOOKUP('Données projet'!$B$10,Paramètres!$A$1:$I$89,3,0)*VLOOKUP('Données projet'!$B$10,Paramètres!$A$1:$I$89,5,0)</f>
        <v>3.3992364478763198E-14</v>
      </c>
      <c r="AK190" s="14">
        <f t="shared" si="164"/>
        <v>5.790027782444094E-13</v>
      </c>
      <c r="AL190" s="22">
        <f t="shared" si="165"/>
        <v>1.0676332069095257E-12</v>
      </c>
      <c r="AM190" s="62">
        <f t="shared" si="113"/>
        <v>289.85810977945749</v>
      </c>
      <c r="AN190" s="62">
        <f ca="1">AVERAGE(OFFSET($AM$3,0,0,'Données projet'!$E$10+1,1))-AVERAGE(OFFSET($H$3,0,0,'Données projet'!$E$10+1,1))</f>
        <v>212.90262675152454</v>
      </c>
      <c r="AO190" s="62">
        <f t="shared" si="144"/>
        <v>366.51899340890498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4.8825044864170737</v>
      </c>
      <c r="AV190" s="23">
        <f>EXP(-LN(2)/25)*AV189+(1-EXP(-LN(2)/25))/(LN(2)/25)*Calculateur!AQ190*Calculateur!AS190*VLOOKUP('Données projet'!$B$10,Paramètres!$A$1:$I$89,3,0)*0.475*44/12</f>
        <v>4.3020760131174764E-2</v>
      </c>
      <c r="AW190" s="23">
        <f>EXP(-LN(2)/2)*AW189+(1-EXP(-LN(2)/2))/(LN(2)/2)*AQ190*AT190*VLOOKUP('Données projet'!$B$10,Paramètres!$A$1:$I$89,3,0)*0.475*44/12</f>
        <v>2.5771351273436531E-21</v>
      </c>
      <c r="AX190" s="23">
        <f t="shared" si="166"/>
        <v>4.9255252465482489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5.6843418860808015E-14</v>
      </c>
      <c r="BE190" s="14">
        <f>BD190*VLOOKUP('Données projet'!$B$11,Paramètres!$A$1:$I$89,3,0)*VLOOKUP('Données projet'!$B$11,Paramètres!$A$1:$I$89,5,0)</f>
        <v>4.9658410716801891E-14</v>
      </c>
      <c r="BF190" s="14">
        <f t="shared" si="167"/>
        <v>8.0934058173791862E-13</v>
      </c>
      <c r="BG190" s="22">
        <f t="shared" si="168"/>
        <v>1.4960899118586383E-12</v>
      </c>
      <c r="BH190" s="62">
        <f t="shared" si="116"/>
        <v>289.85810977945789</v>
      </c>
      <c r="BI190" s="62">
        <f ca="1">AVERAGE(OFFSET($BH$3,0,0,'Données projet'!$E$11+1,1))-AVERAGE(OFFSET($H$3,0,0,'Données projet'!$E$11+1,1))</f>
        <v>342.02279578180605</v>
      </c>
      <c r="BJ190" s="62">
        <f t="shared" si="146"/>
        <v>409.02379334777754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317.99999999999972</v>
      </c>
      <c r="BZ190" s="14">
        <f>BY190*VLOOKUP('Données projet'!$B$12,Paramètres!$A$1:$I$89,3,0)*VLOOKUP('Données projet'!$B$12,Paramètres!$A$1:$I$89,5,0)</f>
        <v>253.0007999999998</v>
      </c>
      <c r="CA190" s="14">
        <f t="shared" si="170"/>
        <v>61.228070105968683</v>
      </c>
      <c r="CB190" s="22">
        <f t="shared" si="171"/>
        <v>547.28194876789507</v>
      </c>
      <c r="CC190" s="62">
        <f t="shared" si="119"/>
        <v>837.14005854735149</v>
      </c>
      <c r="CD190" s="62">
        <f ca="1">AVERAGE(OFFSET($CC$3,0,0,'Données projet'!$E$12+1,1))-AVERAGE(OFFSET($H$3,0,0,'Données projet'!$E$12+1,1))</f>
        <v>376.47942810265266</v>
      </c>
      <c r="CE190" s="62">
        <f t="shared" si="148"/>
        <v>362.87951024071265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0.74739381492573431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0.74739381492573431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317.99999999999972</v>
      </c>
      <c r="CU190" s="18">
        <f>CT190*VLOOKUP('Données projet'!$B$13,Paramètres!$A$1:$I$89,3,0)*VLOOKUP('Données projet'!$B$13,Paramètres!$A$1:$I$89,5,0)</f>
        <v>233.1575999999998</v>
      </c>
      <c r="CV190" s="14">
        <f t="shared" si="173"/>
        <v>56.964885721091697</v>
      </c>
      <c r="CW190" s="22">
        <f t="shared" si="174"/>
        <v>505.29666263090093</v>
      </c>
      <c r="CX190" s="62">
        <f t="shared" si="122"/>
        <v>795.15477241035728</v>
      </c>
      <c r="CY190" s="62">
        <f ca="1">AVERAGE(OFFSET($CX$3,0,0,'Données projet'!$E$13+1,1))-AVERAGE(OFFSET($H$3,0,0,'Données projet'!$E$13+1,1))</f>
        <v>351.7223836693733</v>
      </c>
      <c r="CZ190" s="62">
        <f t="shared" si="150"/>
        <v>339.34942976598518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0.55881720309467553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0.55881720309467553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183.33333333333334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6.3550942286383367E-14</v>
      </c>
      <c r="P191" s="14">
        <f t="shared" si="141"/>
        <v>1.0064464192543978E-12</v>
      </c>
      <c r="Q191" s="22">
        <f t="shared" si="162"/>
        <v>1.8635787380168604E-12</v>
      </c>
      <c r="R191" s="62">
        <f t="shared" si="109"/>
        <v>289.91839713868211</v>
      </c>
      <c r="S191" s="62">
        <f ca="1">AVERAGE(OFFSET($R$3,0,0,'Données projet'!$E$9+1,1))-AVERAGE(OFFSET($H$3,0,0,'Données projet'!$E$9+1,1))</f>
        <v>409.45931633551902</v>
      </c>
      <c r="T191" s="62">
        <f t="shared" si="142"/>
        <v>375.18886653687389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0.23195656160458436</v>
      </c>
      <c r="AA191" s="23">
        <f>EXP(-LN(2)/25)*AA190+(1-EXP(-LN(2)/25))/(LN(2)/25)*Calculateur!V191*Calculateur!X191*VLOOKUP('Données projet'!$B$9,Paramètres!$A$1:$I$89,3,0)*0.475*44/12</f>
        <v>0.24176658637612788</v>
      </c>
      <c r="AB191" s="23">
        <f>EXP(-LN(2)/2)*AB190+(1-EXP(-LN(2)/2))/(LN(2)/2)*V191*Y191*VLOOKUP('Données projet'!$B$9,Paramètres!$A$1:$I$89,3,0)*0.475*44/12</f>
        <v>1.9192388034898766E-23</v>
      </c>
      <c r="AC191" s="24">
        <f t="shared" si="163"/>
        <v>0.47372314798071224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5.6843418860808015E-14</v>
      </c>
      <c r="AJ191" s="14">
        <f>AI191*VLOOKUP('Données projet'!$B$10,Paramètres!$A$1:$I$89,3,0)*VLOOKUP('Données projet'!$B$10,Paramètres!$A$1:$I$89,5,0)</f>
        <v>3.3992364478763198E-14</v>
      </c>
      <c r="AK191" s="14">
        <f t="shared" si="164"/>
        <v>5.790027782444094E-13</v>
      </c>
      <c r="AL191" s="22">
        <f t="shared" si="165"/>
        <v>1.0676332069095257E-12</v>
      </c>
      <c r="AM191" s="62">
        <f t="shared" si="113"/>
        <v>289.91839713868131</v>
      </c>
      <c r="AN191" s="62">
        <f ca="1">AVERAGE(OFFSET($AM$3,0,0,'Données projet'!$E$10+1,1))-AVERAGE(OFFSET($H$3,0,0,'Données projet'!$E$10+1,1))</f>
        <v>212.90262675152454</v>
      </c>
      <c r="AO191" s="62">
        <f t="shared" si="144"/>
        <v>366.51899340890498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4.7867615514721154</v>
      </c>
      <c r="AV191" s="23">
        <f>EXP(-LN(2)/25)*AV190+(1-EXP(-LN(2)/25))/(LN(2)/25)*Calculateur!AQ191*Calculateur!AS191*VLOOKUP('Données projet'!$B$10,Paramètres!$A$1:$I$89,3,0)*0.475*44/12</f>
        <v>4.1844355183024338E-2</v>
      </c>
      <c r="AW191" s="23">
        <f>EXP(-LN(2)/2)*AW190+(1-EXP(-LN(2)/2))/(LN(2)/2)*AQ191*AT191*VLOOKUP('Données projet'!$B$10,Paramètres!$A$1:$I$89,3,0)*0.475*44/12</f>
        <v>1.8223097245787538E-21</v>
      </c>
      <c r="AX191" s="23">
        <f t="shared" si="166"/>
        <v>4.8286059066551399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5.6843418860808015E-14</v>
      </c>
      <c r="BE191" s="14">
        <f>BD191*VLOOKUP('Données projet'!$B$11,Paramètres!$A$1:$I$89,3,0)*VLOOKUP('Données projet'!$B$11,Paramètres!$A$1:$I$89,5,0)</f>
        <v>4.9658410716801891E-14</v>
      </c>
      <c r="BF191" s="14">
        <f t="shared" si="167"/>
        <v>8.0934058173791862E-13</v>
      </c>
      <c r="BG191" s="22">
        <f t="shared" si="168"/>
        <v>1.4960899118586383E-12</v>
      </c>
      <c r="BH191" s="62">
        <f t="shared" si="116"/>
        <v>289.91839713868171</v>
      </c>
      <c r="BI191" s="62">
        <f ca="1">AVERAGE(OFFSET($BH$3,0,0,'Données projet'!$E$11+1,1))-AVERAGE(OFFSET($H$3,0,0,'Données projet'!$E$11+1,1))</f>
        <v>342.02279578180605</v>
      </c>
      <c r="BJ191" s="62">
        <f t="shared" si="146"/>
        <v>409.02379334777754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317.99999999999972</v>
      </c>
      <c r="BZ191" s="14">
        <f>BY191*VLOOKUP('Données projet'!$B$12,Paramètres!$A$1:$I$89,3,0)*VLOOKUP('Données projet'!$B$12,Paramètres!$A$1:$I$89,5,0)</f>
        <v>253.0007999999998</v>
      </c>
      <c r="CA191" s="14">
        <f t="shared" si="170"/>
        <v>61.228070105968683</v>
      </c>
      <c r="CB191" s="22">
        <f t="shared" si="171"/>
        <v>547.28194876789507</v>
      </c>
      <c r="CC191" s="62">
        <f t="shared" si="119"/>
        <v>837.20034590657531</v>
      </c>
      <c r="CD191" s="62">
        <f ca="1">AVERAGE(OFFSET($CC$3,0,0,'Données projet'!$E$12+1,1))-AVERAGE(OFFSET($H$3,0,0,'Données projet'!$E$12+1,1))</f>
        <v>376.47942810265266</v>
      </c>
      <c r="CE191" s="62">
        <f t="shared" si="148"/>
        <v>362.87951024071265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0.73273787808025481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0.73273787808025481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317.99999999999972</v>
      </c>
      <c r="CU191" s="18">
        <f>CT191*VLOOKUP('Données projet'!$B$13,Paramètres!$A$1:$I$89,3,0)*VLOOKUP('Données projet'!$B$13,Paramètres!$A$1:$I$89,5,0)</f>
        <v>233.1575999999998</v>
      </c>
      <c r="CV191" s="14">
        <f t="shared" si="173"/>
        <v>56.964885721091697</v>
      </c>
      <c r="CW191" s="22">
        <f t="shared" si="174"/>
        <v>505.29666263090093</v>
      </c>
      <c r="CX191" s="62">
        <f t="shared" si="122"/>
        <v>795.2150597695811</v>
      </c>
      <c r="CY191" s="62">
        <f ca="1">AVERAGE(OFFSET($CX$3,0,0,'Données projet'!$E$13+1,1))-AVERAGE(OFFSET($H$3,0,0,'Données projet'!$E$13+1,1))</f>
        <v>351.7223836693733</v>
      </c>
      <c r="CZ191" s="62">
        <f t="shared" si="150"/>
        <v>339.34942976598518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0.54785913858682722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0.54785913858682722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183.33333333333334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6.3550942286383367E-14</v>
      </c>
      <c r="P192" s="14">
        <f t="shared" si="141"/>
        <v>1.0064464192543978E-12</v>
      </c>
      <c r="Q192" s="22">
        <f t="shared" si="162"/>
        <v>1.8635787380168604E-12</v>
      </c>
      <c r="R192" s="62">
        <f t="shared" si="109"/>
        <v>289.97763864700573</v>
      </c>
      <c r="S192" s="62">
        <f ca="1">AVERAGE(OFFSET($R$3,0,0,'Données projet'!$E$9+1,1))-AVERAGE(OFFSET($H$3,0,0,'Données projet'!$E$9+1,1))</f>
        <v>409.45931633551902</v>
      </c>
      <c r="T192" s="62">
        <f t="shared" si="142"/>
        <v>375.18886653687389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0.2274080349110511</v>
      </c>
      <c r="AA192" s="23">
        <f>EXP(-LN(2)/25)*AA191+(1-EXP(-LN(2)/25))/(LN(2)/25)*Calculateur!V192*Calculateur!X192*VLOOKUP('Données projet'!$B$9,Paramètres!$A$1:$I$89,3,0)*0.475*44/12</f>
        <v>0.23515546635772044</v>
      </c>
      <c r="AB192" s="23">
        <f>EXP(-LN(2)/2)*AB191+(1-EXP(-LN(2)/2))/(LN(2)/2)*V192*Y192*VLOOKUP('Données projet'!$B$9,Paramètres!$A$1:$I$89,3,0)*0.475*44/12</f>
        <v>1.3571067726640474E-23</v>
      </c>
      <c r="AC192" s="24">
        <f t="shared" si="163"/>
        <v>0.46256350126877155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5.6843418860808015E-14</v>
      </c>
      <c r="AJ192" s="14">
        <f>AI192*VLOOKUP('Données projet'!$B$10,Paramètres!$A$1:$I$89,3,0)*VLOOKUP('Données projet'!$B$10,Paramètres!$A$1:$I$89,5,0)</f>
        <v>3.3992364478763198E-14</v>
      </c>
      <c r="AK192" s="14">
        <f t="shared" si="164"/>
        <v>5.790027782444094E-13</v>
      </c>
      <c r="AL192" s="22">
        <f t="shared" si="165"/>
        <v>1.0676332069095257E-12</v>
      </c>
      <c r="AM192" s="62">
        <f t="shared" si="113"/>
        <v>289.97763864700494</v>
      </c>
      <c r="AN192" s="62">
        <f ca="1">AVERAGE(OFFSET($AM$3,0,0,'Données projet'!$E$10+1,1))-AVERAGE(OFFSET($H$3,0,0,'Données projet'!$E$10+1,1))</f>
        <v>212.90262675152454</v>
      </c>
      <c r="AO192" s="62">
        <f t="shared" si="144"/>
        <v>366.51899340890498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4.6928960770840034</v>
      </c>
      <c r="AV192" s="23">
        <f>EXP(-LN(2)/25)*AV191+(1-EXP(-LN(2)/25))/(LN(2)/25)*Calculateur!AQ192*Calculateur!AS192*VLOOKUP('Données projet'!$B$10,Paramètres!$A$1:$I$89,3,0)*0.475*44/12</f>
        <v>4.0700119090045533E-2</v>
      </c>
      <c r="AW192" s="23">
        <f>EXP(-LN(2)/2)*AW191+(1-EXP(-LN(2)/2))/(LN(2)/2)*AQ192*AT192*VLOOKUP('Données projet'!$B$10,Paramètres!$A$1:$I$89,3,0)*0.475*44/12</f>
        <v>1.2885675636718266E-21</v>
      </c>
      <c r="AX192" s="23">
        <f t="shared" si="166"/>
        <v>4.7335961961740489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5.6843418860808015E-14</v>
      </c>
      <c r="BE192" s="14">
        <f>BD192*VLOOKUP('Données projet'!$B$11,Paramètres!$A$1:$I$89,3,0)*VLOOKUP('Données projet'!$B$11,Paramètres!$A$1:$I$89,5,0)</f>
        <v>4.9658410716801891E-14</v>
      </c>
      <c r="BF192" s="14">
        <f t="shared" si="167"/>
        <v>8.0934058173791862E-13</v>
      </c>
      <c r="BG192" s="22">
        <f t="shared" si="168"/>
        <v>1.4960899118586383E-12</v>
      </c>
      <c r="BH192" s="62">
        <f t="shared" si="116"/>
        <v>289.97763864700534</v>
      </c>
      <c r="BI192" s="62">
        <f ca="1">AVERAGE(OFFSET($BH$3,0,0,'Données projet'!$E$11+1,1))-AVERAGE(OFFSET($H$3,0,0,'Données projet'!$E$11+1,1))</f>
        <v>342.02279578180605</v>
      </c>
      <c r="BJ192" s="62">
        <f t="shared" si="146"/>
        <v>409.02379334777754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317.99999999999972</v>
      </c>
      <c r="BZ192" s="14">
        <f>BY192*VLOOKUP('Données projet'!$B$12,Paramètres!$A$1:$I$89,3,0)*VLOOKUP('Données projet'!$B$12,Paramètres!$A$1:$I$89,5,0)</f>
        <v>253.0007999999998</v>
      </c>
      <c r="CA192" s="14">
        <f t="shared" si="170"/>
        <v>61.228070105968683</v>
      </c>
      <c r="CB192" s="22">
        <f t="shared" si="171"/>
        <v>547.28194876789507</v>
      </c>
      <c r="CC192" s="62">
        <f t="shared" si="119"/>
        <v>837.25958741489899</v>
      </c>
      <c r="CD192" s="62">
        <f ca="1">AVERAGE(OFFSET($CC$3,0,0,'Données projet'!$E$12+1,1))-AVERAGE(OFFSET($H$3,0,0,'Données projet'!$E$12+1,1))</f>
        <v>376.47942810265266</v>
      </c>
      <c r="CE192" s="62">
        <f t="shared" si="148"/>
        <v>362.87951024071265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0.71836933521707635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0.71836933521707635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317.99999999999972</v>
      </c>
      <c r="CU192" s="18">
        <f>CT192*VLOOKUP('Données projet'!$B$13,Paramètres!$A$1:$I$89,3,0)*VLOOKUP('Données projet'!$B$13,Paramètres!$A$1:$I$89,5,0)</f>
        <v>233.1575999999998</v>
      </c>
      <c r="CV192" s="14">
        <f t="shared" si="173"/>
        <v>56.964885721091697</v>
      </c>
      <c r="CW192" s="22">
        <f t="shared" si="174"/>
        <v>505.29666263090093</v>
      </c>
      <c r="CX192" s="62">
        <f t="shared" si="122"/>
        <v>795.27430127790478</v>
      </c>
      <c r="CY192" s="62">
        <f ca="1">AVERAGE(OFFSET($CX$3,0,0,'Données projet'!$E$13+1,1))-AVERAGE(OFFSET($H$3,0,0,'Données projet'!$E$13+1,1))</f>
        <v>351.7223836693733</v>
      </c>
      <c r="CZ192" s="62">
        <f t="shared" si="150"/>
        <v>339.34942976598518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0.53711595504021836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0.53711595504021836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183.33333333333334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6.3550942286383367E-14</v>
      </c>
      <c r="P193" s="14">
        <f t="shared" si="141"/>
        <v>1.0064464192543978E-12</v>
      </c>
      <c r="Q193" s="22">
        <f t="shared" si="162"/>
        <v>1.8635787380168604E-12</v>
      </c>
      <c r="R193" s="62">
        <f t="shared" si="109"/>
        <v>290.03585244760416</v>
      </c>
      <c r="S193" s="62">
        <f ca="1">AVERAGE(OFFSET($R$3,0,0,'Données projet'!$E$9+1,1))-AVERAGE(OFFSET($H$3,0,0,'Données projet'!$E$9+1,1))</f>
        <v>409.45931633551902</v>
      </c>
      <c r="T193" s="62">
        <f t="shared" si="142"/>
        <v>375.18886653687389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0.22294870205165068</v>
      </c>
      <c r="AA193" s="23">
        <f>EXP(-LN(2)/25)*AA192+(1-EXP(-LN(2)/25))/(LN(2)/25)*Calculateur!V193*Calculateur!X193*VLOOKUP('Données projet'!$B$9,Paramètres!$A$1:$I$89,3,0)*0.475*44/12</f>
        <v>0.22872512776388007</v>
      </c>
      <c r="AB193" s="23">
        <f>EXP(-LN(2)/2)*AB192+(1-EXP(-LN(2)/2))/(LN(2)/2)*V193*Y193*VLOOKUP('Données projet'!$B$9,Paramètres!$A$1:$I$89,3,0)*0.475*44/12</f>
        <v>9.596194017449383E-24</v>
      </c>
      <c r="AC193" s="24">
        <f t="shared" si="163"/>
        <v>0.45167382981553073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5.6843418860808015E-14</v>
      </c>
      <c r="AJ193" s="14">
        <f>AI193*VLOOKUP('Données projet'!$B$10,Paramètres!$A$1:$I$89,3,0)*VLOOKUP('Données projet'!$B$10,Paramètres!$A$1:$I$89,5,0)</f>
        <v>3.3992364478763198E-14</v>
      </c>
      <c r="AK193" s="14">
        <f t="shared" si="164"/>
        <v>5.790027782444094E-13</v>
      </c>
      <c r="AL193" s="22">
        <f t="shared" si="165"/>
        <v>1.0676332069095257E-12</v>
      </c>
      <c r="AM193" s="62">
        <f t="shared" si="113"/>
        <v>290.03585244760336</v>
      </c>
      <c r="AN193" s="62">
        <f ca="1">AVERAGE(OFFSET($AM$3,0,0,'Données projet'!$E$10+1,1))-AVERAGE(OFFSET($H$3,0,0,'Données projet'!$E$10+1,1))</f>
        <v>212.90262675152454</v>
      </c>
      <c r="AO193" s="62">
        <f t="shared" si="144"/>
        <v>366.51899340890498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4.6008712473963564</v>
      </c>
      <c r="AV193" s="23">
        <f>EXP(-LN(2)/25)*AV192+(1-EXP(-LN(2)/25))/(LN(2)/25)*Calculateur!AQ193*Calculateur!AS193*VLOOKUP('Données projet'!$B$10,Paramètres!$A$1:$I$89,3,0)*0.475*44/12</f>
        <v>3.9587172193202E-2</v>
      </c>
      <c r="AW193" s="23">
        <f>EXP(-LN(2)/2)*AW192+(1-EXP(-LN(2)/2))/(LN(2)/2)*AQ193*AT193*VLOOKUP('Données projet'!$B$10,Paramètres!$A$1:$I$89,3,0)*0.475*44/12</f>
        <v>9.1115486228937691E-22</v>
      </c>
      <c r="AX193" s="23">
        <f t="shared" si="166"/>
        <v>4.6404584195895584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5.6843418860808015E-14</v>
      </c>
      <c r="BE193" s="14">
        <f>BD193*VLOOKUP('Données projet'!$B$11,Paramètres!$A$1:$I$89,3,0)*VLOOKUP('Données projet'!$B$11,Paramètres!$A$1:$I$89,5,0)</f>
        <v>4.9658410716801891E-14</v>
      </c>
      <c r="BF193" s="14">
        <f t="shared" si="167"/>
        <v>8.0934058173791862E-13</v>
      </c>
      <c r="BG193" s="22">
        <f t="shared" si="168"/>
        <v>1.4960899118586383E-12</v>
      </c>
      <c r="BH193" s="62">
        <f t="shared" si="116"/>
        <v>290.03585244760376</v>
      </c>
      <c r="BI193" s="62">
        <f ca="1">AVERAGE(OFFSET($BH$3,0,0,'Données projet'!$E$11+1,1))-AVERAGE(OFFSET($H$3,0,0,'Données projet'!$E$11+1,1))</f>
        <v>342.02279578180605</v>
      </c>
      <c r="BJ193" s="62">
        <f t="shared" si="146"/>
        <v>409.02379334777754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317.99999999999972</v>
      </c>
      <c r="BZ193" s="14">
        <f>BY193*VLOOKUP('Données projet'!$B$12,Paramètres!$A$1:$I$89,3,0)*VLOOKUP('Données projet'!$B$12,Paramètres!$A$1:$I$89,5,0)</f>
        <v>253.0007999999998</v>
      </c>
      <c r="CA193" s="14">
        <f t="shared" si="170"/>
        <v>61.228070105968683</v>
      </c>
      <c r="CB193" s="22">
        <f t="shared" si="171"/>
        <v>547.28194876789507</v>
      </c>
      <c r="CC193" s="62">
        <f t="shared" si="119"/>
        <v>837.31780121549741</v>
      </c>
      <c r="CD193" s="62">
        <f ca="1">AVERAGE(OFFSET($CC$3,0,0,'Données projet'!$E$12+1,1))-AVERAGE(OFFSET($H$3,0,0,'Données projet'!$E$12+1,1))</f>
        <v>376.47942810265266</v>
      </c>
      <c r="CE193" s="62">
        <f t="shared" si="148"/>
        <v>362.87951024071265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0.70428255071549906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0.70428255071549906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317.99999999999972</v>
      </c>
      <c r="CU193" s="18">
        <f>CT193*VLOOKUP('Données projet'!$B$13,Paramètres!$A$1:$I$89,3,0)*VLOOKUP('Données projet'!$B$13,Paramètres!$A$1:$I$89,5,0)</f>
        <v>233.1575999999998</v>
      </c>
      <c r="CV193" s="14">
        <f t="shared" si="173"/>
        <v>56.964885721091697</v>
      </c>
      <c r="CW193" s="22">
        <f t="shared" si="174"/>
        <v>505.29666263090093</v>
      </c>
      <c r="CX193" s="62">
        <f t="shared" si="122"/>
        <v>795.33251507850321</v>
      </c>
      <c r="CY193" s="62">
        <f ca="1">AVERAGE(OFFSET($CX$3,0,0,'Données projet'!$E$13+1,1))-AVERAGE(OFFSET($H$3,0,0,'Données projet'!$E$13+1,1))</f>
        <v>351.7223836693733</v>
      </c>
      <c r="CZ193" s="62">
        <f t="shared" si="150"/>
        <v>339.34942976598518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0.52658343877026359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0.52658343877026359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183.33333333333334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6.3550942286383367E-14</v>
      </c>
      <c r="P194" s="14">
        <f t="shared" si="141"/>
        <v>1.0064464192543978E-12</v>
      </c>
      <c r="Q194" s="22">
        <f t="shared" si="162"/>
        <v>1.8635787380168604E-12</v>
      </c>
      <c r="R194" s="62">
        <f t="shared" si="109"/>
        <v>290.09305636890872</v>
      </c>
      <c r="S194" s="62">
        <f ca="1">AVERAGE(OFFSET($R$3,0,0,'Données projet'!$E$9+1,1))-AVERAGE(OFFSET($H$3,0,0,'Données projet'!$E$9+1,1))</f>
        <v>409.45931633551902</v>
      </c>
      <c r="T194" s="62">
        <f t="shared" si="142"/>
        <v>375.18886653687389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0.21857681398969864</v>
      </c>
      <c r="AA194" s="23">
        <f>EXP(-LN(2)/25)*AA193+(1-EXP(-LN(2)/25))/(LN(2)/25)*Calculateur!V194*Calculateur!X194*VLOOKUP('Données projet'!$B$9,Paramètres!$A$1:$I$89,3,0)*0.475*44/12</f>
        <v>0.22247062711704507</v>
      </c>
      <c r="AB194" s="23">
        <f>EXP(-LN(2)/2)*AB193+(1-EXP(-LN(2)/2))/(LN(2)/2)*V194*Y194*VLOOKUP('Données projet'!$B$9,Paramètres!$A$1:$I$89,3,0)*0.475*44/12</f>
        <v>6.785533863320237E-24</v>
      </c>
      <c r="AC194" s="24">
        <f t="shared" si="163"/>
        <v>0.44104744110674371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5.6843418860808015E-14</v>
      </c>
      <c r="AJ194" s="14">
        <f>AI194*VLOOKUP('Données projet'!$B$10,Paramètres!$A$1:$I$89,3,0)*VLOOKUP('Données projet'!$B$10,Paramètres!$A$1:$I$89,5,0)</f>
        <v>3.3992364478763198E-14</v>
      </c>
      <c r="AK194" s="14">
        <f t="shared" si="164"/>
        <v>5.790027782444094E-13</v>
      </c>
      <c r="AL194" s="22">
        <f t="shared" si="165"/>
        <v>1.0676332069095257E-12</v>
      </c>
      <c r="AM194" s="62">
        <f t="shared" si="113"/>
        <v>290.09305636890792</v>
      </c>
      <c r="AN194" s="62">
        <f ca="1">AVERAGE(OFFSET($AM$3,0,0,'Données projet'!$E$10+1,1))-AVERAGE(OFFSET($H$3,0,0,'Données projet'!$E$10+1,1))</f>
        <v>212.90262675152454</v>
      </c>
      <c r="AO194" s="62">
        <f t="shared" si="144"/>
        <v>366.51899340890498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4.5106509684892799</v>
      </c>
      <c r="AV194" s="23">
        <f>EXP(-LN(2)/25)*AV193+(1-EXP(-LN(2)/25))/(LN(2)/25)*Calculateur!AQ194*Calculateur!AS194*VLOOKUP('Données projet'!$B$10,Paramètres!$A$1:$I$89,3,0)*0.475*44/12</f>
        <v>3.8504658887779986E-2</v>
      </c>
      <c r="AW194" s="23">
        <f>EXP(-LN(2)/2)*AW193+(1-EXP(-LN(2)/2))/(LN(2)/2)*AQ194*AT194*VLOOKUP('Données projet'!$B$10,Paramètres!$A$1:$I$89,3,0)*0.475*44/12</f>
        <v>6.4428378183591328E-22</v>
      </c>
      <c r="AX194" s="23">
        <f t="shared" si="166"/>
        <v>4.5491556273770595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5.6843418860808015E-14</v>
      </c>
      <c r="BE194" s="14">
        <f>BD194*VLOOKUP('Données projet'!$B$11,Paramètres!$A$1:$I$89,3,0)*VLOOKUP('Données projet'!$B$11,Paramètres!$A$1:$I$89,5,0)</f>
        <v>4.9658410716801891E-14</v>
      </c>
      <c r="BF194" s="14">
        <f t="shared" si="167"/>
        <v>8.0934058173791862E-13</v>
      </c>
      <c r="BG194" s="22">
        <f t="shared" si="168"/>
        <v>1.4960899118586383E-12</v>
      </c>
      <c r="BH194" s="62">
        <f t="shared" si="116"/>
        <v>290.09305636890832</v>
      </c>
      <c r="BI194" s="62">
        <f ca="1">AVERAGE(OFFSET($BH$3,0,0,'Données projet'!$E$11+1,1))-AVERAGE(OFFSET($H$3,0,0,'Données projet'!$E$11+1,1))</f>
        <v>342.02279578180605</v>
      </c>
      <c r="BJ194" s="62">
        <f t="shared" si="146"/>
        <v>409.02379334777754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317.99999999999972</v>
      </c>
      <c r="BZ194" s="14">
        <f>BY194*VLOOKUP('Données projet'!$B$12,Paramètres!$A$1:$I$89,3,0)*VLOOKUP('Données projet'!$B$12,Paramètres!$A$1:$I$89,5,0)</f>
        <v>253.0007999999998</v>
      </c>
      <c r="CA194" s="14">
        <f t="shared" si="170"/>
        <v>61.228070105968683</v>
      </c>
      <c r="CB194" s="22">
        <f t="shared" si="171"/>
        <v>547.28194876789507</v>
      </c>
      <c r="CC194" s="62">
        <f t="shared" si="119"/>
        <v>837.37500513680197</v>
      </c>
      <c r="CD194" s="62">
        <f ca="1">AVERAGE(OFFSET($CC$3,0,0,'Données projet'!$E$12+1,1))-AVERAGE(OFFSET($H$3,0,0,'Données projet'!$E$12+1,1))</f>
        <v>376.47942810265266</v>
      </c>
      <c r="CE194" s="62">
        <f t="shared" si="148"/>
        <v>362.87951024071265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0.69047199946590754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0.69047199946590754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317.99999999999972</v>
      </c>
      <c r="CU194" s="18">
        <f>CT194*VLOOKUP('Données projet'!$B$13,Paramètres!$A$1:$I$89,3,0)*VLOOKUP('Données projet'!$B$13,Paramètres!$A$1:$I$89,5,0)</f>
        <v>233.1575999999998</v>
      </c>
      <c r="CV194" s="14">
        <f t="shared" si="173"/>
        <v>56.964885721091697</v>
      </c>
      <c r="CW194" s="22">
        <f t="shared" si="174"/>
        <v>505.29666263090093</v>
      </c>
      <c r="CX194" s="62">
        <f t="shared" si="122"/>
        <v>795.38971899980777</v>
      </c>
      <c r="CY194" s="62">
        <f ca="1">AVERAGE(OFFSET($CX$3,0,0,'Données projet'!$E$13+1,1))-AVERAGE(OFFSET($H$3,0,0,'Données projet'!$E$13+1,1))</f>
        <v>351.7223836693733</v>
      </c>
      <c r="CZ194" s="62">
        <f t="shared" si="150"/>
        <v>339.34942976598518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0.51625745872016204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0.51625745872016204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183.33333333333334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6.3550942286383367E-14</v>
      </c>
      <c r="P195" s="14">
        <f t="shared" si="141"/>
        <v>1.0064464192543978E-12</v>
      </c>
      <c r="Q195" s="22">
        <f t="shared" si="162"/>
        <v>1.8635787380168604E-12</v>
      </c>
      <c r="R195" s="62">
        <f t="shared" ref="R195:R203" si="191">Q195+(I195+J195)*44/12</f>
        <v>290.14926793006754</v>
      </c>
      <c r="S195" s="62">
        <f ca="1">AVERAGE(OFFSET($R$3,0,0,'Données projet'!$E$9+1,1))-AVERAGE(OFFSET($H$3,0,0,'Données projet'!$E$9+1,1))</f>
        <v>409.45931633551902</v>
      </c>
      <c r="T195" s="62">
        <f t="shared" si="142"/>
        <v>375.18886653687389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0.21429065598605304</v>
      </c>
      <c r="AA195" s="23">
        <f>EXP(-LN(2)/25)*AA194+(1-EXP(-LN(2)/25))/(LN(2)/25)*Calculateur!V195*Calculateur!X195*VLOOKUP('Données projet'!$B$9,Paramètres!$A$1:$I$89,3,0)*0.475*44/12</f>
        <v>0.21638715611930764</v>
      </c>
      <c r="AB195" s="23">
        <f>EXP(-LN(2)/2)*AB194+(1-EXP(-LN(2)/2))/(LN(2)/2)*V195*Y195*VLOOKUP('Données projet'!$B$9,Paramètres!$A$1:$I$89,3,0)*0.475*44/12</f>
        <v>4.7980970087246915E-24</v>
      </c>
      <c r="AC195" s="24">
        <f t="shared" si="163"/>
        <v>0.43067781210536071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5.6843418860808015E-14</v>
      </c>
      <c r="AJ195" s="14">
        <f>AI195*VLOOKUP('Données projet'!$B$10,Paramètres!$A$1:$I$89,3,0)*VLOOKUP('Données projet'!$B$10,Paramètres!$A$1:$I$89,5,0)</f>
        <v>3.3992364478763198E-14</v>
      </c>
      <c r="AK195" s="14">
        <f t="shared" si="164"/>
        <v>5.790027782444094E-13</v>
      </c>
      <c r="AL195" s="22">
        <f t="shared" si="165"/>
        <v>1.0676332069095257E-12</v>
      </c>
      <c r="AM195" s="62">
        <f t="shared" si="113"/>
        <v>290.14926793006674</v>
      </c>
      <c r="AN195" s="62">
        <f ca="1">AVERAGE(OFFSET($AM$3,0,0,'Données projet'!$E$10+1,1))-AVERAGE(OFFSET($H$3,0,0,'Données projet'!$E$10+1,1))</f>
        <v>212.90262675152454</v>
      </c>
      <c r="AO195" s="62">
        <f t="shared" si="144"/>
        <v>366.51899340890498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4.4221998542226348</v>
      </c>
      <c r="AV195" s="23">
        <f>EXP(-LN(2)/25)*AV194+(1-EXP(-LN(2)/25))/(LN(2)/25)*Calculateur!AQ195*Calculateur!AS195*VLOOKUP('Données projet'!$B$10,Paramètres!$A$1:$I$89,3,0)*0.475*44/12</f>
        <v>3.7451746965621632E-2</v>
      </c>
      <c r="AW195" s="23">
        <f>EXP(-LN(2)/2)*AW194+(1-EXP(-LN(2)/2))/(LN(2)/2)*AQ195*AT195*VLOOKUP('Données projet'!$B$10,Paramètres!$A$1:$I$89,3,0)*0.475*44/12</f>
        <v>4.5557743114468846E-22</v>
      </c>
      <c r="AX195" s="23">
        <f t="shared" si="166"/>
        <v>4.4596516011882565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5.6843418860808015E-14</v>
      </c>
      <c r="BE195" s="14">
        <f>BD195*VLOOKUP('Données projet'!$B$11,Paramètres!$A$1:$I$89,3,0)*VLOOKUP('Données projet'!$B$11,Paramètres!$A$1:$I$89,5,0)</f>
        <v>4.9658410716801891E-14</v>
      </c>
      <c r="BF195" s="14">
        <f t="shared" si="167"/>
        <v>8.0934058173791862E-13</v>
      </c>
      <c r="BG195" s="22">
        <f t="shared" si="168"/>
        <v>1.4960899118586383E-12</v>
      </c>
      <c r="BH195" s="62">
        <f t="shared" si="116"/>
        <v>290.14926793006714</v>
      </c>
      <c r="BI195" s="62">
        <f ca="1">AVERAGE(OFFSET($BH$3,0,0,'Données projet'!$E$11+1,1))-AVERAGE(OFFSET($H$3,0,0,'Données projet'!$E$11+1,1))</f>
        <v>342.02279578180605</v>
      </c>
      <c r="BJ195" s="62">
        <f t="shared" si="146"/>
        <v>409.02379334777754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317.99999999999972</v>
      </c>
      <c r="BZ195" s="14">
        <f>BY195*VLOOKUP('Données projet'!$B$12,Paramètres!$A$1:$I$89,3,0)*VLOOKUP('Données projet'!$B$12,Paramètres!$A$1:$I$89,5,0)</f>
        <v>253.0007999999998</v>
      </c>
      <c r="CA195" s="14">
        <f t="shared" si="170"/>
        <v>61.228070105968683</v>
      </c>
      <c r="CB195" s="22">
        <f t="shared" si="171"/>
        <v>547.28194876789507</v>
      </c>
      <c r="CC195" s="62">
        <f t="shared" si="119"/>
        <v>837.43121669796074</v>
      </c>
      <c r="CD195" s="62">
        <f ca="1">AVERAGE(OFFSET($CC$3,0,0,'Données projet'!$E$12+1,1))-AVERAGE(OFFSET($H$3,0,0,'Données projet'!$E$12+1,1))</f>
        <v>376.47942810265266</v>
      </c>
      <c r="CE195" s="62">
        <f t="shared" si="148"/>
        <v>362.87951024071265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0.67693226470271606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0.67693226470271606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317.99999999999972</v>
      </c>
      <c r="CU195" s="18">
        <f>CT195*VLOOKUP('Données projet'!$B$13,Paramètres!$A$1:$I$89,3,0)*VLOOKUP('Données projet'!$B$13,Paramètres!$A$1:$I$89,5,0)</f>
        <v>233.1575999999998</v>
      </c>
      <c r="CV195" s="14">
        <f t="shared" si="173"/>
        <v>56.964885721091697</v>
      </c>
      <c r="CW195" s="22">
        <f t="shared" si="174"/>
        <v>505.29666263090093</v>
      </c>
      <c r="CX195" s="62">
        <f t="shared" si="122"/>
        <v>795.44593056096664</v>
      </c>
      <c r="CY195" s="62">
        <f ca="1">AVERAGE(OFFSET($CX$3,0,0,'Données projet'!$E$13+1,1))-AVERAGE(OFFSET($H$3,0,0,'Données projet'!$E$13+1,1))</f>
        <v>351.7223836693733</v>
      </c>
      <c r="CZ195" s="62">
        <f t="shared" si="150"/>
        <v>339.34942976598518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0.50613396484061712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0.50613396484061712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183.33333333333334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6.3550942286383367E-14</v>
      </c>
      <c r="P196" s="14">
        <f t="shared" si="141"/>
        <v>1.0064464192543978E-12</v>
      </c>
      <c r="Q196" s="22">
        <f t="shared" si="162"/>
        <v>1.8635787380168604E-12</v>
      </c>
      <c r="R196" s="62">
        <f t="shared" si="191"/>
        <v>290.20450434631039</v>
      </c>
      <c r="S196" s="62">
        <f ca="1">AVERAGE(OFFSET($R$3,0,0,'Données projet'!$E$9+1,1))-AVERAGE(OFFSET($H$3,0,0,'Données projet'!$E$9+1,1))</f>
        <v>409.45931633551902</v>
      </c>
      <c r="T196" s="62">
        <f t="shared" si="142"/>
        <v>375.18886653687389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0.2100885469265607</v>
      </c>
      <c r="AA196" s="23">
        <f>EXP(-LN(2)/25)*AA195+(1-EXP(-LN(2)/25))/(LN(2)/25)*Calculateur!V196*Calculateur!X196*VLOOKUP('Données projet'!$B$9,Paramètres!$A$1:$I$89,3,0)*0.475*44/12</f>
        <v>0.2104700379559192</v>
      </c>
      <c r="AB196" s="23">
        <f>EXP(-LN(2)/2)*AB195+(1-EXP(-LN(2)/2))/(LN(2)/2)*V196*Y196*VLOOKUP('Données projet'!$B$9,Paramètres!$A$1:$I$89,3,0)*0.475*44/12</f>
        <v>3.3927669316601185E-24</v>
      </c>
      <c r="AC196" s="24">
        <f t="shared" si="163"/>
        <v>0.42055858488247988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5.6843418860808015E-14</v>
      </c>
      <c r="AJ196" s="14">
        <f>AI196*VLOOKUP('Données projet'!$B$10,Paramètres!$A$1:$I$89,3,0)*VLOOKUP('Données projet'!$B$10,Paramètres!$A$1:$I$89,5,0)</f>
        <v>3.3992364478763198E-14</v>
      </c>
      <c r="AK196" s="14">
        <f t="shared" si="164"/>
        <v>5.790027782444094E-13</v>
      </c>
      <c r="AL196" s="22">
        <f t="shared" si="165"/>
        <v>1.0676332069095257E-12</v>
      </c>
      <c r="AM196" s="62">
        <f t="shared" ref="AM196:AM203" si="193">AL196+(AD196+AE196)*44/12</f>
        <v>290.20450434630959</v>
      </c>
      <c r="AN196" s="62">
        <f ca="1">AVERAGE(OFFSET($AM$3,0,0,'Données projet'!$E$10+1,1))-AVERAGE(OFFSET($H$3,0,0,'Données projet'!$E$10+1,1))</f>
        <v>212.90262675152454</v>
      </c>
      <c r="AO196" s="62">
        <f t="shared" si="144"/>
        <v>366.51899340890498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4.3354832123569063</v>
      </c>
      <c r="AV196" s="23">
        <f>EXP(-LN(2)/25)*AV195+(1-EXP(-LN(2)/25))/(LN(2)/25)*Calculateur!AQ196*Calculateur!AS196*VLOOKUP('Données projet'!$B$10,Paramètres!$A$1:$I$89,3,0)*0.475*44/12</f>
        <v>3.6427626975344934E-2</v>
      </c>
      <c r="AW196" s="23">
        <f>EXP(-LN(2)/2)*AW195+(1-EXP(-LN(2)/2))/(LN(2)/2)*AQ196*AT196*VLOOKUP('Données projet'!$B$10,Paramètres!$A$1:$I$89,3,0)*0.475*44/12</f>
        <v>3.2214189091795664E-22</v>
      </c>
      <c r="AX196" s="23">
        <f t="shared" si="166"/>
        <v>4.3719108393322514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5.6843418860808015E-14</v>
      </c>
      <c r="BE196" s="14">
        <f>BD196*VLOOKUP('Données projet'!$B$11,Paramètres!$A$1:$I$89,3,0)*VLOOKUP('Données projet'!$B$11,Paramètres!$A$1:$I$89,5,0)</f>
        <v>4.9658410716801891E-14</v>
      </c>
      <c r="BF196" s="14">
        <f t="shared" si="167"/>
        <v>8.0934058173791862E-13</v>
      </c>
      <c r="BG196" s="22">
        <f t="shared" si="168"/>
        <v>1.4960899118586383E-12</v>
      </c>
      <c r="BH196" s="62">
        <f t="shared" ref="BH196:BH203" si="194">BG196+(AY196+AZ196)*44/12</f>
        <v>290.20450434630999</v>
      </c>
      <c r="BI196" s="62">
        <f ca="1">AVERAGE(OFFSET($BH$3,0,0,'Données projet'!$E$11+1,1))-AVERAGE(OFFSET($H$3,0,0,'Données projet'!$E$11+1,1))</f>
        <v>342.02279578180605</v>
      </c>
      <c r="BJ196" s="62">
        <f t="shared" si="146"/>
        <v>409.02379334777754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317.99999999999972</v>
      </c>
      <c r="BZ196" s="14">
        <f>BY196*VLOOKUP('Données projet'!$B$12,Paramètres!$A$1:$I$89,3,0)*VLOOKUP('Données projet'!$B$12,Paramètres!$A$1:$I$89,5,0)</f>
        <v>253.0007999999998</v>
      </c>
      <c r="CA196" s="14">
        <f t="shared" si="170"/>
        <v>61.228070105968683</v>
      </c>
      <c r="CB196" s="22">
        <f t="shared" si="171"/>
        <v>547.28194876789507</v>
      </c>
      <c r="CC196" s="62">
        <f t="shared" ref="CC196:CC203" si="195">CB196+(BT196+BU196)*44/12</f>
        <v>837.48645311420364</v>
      </c>
      <c r="CD196" s="62">
        <f ca="1">AVERAGE(OFFSET($CC$3,0,0,'Données projet'!$E$12+1,1))-AVERAGE(OFFSET($H$3,0,0,'Données projet'!$E$12+1,1))</f>
        <v>376.47942810265266</v>
      </c>
      <c r="CE196" s="62">
        <f t="shared" si="148"/>
        <v>362.87951024071265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0.66365803587980798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0.66365803587980798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317.99999999999972</v>
      </c>
      <c r="CU196" s="18">
        <f>CT196*VLOOKUP('Données projet'!$B$13,Paramètres!$A$1:$I$89,3,0)*VLOOKUP('Données projet'!$B$13,Paramètres!$A$1:$I$89,5,0)</f>
        <v>233.1575999999998</v>
      </c>
      <c r="CV196" s="14">
        <f t="shared" si="173"/>
        <v>56.964885721091697</v>
      </c>
      <c r="CW196" s="22">
        <f t="shared" si="174"/>
        <v>505.29666263090093</v>
      </c>
      <c r="CX196" s="62">
        <f t="shared" ref="CX196:CX203" si="196">CW196+(CO196+CP196)*44/12</f>
        <v>795.50116697720944</v>
      </c>
      <c r="CY196" s="62">
        <f ca="1">AVERAGE(OFFSET($CX$3,0,0,'Données projet'!$E$13+1,1))-AVERAGE(OFFSET($H$3,0,0,'Données projet'!$E$13+1,1))</f>
        <v>351.7223836693733</v>
      </c>
      <c r="CZ196" s="62">
        <f t="shared" si="150"/>
        <v>339.34942976598518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0.4962089865013285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0.4962089865013285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183.33333333333334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6.3550942286383367E-14</v>
      </c>
      <c r="P197" s="14">
        <f t="shared" ref="P197:P203" si="203">EXP(-1.0587+0.8836*LN(O197)+0.284)</f>
        <v>1.0064464192543978E-12</v>
      </c>
      <c r="Q197" s="22">
        <f t="shared" si="162"/>
        <v>1.8635787380168604E-12</v>
      </c>
      <c r="R197" s="62">
        <f t="shared" si="191"/>
        <v>290.25878253422161</v>
      </c>
      <c r="S197" s="62">
        <f ca="1">AVERAGE(OFFSET($R$3,0,0,'Données projet'!$E$9+1,1))-AVERAGE(OFFSET($H$3,0,0,'Données projet'!$E$9+1,1))</f>
        <v>409.45931633551902</v>
      </c>
      <c r="T197" s="62">
        <f t="shared" ref="T197:T203" si="204">$T$3</f>
        <v>375.18886653687389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0.20596883866269156</v>
      </c>
      <c r="AA197" s="23">
        <f>EXP(-LN(2)/25)*AA196+(1-EXP(-LN(2)/25))/(LN(2)/25)*Calculateur!V197*Calculateur!X197*VLOOKUP('Données projet'!$B$9,Paramètres!$A$1:$I$89,3,0)*0.475*44/12</f>
        <v>0.20471472369987634</v>
      </c>
      <c r="AB197" s="23">
        <f>EXP(-LN(2)/2)*AB196+(1-EXP(-LN(2)/2))/(LN(2)/2)*V197*Y197*VLOOKUP('Données projet'!$B$9,Paramètres!$A$1:$I$89,3,0)*0.475*44/12</f>
        <v>2.3990485043623457E-24</v>
      </c>
      <c r="AC197" s="24">
        <f t="shared" si="163"/>
        <v>0.41068356236256787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5.6843418860808015E-14</v>
      </c>
      <c r="AJ197" s="14">
        <f>AI197*VLOOKUP('Données projet'!$B$10,Paramètres!$A$1:$I$89,3,0)*VLOOKUP('Données projet'!$B$10,Paramètres!$A$1:$I$89,5,0)</f>
        <v>3.3992364478763198E-14</v>
      </c>
      <c r="AK197" s="14">
        <f t="shared" si="164"/>
        <v>5.790027782444094E-13</v>
      </c>
      <c r="AL197" s="22">
        <f t="shared" si="165"/>
        <v>1.0676332069095257E-12</v>
      </c>
      <c r="AM197" s="62">
        <f t="shared" si="193"/>
        <v>290.25878253422081</v>
      </c>
      <c r="AN197" s="62">
        <f ca="1">AVERAGE(OFFSET($AM$3,0,0,'Données projet'!$E$10+1,1))-AVERAGE(OFFSET($H$3,0,0,'Données projet'!$E$10+1,1))</f>
        <v>212.90262675152454</v>
      </c>
      <c r="AO197" s="62">
        <f t="shared" ref="AO197:AO203" si="205">$AO$3</f>
        <v>366.51899340890498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4.2504670309462353</v>
      </c>
      <c r="AV197" s="23">
        <f>EXP(-LN(2)/25)*AV196+(1-EXP(-LN(2)/25))/(LN(2)/25)*Calculateur!AQ197*Calculateur!AS197*VLOOKUP('Données projet'!$B$10,Paramètres!$A$1:$I$89,3,0)*0.475*44/12</f>
        <v>3.5431511600058481E-2</v>
      </c>
      <c r="AW197" s="23">
        <f>EXP(-LN(2)/2)*AW196+(1-EXP(-LN(2)/2))/(LN(2)/2)*AQ197*AT197*VLOOKUP('Données projet'!$B$10,Paramètres!$A$1:$I$89,3,0)*0.475*44/12</f>
        <v>2.2778871557234423E-22</v>
      </c>
      <c r="AX197" s="23">
        <f t="shared" si="166"/>
        <v>4.2858985425462937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5.6843418860808015E-14</v>
      </c>
      <c r="BE197" s="14">
        <f>BD197*VLOOKUP('Données projet'!$B$11,Paramètres!$A$1:$I$89,3,0)*VLOOKUP('Données projet'!$B$11,Paramètres!$A$1:$I$89,5,0)</f>
        <v>4.9658410716801891E-14</v>
      </c>
      <c r="BF197" s="14">
        <f t="shared" si="167"/>
        <v>8.0934058173791862E-13</v>
      </c>
      <c r="BG197" s="22">
        <f t="shared" si="168"/>
        <v>1.4960899118586383E-12</v>
      </c>
      <c r="BH197" s="62">
        <f t="shared" si="194"/>
        <v>290.25878253422121</v>
      </c>
      <c r="BI197" s="62">
        <f ca="1">AVERAGE(OFFSET($BH$3,0,0,'Données projet'!$E$11+1,1))-AVERAGE(OFFSET($H$3,0,0,'Données projet'!$E$11+1,1))</f>
        <v>342.02279578180605</v>
      </c>
      <c r="BJ197" s="62">
        <f t="shared" ref="BJ197:BJ203" si="206">$BJ$3</f>
        <v>409.02379334777754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317.99999999999972</v>
      </c>
      <c r="BZ197" s="14">
        <f>BY197*VLOOKUP('Données projet'!$B$12,Paramètres!$A$1:$I$89,3,0)*VLOOKUP('Données projet'!$B$12,Paramètres!$A$1:$I$89,5,0)</f>
        <v>253.0007999999998</v>
      </c>
      <c r="CA197" s="14">
        <f t="shared" si="170"/>
        <v>61.228070105968683</v>
      </c>
      <c r="CB197" s="22">
        <f t="shared" si="171"/>
        <v>547.28194876789507</v>
      </c>
      <c r="CC197" s="62">
        <f t="shared" si="195"/>
        <v>837.54073130211486</v>
      </c>
      <c r="CD197" s="62">
        <f ca="1">AVERAGE(OFFSET($CC$3,0,0,'Données projet'!$E$12+1,1))-AVERAGE(OFFSET($H$3,0,0,'Données projet'!$E$12+1,1))</f>
        <v>376.47942810265266</v>
      </c>
      <c r="CE197" s="62">
        <f t="shared" ref="CE197:CE203" si="207">$CE$3</f>
        <v>362.87951024071265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0.65064410658763705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0.65064410658763705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317.99999999999972</v>
      </c>
      <c r="CU197" s="18">
        <f>CT197*VLOOKUP('Données projet'!$B$13,Paramètres!$A$1:$I$89,3,0)*VLOOKUP('Données projet'!$B$13,Paramètres!$A$1:$I$89,5,0)</f>
        <v>233.1575999999998</v>
      </c>
      <c r="CV197" s="14">
        <f t="shared" si="173"/>
        <v>56.964885721091697</v>
      </c>
      <c r="CW197" s="22">
        <f t="shared" si="174"/>
        <v>505.29666263090093</v>
      </c>
      <c r="CX197" s="62">
        <f t="shared" si="196"/>
        <v>795.55544516512066</v>
      </c>
      <c r="CY197" s="62">
        <f ca="1">AVERAGE(OFFSET($CX$3,0,0,'Données projet'!$E$13+1,1))-AVERAGE(OFFSET($H$3,0,0,'Données projet'!$E$13+1,1))</f>
        <v>351.7223836693733</v>
      </c>
      <c r="CZ197" s="62">
        <f t="shared" ref="CZ197:CZ203" si="208">$CZ$3</f>
        <v>339.34942976598518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0.48647863093363425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0.48647863093363425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183.33333333333334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6.3550942286383367E-14</v>
      </c>
      <c r="P198" s="14">
        <f t="shared" si="203"/>
        <v>1.0064464192543978E-12</v>
      </c>
      <c r="Q198" s="22">
        <f t="shared" si="162"/>
        <v>1.8635787380168604E-12</v>
      </c>
      <c r="R198" s="62">
        <f t="shared" si="191"/>
        <v>290.31211911692037</v>
      </c>
      <c r="S198" s="62">
        <f ca="1">AVERAGE(OFFSET($R$3,0,0,'Données projet'!$E$9+1,1))-AVERAGE(OFFSET($H$3,0,0,'Données projet'!$E$9+1,1))</f>
        <v>409.45931633551902</v>
      </c>
      <c r="T198" s="62">
        <f t="shared" si="204"/>
        <v>375.18886653687389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0.20192991536510296</v>
      </c>
      <c r="AA198" s="23">
        <f>EXP(-LN(2)/25)*AA197+(1-EXP(-LN(2)/25))/(LN(2)/25)*Calculateur!V198*Calculateur!X198*VLOOKUP('Données projet'!$B$9,Paramètres!$A$1:$I$89,3,0)*0.475*44/12</f>
        <v>0.19911678881482378</v>
      </c>
      <c r="AB198" s="23">
        <f>EXP(-LN(2)/2)*AB197+(1-EXP(-LN(2)/2))/(LN(2)/2)*V198*Y198*VLOOKUP('Données projet'!$B$9,Paramètres!$A$1:$I$89,3,0)*0.475*44/12</f>
        <v>1.6963834658300593E-24</v>
      </c>
      <c r="AC198" s="24">
        <f t="shared" si="163"/>
        <v>0.40104670417992672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5.6843418860808015E-14</v>
      </c>
      <c r="AJ198" s="14">
        <f>AI198*VLOOKUP('Données projet'!$B$10,Paramètres!$A$1:$I$89,3,0)*VLOOKUP('Données projet'!$B$10,Paramètres!$A$1:$I$89,5,0)</f>
        <v>3.3992364478763198E-14</v>
      </c>
      <c r="AK198" s="14">
        <f t="shared" si="164"/>
        <v>5.790027782444094E-13</v>
      </c>
      <c r="AL198" s="22">
        <f t="shared" si="165"/>
        <v>1.0676332069095257E-12</v>
      </c>
      <c r="AM198" s="62">
        <f t="shared" si="193"/>
        <v>290.31211911691958</v>
      </c>
      <c r="AN198" s="62">
        <f ca="1">AVERAGE(OFFSET($AM$3,0,0,'Données projet'!$E$10+1,1))-AVERAGE(OFFSET($H$3,0,0,'Données projet'!$E$10+1,1))</f>
        <v>212.90262675152454</v>
      </c>
      <c r="AO198" s="62">
        <f t="shared" si="205"/>
        <v>366.51899340890498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4.1671179649982779</v>
      </c>
      <c r="AV198" s="23">
        <f>EXP(-LN(2)/25)*AV197+(1-EXP(-LN(2)/25))/(LN(2)/25)*Calculateur!AQ198*Calculateur!AS198*VLOOKUP('Données projet'!$B$10,Paramètres!$A$1:$I$89,3,0)*0.475*44/12</f>
        <v>3.4462635052092669E-2</v>
      </c>
      <c r="AW198" s="23">
        <f>EXP(-LN(2)/2)*AW197+(1-EXP(-LN(2)/2))/(LN(2)/2)*AQ198*AT198*VLOOKUP('Données projet'!$B$10,Paramètres!$A$1:$I$89,3,0)*0.475*44/12</f>
        <v>1.6107094545897832E-22</v>
      </c>
      <c r="AX198" s="23">
        <f t="shared" si="166"/>
        <v>4.2015806000503702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5.6843418860808015E-14</v>
      </c>
      <c r="BE198" s="14">
        <f>BD198*VLOOKUP('Données projet'!$B$11,Paramètres!$A$1:$I$89,3,0)*VLOOKUP('Données projet'!$B$11,Paramètres!$A$1:$I$89,5,0)</f>
        <v>4.9658410716801891E-14</v>
      </c>
      <c r="BF198" s="14">
        <f t="shared" si="167"/>
        <v>8.0934058173791862E-13</v>
      </c>
      <c r="BG198" s="22">
        <f t="shared" si="168"/>
        <v>1.4960899118586383E-12</v>
      </c>
      <c r="BH198" s="62">
        <f t="shared" si="194"/>
        <v>290.31211911691997</v>
      </c>
      <c r="BI198" s="62">
        <f ca="1">AVERAGE(OFFSET($BH$3,0,0,'Données projet'!$E$11+1,1))-AVERAGE(OFFSET($H$3,0,0,'Données projet'!$E$11+1,1))</f>
        <v>342.02279578180605</v>
      </c>
      <c r="BJ198" s="62">
        <f t="shared" si="206"/>
        <v>409.02379334777754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317.99999999999972</v>
      </c>
      <c r="BZ198" s="14">
        <f>BY198*VLOOKUP('Données projet'!$B$12,Paramètres!$A$1:$I$89,3,0)*VLOOKUP('Données projet'!$B$12,Paramètres!$A$1:$I$89,5,0)</f>
        <v>253.0007999999998</v>
      </c>
      <c r="CA198" s="14">
        <f t="shared" si="170"/>
        <v>61.228070105968683</v>
      </c>
      <c r="CB198" s="22">
        <f t="shared" si="171"/>
        <v>547.28194876789507</v>
      </c>
      <c r="CC198" s="62">
        <f t="shared" si="195"/>
        <v>837.59406788481351</v>
      </c>
      <c r="CD198" s="62">
        <f ca="1">AVERAGE(OFFSET($CC$3,0,0,'Données projet'!$E$12+1,1))-AVERAGE(OFFSET($H$3,0,0,'Données projet'!$E$12+1,1))</f>
        <v>376.47942810265266</v>
      </c>
      <c r="CE198" s="62">
        <f t="shared" si="207"/>
        <v>362.87951024071265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0.6378853725111725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0.6378853725111725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317.99999999999972</v>
      </c>
      <c r="CU198" s="18">
        <f>CT198*VLOOKUP('Données projet'!$B$13,Paramètres!$A$1:$I$89,3,0)*VLOOKUP('Données projet'!$B$13,Paramètres!$A$1:$I$89,5,0)</f>
        <v>233.1575999999998</v>
      </c>
      <c r="CV198" s="14">
        <f t="shared" si="173"/>
        <v>56.964885721091697</v>
      </c>
      <c r="CW198" s="22">
        <f t="shared" si="174"/>
        <v>505.29666263090093</v>
      </c>
      <c r="CX198" s="62">
        <f t="shared" si="196"/>
        <v>795.60878174781942</v>
      </c>
      <c r="CY198" s="62">
        <f ca="1">AVERAGE(OFFSET($CX$3,0,0,'Données projet'!$E$13+1,1))-AVERAGE(OFFSET($H$3,0,0,'Données projet'!$E$13+1,1))</f>
        <v>351.7223836693733</v>
      </c>
      <c r="CZ198" s="62">
        <f t="shared" si="208"/>
        <v>339.34942976598518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0.47693908170369165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0.47693908170369165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183.33333333333334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6.3550942286383367E-14</v>
      </c>
      <c r="P199" s="14">
        <f t="shared" si="203"/>
        <v>1.0064464192543978E-12</v>
      </c>
      <c r="Q199" s="22">
        <f t="shared" si="162"/>
        <v>1.8635787380168604E-12</v>
      </c>
      <c r="R199" s="62">
        <f t="shared" si="191"/>
        <v>290.36453042915207</v>
      </c>
      <c r="S199" s="62">
        <f ca="1">AVERAGE(OFFSET($R$3,0,0,'Données projet'!$E$9+1,1))-AVERAGE(OFFSET($H$3,0,0,'Données projet'!$E$9+1,1))</f>
        <v>409.45931633551902</v>
      </c>
      <c r="T199" s="62">
        <f t="shared" si="204"/>
        <v>375.18886653687389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0.19797019288988013</v>
      </c>
      <c r="AA199" s="23">
        <f>EXP(-LN(2)/25)*AA198+(1-EXP(-LN(2)/25))/(LN(2)/25)*Calculateur!V199*Calculateur!X199*VLOOKUP('Données projet'!$B$9,Paramètres!$A$1:$I$89,3,0)*0.475*44/12</f>
        <v>0.19367192975358558</v>
      </c>
      <c r="AB199" s="23">
        <f>EXP(-LN(2)/2)*AB198+(1-EXP(-LN(2)/2))/(LN(2)/2)*V199*Y199*VLOOKUP('Données projet'!$B$9,Paramètres!$A$1:$I$89,3,0)*0.475*44/12</f>
        <v>1.1995242521811729E-24</v>
      </c>
      <c r="AC199" s="24">
        <f t="shared" si="163"/>
        <v>0.39164212264346571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5.6843418860808015E-14</v>
      </c>
      <c r="AJ199" s="14">
        <f>AI199*VLOOKUP('Données projet'!$B$10,Paramètres!$A$1:$I$89,3,0)*VLOOKUP('Données projet'!$B$10,Paramètres!$A$1:$I$89,5,0)</f>
        <v>3.3992364478763198E-14</v>
      </c>
      <c r="AK199" s="14">
        <f t="shared" si="164"/>
        <v>5.790027782444094E-13</v>
      </c>
      <c r="AL199" s="22">
        <f t="shared" si="165"/>
        <v>1.0676332069095257E-12</v>
      </c>
      <c r="AM199" s="62">
        <f t="shared" si="193"/>
        <v>290.36453042915127</v>
      </c>
      <c r="AN199" s="62">
        <f ca="1">AVERAGE(OFFSET($AM$3,0,0,'Données projet'!$E$10+1,1))-AVERAGE(OFFSET($H$3,0,0,'Données projet'!$E$10+1,1))</f>
        <v>212.90262675152454</v>
      </c>
      <c r="AO199" s="62">
        <f t="shared" si="205"/>
        <v>366.51899340890498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4.0854033233956493</v>
      </c>
      <c r="AV199" s="23">
        <f>EXP(-LN(2)/25)*AV198+(1-EXP(-LN(2)/25))/(LN(2)/25)*Calculateur!AQ199*Calculateur!AS199*VLOOKUP('Données projet'!$B$10,Paramètres!$A$1:$I$89,3,0)*0.475*44/12</f>
        <v>3.3520252484281983E-2</v>
      </c>
      <c r="AW199" s="23">
        <f>EXP(-LN(2)/2)*AW198+(1-EXP(-LN(2)/2))/(LN(2)/2)*AQ199*AT199*VLOOKUP('Données projet'!$B$10,Paramètres!$A$1:$I$89,3,0)*0.475*44/12</f>
        <v>1.1389435778617211E-22</v>
      </c>
      <c r="AX199" s="23">
        <f t="shared" si="166"/>
        <v>4.118923575879931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5.6843418860808015E-14</v>
      </c>
      <c r="BE199" s="14">
        <f>BD199*VLOOKUP('Données projet'!$B$11,Paramètres!$A$1:$I$89,3,0)*VLOOKUP('Données projet'!$B$11,Paramètres!$A$1:$I$89,5,0)</f>
        <v>4.9658410716801891E-14</v>
      </c>
      <c r="BF199" s="14">
        <f t="shared" si="167"/>
        <v>8.0934058173791862E-13</v>
      </c>
      <c r="BG199" s="22">
        <f t="shared" si="168"/>
        <v>1.4960899118586383E-12</v>
      </c>
      <c r="BH199" s="62">
        <f t="shared" si="194"/>
        <v>290.36453042915167</v>
      </c>
      <c r="BI199" s="62">
        <f ca="1">AVERAGE(OFFSET($BH$3,0,0,'Données projet'!$E$11+1,1))-AVERAGE(OFFSET($H$3,0,0,'Données projet'!$E$11+1,1))</f>
        <v>342.02279578180605</v>
      </c>
      <c r="BJ199" s="62">
        <f t="shared" si="206"/>
        <v>409.02379334777754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317.99999999999972</v>
      </c>
      <c r="BZ199" s="14">
        <f>BY199*VLOOKUP('Données projet'!$B$12,Paramètres!$A$1:$I$89,3,0)*VLOOKUP('Données projet'!$B$12,Paramètres!$A$1:$I$89,5,0)</f>
        <v>253.0007999999998</v>
      </c>
      <c r="CA199" s="14">
        <f t="shared" si="170"/>
        <v>61.228070105968683</v>
      </c>
      <c r="CB199" s="22">
        <f t="shared" si="171"/>
        <v>547.28194876789507</v>
      </c>
      <c r="CC199" s="62">
        <f t="shared" si="195"/>
        <v>837.64647919704521</v>
      </c>
      <c r="CD199" s="62">
        <f ca="1">AVERAGE(OFFSET($CC$3,0,0,'Données projet'!$E$12+1,1))-AVERAGE(OFFSET($H$3,0,0,'Données projet'!$E$12+1,1))</f>
        <v>376.47942810265266</v>
      </c>
      <c r="CE199" s="62">
        <f t="shared" si="207"/>
        <v>362.87951024071265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0.62537682942788797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0.62537682942788797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317.99999999999972</v>
      </c>
      <c r="CU199" s="18">
        <f>CT199*VLOOKUP('Données projet'!$B$13,Paramètres!$A$1:$I$89,3,0)*VLOOKUP('Données projet'!$B$13,Paramètres!$A$1:$I$89,5,0)</f>
        <v>233.1575999999998</v>
      </c>
      <c r="CV199" s="14">
        <f t="shared" si="173"/>
        <v>56.964885721091697</v>
      </c>
      <c r="CW199" s="22">
        <f t="shared" si="174"/>
        <v>505.29666263090093</v>
      </c>
      <c r="CX199" s="62">
        <f t="shared" si="196"/>
        <v>795.66119306005112</v>
      </c>
      <c r="CY199" s="62">
        <f ca="1">AVERAGE(OFFSET($CX$3,0,0,'Données projet'!$E$13+1,1))-AVERAGE(OFFSET($H$3,0,0,'Données projet'!$E$13+1,1))</f>
        <v>351.7223836693733</v>
      </c>
      <c r="CZ199" s="62">
        <f t="shared" si="208"/>
        <v>339.34942976598518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0.4675865972155977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0.4675865972155977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183.33333333333334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6.3550942286383367E-14</v>
      </c>
      <c r="P200" s="14">
        <f t="shared" si="203"/>
        <v>1.0064464192543978E-12</v>
      </c>
      <c r="Q200" s="22">
        <f t="shared" si="162"/>
        <v>1.8635787380168604E-12</v>
      </c>
      <c r="R200" s="62">
        <f t="shared" si="191"/>
        <v>290.41603252229066</v>
      </c>
      <c r="S200" s="62">
        <f ca="1">AVERAGE(OFFSET($R$3,0,0,'Données projet'!$E$9+1,1))-AVERAGE(OFFSET($H$3,0,0,'Données projet'!$E$9+1,1))</f>
        <v>409.45931633551902</v>
      </c>
      <c r="T200" s="62">
        <f t="shared" si="204"/>
        <v>375.18886653687389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0.19408811815720417</v>
      </c>
      <c r="AA200" s="23">
        <f>EXP(-LN(2)/25)*AA199+(1-EXP(-LN(2)/25))/(LN(2)/25)*Calculateur!V200*Calculateur!X200*VLOOKUP('Données projet'!$B$9,Paramètres!$A$1:$I$89,3,0)*0.475*44/12</f>
        <v>0.18837596064970963</v>
      </c>
      <c r="AB200" s="23">
        <f>EXP(-LN(2)/2)*AB199+(1-EXP(-LN(2)/2))/(LN(2)/2)*V200*Y200*VLOOKUP('Données projet'!$B$9,Paramètres!$A$1:$I$89,3,0)*0.475*44/12</f>
        <v>8.4819173291502963E-25</v>
      </c>
      <c r="AC200" s="24">
        <f t="shared" si="163"/>
        <v>0.3824640788069138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5.6843418860808015E-14</v>
      </c>
      <c r="AJ200" s="14">
        <f>AI200*VLOOKUP('Données projet'!$B$10,Paramètres!$A$1:$I$89,3,0)*VLOOKUP('Données projet'!$B$10,Paramètres!$A$1:$I$89,5,0)</f>
        <v>3.3992364478763198E-14</v>
      </c>
      <c r="AK200" s="14">
        <f t="shared" si="164"/>
        <v>5.790027782444094E-13</v>
      </c>
      <c r="AL200" s="22">
        <f t="shared" si="165"/>
        <v>1.0676332069095257E-12</v>
      </c>
      <c r="AM200" s="62">
        <f t="shared" si="193"/>
        <v>290.41603252228987</v>
      </c>
      <c r="AN200" s="62">
        <f ca="1">AVERAGE(OFFSET($AM$3,0,0,'Données projet'!$E$10+1,1))-AVERAGE(OFFSET($H$3,0,0,'Données projet'!$E$10+1,1))</f>
        <v>212.90262675152454</v>
      </c>
      <c r="AO200" s="62">
        <f t="shared" si="205"/>
        <v>366.51899340890498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4.0052910560738377</v>
      </c>
      <c r="AV200" s="23">
        <f>EXP(-LN(2)/25)*AV199+(1-EXP(-LN(2)/25))/(LN(2)/25)*Calculateur!AQ200*Calculateur!AS200*VLOOKUP('Données projet'!$B$10,Paramètres!$A$1:$I$89,3,0)*0.475*44/12</f>
        <v>3.2603639417345828E-2</v>
      </c>
      <c r="AW200" s="23">
        <f>EXP(-LN(2)/2)*AW199+(1-EXP(-LN(2)/2))/(LN(2)/2)*AQ200*AT200*VLOOKUP('Données projet'!$B$10,Paramètres!$A$1:$I$89,3,0)*0.475*44/12</f>
        <v>8.053547272948916E-23</v>
      </c>
      <c r="AX200" s="23">
        <f t="shared" si="166"/>
        <v>4.0378946954911834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5.6843418860808015E-14</v>
      </c>
      <c r="BE200" s="14">
        <f>BD200*VLOOKUP('Données projet'!$B$11,Paramètres!$A$1:$I$89,3,0)*VLOOKUP('Données projet'!$B$11,Paramètres!$A$1:$I$89,5,0)</f>
        <v>4.9658410716801891E-14</v>
      </c>
      <c r="BF200" s="14">
        <f t="shared" si="167"/>
        <v>8.0934058173791862E-13</v>
      </c>
      <c r="BG200" s="22">
        <f t="shared" si="168"/>
        <v>1.4960899118586383E-12</v>
      </c>
      <c r="BH200" s="62">
        <f t="shared" si="194"/>
        <v>290.41603252229027</v>
      </c>
      <c r="BI200" s="62">
        <f ca="1">AVERAGE(OFFSET($BH$3,0,0,'Données projet'!$E$11+1,1))-AVERAGE(OFFSET($H$3,0,0,'Données projet'!$E$11+1,1))</f>
        <v>342.02279578180605</v>
      </c>
      <c r="BJ200" s="62">
        <f t="shared" si="206"/>
        <v>409.02379334777754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317.99999999999972</v>
      </c>
      <c r="BZ200" s="14">
        <f>BY200*VLOOKUP('Données projet'!$B$12,Paramètres!$A$1:$I$89,3,0)*VLOOKUP('Données projet'!$B$12,Paramètres!$A$1:$I$89,5,0)</f>
        <v>253.0007999999998</v>
      </c>
      <c r="CA200" s="14">
        <f t="shared" si="170"/>
        <v>61.228070105968683</v>
      </c>
      <c r="CB200" s="22">
        <f t="shared" si="171"/>
        <v>547.28194876789507</v>
      </c>
      <c r="CC200" s="62">
        <f t="shared" si="195"/>
        <v>837.69798129018386</v>
      </c>
      <c r="CD200" s="62">
        <f ca="1">AVERAGE(OFFSET($CC$3,0,0,'Données projet'!$E$12+1,1))-AVERAGE(OFFSET($H$3,0,0,'Données projet'!$E$12+1,1))</f>
        <v>376.47942810265266</v>
      </c>
      <c r="CE200" s="62">
        <f t="shared" si="207"/>
        <v>362.87951024071265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0.61311357124500876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0.61311357124500876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317.99999999999972</v>
      </c>
      <c r="CU200" s="18">
        <f>CT200*VLOOKUP('Données projet'!$B$13,Paramètres!$A$1:$I$89,3,0)*VLOOKUP('Données projet'!$B$13,Paramètres!$A$1:$I$89,5,0)</f>
        <v>233.1575999999998</v>
      </c>
      <c r="CV200" s="14">
        <f t="shared" si="173"/>
        <v>56.964885721091697</v>
      </c>
      <c r="CW200" s="22">
        <f t="shared" si="174"/>
        <v>505.29666263090093</v>
      </c>
      <c r="CX200" s="62">
        <f t="shared" si="196"/>
        <v>795.71269515318977</v>
      </c>
      <c r="CY200" s="62">
        <f ca="1">AVERAGE(OFFSET($CX$3,0,0,'Données projet'!$E$13+1,1))-AVERAGE(OFFSET($H$3,0,0,'Données projet'!$E$13+1,1))</f>
        <v>351.7223836693733</v>
      </c>
      <c r="CZ200" s="62">
        <f t="shared" si="208"/>
        <v>339.34942976598518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0.45841750924386299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0.45841750924386299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183.33333333333334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6.3550942286383367E-14</v>
      </c>
      <c r="P201" s="14">
        <f t="shared" si="203"/>
        <v>1.0064464192543978E-12</v>
      </c>
      <c r="Q201" s="22">
        <f t="shared" si="162"/>
        <v>1.8635787380168604E-12</v>
      </c>
      <c r="R201" s="62">
        <f t="shared" si="191"/>
        <v>290.46664116925479</v>
      </c>
      <c r="S201" s="62">
        <f ca="1">AVERAGE(OFFSET($R$3,0,0,'Données projet'!$E$9+1,1))-AVERAGE(OFFSET($H$3,0,0,'Données projet'!$E$9+1,1))</f>
        <v>409.45931633551902</v>
      </c>
      <c r="T201" s="62">
        <f t="shared" si="204"/>
        <v>375.18886653687389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0.19028216854220423</v>
      </c>
      <c r="AA201" s="23">
        <f>EXP(-LN(2)/25)*AA200+(1-EXP(-LN(2)/25))/(LN(2)/25)*Calculateur!V201*Calculateur!X201*VLOOKUP('Données projet'!$B$9,Paramètres!$A$1:$I$89,3,0)*0.475*44/12</f>
        <v>0.18322481009948208</v>
      </c>
      <c r="AB201" s="23">
        <f>EXP(-LN(2)/2)*AB200+(1-EXP(-LN(2)/2))/(LN(2)/2)*V201*Y201*VLOOKUP('Données projet'!$B$9,Paramètres!$A$1:$I$89,3,0)*0.475*44/12</f>
        <v>5.9976212609058644E-25</v>
      </c>
      <c r="AC201" s="24">
        <f t="shared" si="163"/>
        <v>0.3735069786416863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5.6843418860808015E-14</v>
      </c>
      <c r="AJ201" s="14">
        <f>AI201*VLOOKUP('Données projet'!$B$10,Paramètres!$A$1:$I$89,3,0)*VLOOKUP('Données projet'!$B$10,Paramètres!$A$1:$I$89,5,0)</f>
        <v>3.3992364478763198E-14</v>
      </c>
      <c r="AK201" s="14">
        <f t="shared" si="164"/>
        <v>5.790027782444094E-13</v>
      </c>
      <c r="AL201" s="22">
        <f t="shared" si="165"/>
        <v>1.0676332069095257E-12</v>
      </c>
      <c r="AM201" s="62">
        <f t="shared" si="193"/>
        <v>290.46664116925399</v>
      </c>
      <c r="AN201" s="62">
        <f ca="1">AVERAGE(OFFSET($AM$3,0,0,'Données projet'!$E$10+1,1))-AVERAGE(OFFSET($H$3,0,0,'Données projet'!$E$10+1,1))</f>
        <v>212.90262675152454</v>
      </c>
      <c r="AO201" s="62">
        <f t="shared" si="205"/>
        <v>366.51899340890498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3.926749741450549</v>
      </c>
      <c r="AV201" s="23">
        <f>EXP(-LN(2)/25)*AV200+(1-EXP(-LN(2)/25))/(LN(2)/25)*Calculateur!AQ201*Calculateur!AS201*VLOOKUP('Données projet'!$B$10,Paramètres!$A$1:$I$89,3,0)*0.475*44/12</f>
        <v>3.1712091182927629E-2</v>
      </c>
      <c r="AW201" s="23">
        <f>EXP(-LN(2)/2)*AW200+(1-EXP(-LN(2)/2))/(LN(2)/2)*AQ201*AT201*VLOOKUP('Données projet'!$B$10,Paramètres!$A$1:$I$89,3,0)*0.475*44/12</f>
        <v>5.6947178893086057E-23</v>
      </c>
      <c r="AX201" s="23">
        <f t="shared" si="166"/>
        <v>3.9584618326334766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5.6843418860808015E-14</v>
      </c>
      <c r="BE201" s="14">
        <f>BD201*VLOOKUP('Données projet'!$B$11,Paramètres!$A$1:$I$89,3,0)*VLOOKUP('Données projet'!$B$11,Paramètres!$A$1:$I$89,5,0)</f>
        <v>4.9658410716801891E-14</v>
      </c>
      <c r="BF201" s="14">
        <f t="shared" si="167"/>
        <v>8.0934058173791862E-13</v>
      </c>
      <c r="BG201" s="22">
        <f t="shared" si="168"/>
        <v>1.4960899118586383E-12</v>
      </c>
      <c r="BH201" s="62">
        <f t="shared" si="194"/>
        <v>290.46664116925439</v>
      </c>
      <c r="BI201" s="62">
        <f ca="1">AVERAGE(OFFSET($BH$3,0,0,'Données projet'!$E$11+1,1))-AVERAGE(OFFSET($H$3,0,0,'Données projet'!$E$11+1,1))</f>
        <v>342.02279578180605</v>
      </c>
      <c r="BJ201" s="62">
        <f t="shared" si="206"/>
        <v>409.02379334777754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317.99999999999972</v>
      </c>
      <c r="BZ201" s="14">
        <f>BY201*VLOOKUP('Données projet'!$B$12,Paramètres!$A$1:$I$89,3,0)*VLOOKUP('Données projet'!$B$12,Paramètres!$A$1:$I$89,5,0)</f>
        <v>253.0007999999998</v>
      </c>
      <c r="CA201" s="14">
        <f t="shared" si="170"/>
        <v>61.228070105968683</v>
      </c>
      <c r="CB201" s="22">
        <f t="shared" si="171"/>
        <v>547.28194876789507</v>
      </c>
      <c r="CC201" s="62">
        <f t="shared" si="195"/>
        <v>837.74858993714793</v>
      </c>
      <c r="CD201" s="62">
        <f ca="1">AVERAGE(OFFSET($CC$3,0,0,'Données projet'!$E$12+1,1))-AVERAGE(OFFSET($H$3,0,0,'Données projet'!$E$12+1,1))</f>
        <v>376.47942810265266</v>
      </c>
      <c r="CE201" s="62">
        <f t="shared" si="207"/>
        <v>362.87951024071265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0.60109078807524685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0.60109078807524685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317.99999999999972</v>
      </c>
      <c r="CU201" s="18">
        <f>CT201*VLOOKUP('Données projet'!$B$13,Paramètres!$A$1:$I$89,3,0)*VLOOKUP('Données projet'!$B$13,Paramètres!$A$1:$I$89,5,0)</f>
        <v>233.1575999999998</v>
      </c>
      <c r="CV201" s="14">
        <f t="shared" si="173"/>
        <v>56.964885721091697</v>
      </c>
      <c r="CW201" s="22">
        <f t="shared" si="174"/>
        <v>505.29666263090093</v>
      </c>
      <c r="CX201" s="62">
        <f t="shared" si="196"/>
        <v>795.76330380015384</v>
      </c>
      <c r="CY201" s="62">
        <f ca="1">AVERAGE(OFFSET($CX$3,0,0,'Données projet'!$E$13+1,1))-AVERAGE(OFFSET($H$3,0,0,'Données projet'!$E$13+1,1))</f>
        <v>351.7223836693733</v>
      </c>
      <c r="CZ201" s="62">
        <f t="shared" si="208"/>
        <v>339.34942976598518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0.44942822149466255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0.44942822149466255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183.33333333333334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6.3550942286383367E-14</v>
      </c>
      <c r="P202" s="14">
        <f t="shared" si="203"/>
        <v>1.0064464192543978E-12</v>
      </c>
      <c r="Q202" s="22">
        <f t="shared" si="162"/>
        <v>1.8635787380168604E-12</v>
      </c>
      <c r="R202" s="62">
        <f t="shared" si="191"/>
        <v>290.516371869338</v>
      </c>
      <c r="S202" s="62">
        <f ca="1">AVERAGE(OFFSET($R$3,0,0,'Données projet'!$E$9+1,1))-AVERAGE(OFFSET($H$3,0,0,'Données projet'!$E$9+1,1))</f>
        <v>409.45931633551902</v>
      </c>
      <c r="T202" s="62">
        <f t="shared" si="204"/>
        <v>375.18886653687389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0.18655085127775436</v>
      </c>
      <c r="AA202" s="23">
        <f>EXP(-LN(2)/25)*AA201+(1-EXP(-LN(2)/25))/(LN(2)/25)*Calculateur!V202*Calculateur!X202*VLOOKUP('Données projet'!$B$9,Paramètres!$A$1:$I$89,3,0)*0.475*44/12</f>
        <v>0.17821451803193775</v>
      </c>
      <c r="AB202" s="23">
        <f>EXP(-LN(2)/2)*AB201+(1-EXP(-LN(2)/2))/(LN(2)/2)*V202*Y202*VLOOKUP('Données projet'!$B$9,Paramètres!$A$1:$I$89,3,0)*0.475*44/12</f>
        <v>4.2409586645751481E-25</v>
      </c>
      <c r="AC202" s="24">
        <f t="shared" si="163"/>
        <v>0.36476536930969211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5.6843418860808015E-14</v>
      </c>
      <c r="AJ202" s="14">
        <f>AI202*VLOOKUP('Données projet'!$B$10,Paramètres!$A$1:$I$89,3,0)*VLOOKUP('Données projet'!$B$10,Paramètres!$A$1:$I$89,5,0)</f>
        <v>3.3992364478763198E-14</v>
      </c>
      <c r="AK202" s="14">
        <f t="shared" si="164"/>
        <v>5.790027782444094E-13</v>
      </c>
      <c r="AL202" s="22">
        <f t="shared" si="165"/>
        <v>1.0676332069095257E-12</v>
      </c>
      <c r="AM202" s="62">
        <f t="shared" si="193"/>
        <v>290.51637186933721</v>
      </c>
      <c r="AN202" s="62">
        <f ca="1">AVERAGE(OFFSET($AM$3,0,0,'Données projet'!$E$10+1,1))-AVERAGE(OFFSET($H$3,0,0,'Données projet'!$E$10+1,1))</f>
        <v>212.90262675152454</v>
      </c>
      <c r="AO202" s="62">
        <f t="shared" si="205"/>
        <v>366.51899340890498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3.8497485741015516</v>
      </c>
      <c r="AV202" s="23">
        <f>EXP(-LN(2)/25)*AV201+(1-EXP(-LN(2)/25))/(LN(2)/25)*Calculateur!AQ202*Calculateur!AS202*VLOOKUP('Données projet'!$B$10,Paramètres!$A$1:$I$89,3,0)*0.475*44/12</f>
        <v>3.0844922381864075E-2</v>
      </c>
      <c r="AW202" s="23">
        <f>EXP(-LN(2)/2)*AW201+(1-EXP(-LN(2)/2))/(LN(2)/2)*AQ202*AT202*VLOOKUP('Données projet'!$B$10,Paramètres!$A$1:$I$89,3,0)*0.475*44/12</f>
        <v>4.026773636474458E-23</v>
      </c>
      <c r="AX202" s="23">
        <f t="shared" si="166"/>
        <v>3.8805934964834154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5.6843418860808015E-14</v>
      </c>
      <c r="BE202" s="14">
        <f>BD202*VLOOKUP('Données projet'!$B$11,Paramètres!$A$1:$I$89,3,0)*VLOOKUP('Données projet'!$B$11,Paramètres!$A$1:$I$89,5,0)</f>
        <v>4.9658410716801891E-14</v>
      </c>
      <c r="BF202" s="14">
        <f t="shared" si="167"/>
        <v>8.0934058173791862E-13</v>
      </c>
      <c r="BG202" s="22">
        <f t="shared" si="168"/>
        <v>1.4960899118586383E-12</v>
      </c>
      <c r="BH202" s="62">
        <f t="shared" si="194"/>
        <v>290.5163718693376</v>
      </c>
      <c r="BI202" s="62">
        <f ca="1">AVERAGE(OFFSET($BH$3,0,0,'Données projet'!$E$11+1,1))-AVERAGE(OFFSET($H$3,0,0,'Données projet'!$E$11+1,1))</f>
        <v>342.02279578180605</v>
      </c>
      <c r="BJ202" s="62">
        <f t="shared" si="206"/>
        <v>409.02379334777754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317.99999999999972</v>
      </c>
      <c r="BZ202" s="14">
        <f>BY202*VLOOKUP('Données projet'!$B$12,Paramètres!$A$1:$I$89,3,0)*VLOOKUP('Données projet'!$B$12,Paramètres!$A$1:$I$89,5,0)</f>
        <v>253.0007999999998</v>
      </c>
      <c r="CA202" s="14">
        <f t="shared" si="170"/>
        <v>61.228070105968683</v>
      </c>
      <c r="CB202" s="22">
        <f t="shared" si="171"/>
        <v>547.28194876789507</v>
      </c>
      <c r="CC202" s="62">
        <f t="shared" si="195"/>
        <v>837.7983206372312</v>
      </c>
      <c r="CD202" s="62">
        <f ca="1">AVERAGE(OFFSET($CC$3,0,0,'Données projet'!$E$12+1,1))-AVERAGE(OFFSET($H$3,0,0,'Données projet'!$E$12+1,1))</f>
        <v>376.47942810265266</v>
      </c>
      <c r="CE202" s="62">
        <f t="shared" si="207"/>
        <v>362.87951024071265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0.58930376435027032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0.58930376435027032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317.99999999999972</v>
      </c>
      <c r="CU202" s="18">
        <f>CT202*VLOOKUP('Données projet'!$B$13,Paramètres!$A$1:$I$89,3,0)*VLOOKUP('Données projet'!$B$13,Paramètres!$A$1:$I$89,5,0)</f>
        <v>233.1575999999998</v>
      </c>
      <c r="CV202" s="14">
        <f t="shared" si="173"/>
        <v>56.964885721091697</v>
      </c>
      <c r="CW202" s="22">
        <f t="shared" si="174"/>
        <v>505.29666263090093</v>
      </c>
      <c r="CX202" s="62">
        <f t="shared" si="196"/>
        <v>795.81303450023711</v>
      </c>
      <c r="CY202" s="62">
        <f ca="1">AVERAGE(OFFSET($CX$3,0,0,'Données projet'!$E$13+1,1))-AVERAGE(OFFSET($H$3,0,0,'Données projet'!$E$13+1,1))</f>
        <v>351.7223836693733</v>
      </c>
      <c r="CZ202" s="62">
        <f t="shared" si="208"/>
        <v>339.34942976598518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0.44061520819529981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0.44061520819529981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183.33333333333334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6.3550942286383367E-14</v>
      </c>
      <c r="P203" s="14">
        <f t="shared" si="203"/>
        <v>1.0064464192543978E-12</v>
      </c>
      <c r="Q203" s="22">
        <f t="shared" si="162"/>
        <v>1.8635787380168604E-12</v>
      </c>
      <c r="R203" s="62">
        <f t="shared" si="191"/>
        <v>290.56523985295598</v>
      </c>
      <c r="S203" s="62">
        <f ca="1">AVERAGE(OFFSET($R$3,0,0,'Données projet'!$E$9+1,1))-AVERAGE(OFFSET($H$3,0,0,'Données projet'!$E$9+1,1))</f>
        <v>409.45931633551902</v>
      </c>
      <c r="T203" s="62">
        <f t="shared" si="204"/>
        <v>375.18886653687389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0.18289270286898157</v>
      </c>
      <c r="AA203" s="23">
        <f>EXP(-LN(2)/25)*AA202+(1-EXP(-LN(2)/25))/(LN(2)/25)*Calculateur!V203*Calculateur!X203*VLOOKUP('Données projet'!$B$9,Paramètres!$A$1:$I$89,3,0)*0.475*44/12</f>
        <v>0.17334123266446022</v>
      </c>
      <c r="AB203" s="23">
        <f>EXP(-LN(2)/2)*AB202+(1-EXP(-LN(2)/2))/(LN(2)/2)*V203*Y203*VLOOKUP('Données projet'!$B$9,Paramètres!$A$1:$I$89,3,0)*0.475*44/12</f>
        <v>2.9988106304529322E-25</v>
      </c>
      <c r="AC203" s="24">
        <f t="shared" si="163"/>
        <v>0.35623393553344179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5.6843418860808015E-14</v>
      </c>
      <c r="AJ203" s="14">
        <f>AI203*VLOOKUP('Données projet'!$B$10,Paramètres!$A$1:$I$89,3,0)*VLOOKUP('Données projet'!$B$10,Paramètres!$A$1:$I$89,5,0)</f>
        <v>3.3992364478763198E-14</v>
      </c>
      <c r="AK203" s="14">
        <f t="shared" si="164"/>
        <v>5.790027782444094E-13</v>
      </c>
      <c r="AL203" s="22">
        <f t="shared" si="165"/>
        <v>1.0676332069095257E-12</v>
      </c>
      <c r="AM203" s="62">
        <f t="shared" si="193"/>
        <v>290.56523985295519</v>
      </c>
      <c r="AN203" s="62">
        <f ca="1">AVERAGE(OFFSET($AM$3,0,0,'Données projet'!$E$10+1,1))-AVERAGE(OFFSET($H$3,0,0,'Données projet'!$E$10+1,1))</f>
        <v>212.90262675152454</v>
      </c>
      <c r="AO203" s="62">
        <f t="shared" si="205"/>
        <v>366.51899340890498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3.7742573526781933</v>
      </c>
      <c r="AV203" s="23">
        <f>EXP(-LN(2)/25)*AV202+(1-EXP(-LN(2)/25))/(LN(2)/25)*Calculateur!AQ203*Calculateur!AS203*VLOOKUP('Données projet'!$B$10,Paramètres!$A$1:$I$89,3,0)*0.475*44/12</f>
        <v>3.0001466357268032E-2</v>
      </c>
      <c r="AW203" s="23">
        <f>EXP(-LN(2)/2)*AW202+(1-EXP(-LN(2)/2))/(LN(2)/2)*AQ203*AT203*VLOOKUP('Données projet'!$B$10,Paramètres!$A$1:$I$89,3,0)*0.475*44/12</f>
        <v>2.8473589446543029E-23</v>
      </c>
      <c r="AX203" s="23">
        <f t="shared" si="166"/>
        <v>3.8042588190354611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5.6843418860808015E-14</v>
      </c>
      <c r="BE203" s="14">
        <f>BD203*VLOOKUP('Données projet'!$B$11,Paramètres!$A$1:$I$89,3,0)*VLOOKUP('Données projet'!$B$11,Paramètres!$A$1:$I$89,5,0)</f>
        <v>4.9658410716801891E-14</v>
      </c>
      <c r="BF203" s="14">
        <f t="shared" si="167"/>
        <v>8.0934058173791862E-13</v>
      </c>
      <c r="BG203" s="22">
        <f t="shared" si="168"/>
        <v>1.4960899118586383E-12</v>
      </c>
      <c r="BH203" s="62">
        <f t="shared" si="194"/>
        <v>290.56523985295559</v>
      </c>
      <c r="BI203" s="62">
        <f ca="1">AVERAGE(OFFSET($BH$3,0,0,'Données projet'!$E$11+1,1))-AVERAGE(OFFSET($H$3,0,0,'Données projet'!$E$11+1,1))</f>
        <v>342.02279578180605</v>
      </c>
      <c r="BJ203" s="62">
        <f t="shared" si="206"/>
        <v>409.02379334777754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317.99999999999972</v>
      </c>
      <c r="BZ203" s="14">
        <f>BY203*VLOOKUP('Données projet'!$B$12,Paramètres!$A$1:$I$89,3,0)*VLOOKUP('Données projet'!$B$12,Paramètres!$A$1:$I$89,5,0)</f>
        <v>253.0007999999998</v>
      </c>
      <c r="CA203" s="14">
        <f t="shared" si="170"/>
        <v>61.228070105968683</v>
      </c>
      <c r="CB203" s="22">
        <f t="shared" si="171"/>
        <v>547.28194876789507</v>
      </c>
      <c r="CC203" s="62">
        <f t="shared" si="195"/>
        <v>837.84718862084924</v>
      </c>
      <c r="CD203" s="62">
        <f ca="1">AVERAGE(OFFSET($CC$3,0,0,'Données projet'!$E$12+1,1))-AVERAGE(OFFSET($H$3,0,0,'Données projet'!$E$12+1,1))</f>
        <v>376.47942810265266</v>
      </c>
      <c r="CE203" s="62">
        <f t="shared" si="207"/>
        <v>362.87951024071265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0.57774787697116603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0.57774787697116603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317.99999999999972</v>
      </c>
      <c r="CU203" s="18">
        <f>CT203*VLOOKUP('Données projet'!$B$13,Paramètres!$A$1:$I$89,3,0)*VLOOKUP('Données projet'!$B$13,Paramètres!$A$1:$I$89,5,0)</f>
        <v>233.1575999999998</v>
      </c>
      <c r="CV203" s="14">
        <f t="shared" si="173"/>
        <v>56.964885721091697</v>
      </c>
      <c r="CW203" s="22">
        <f t="shared" si="174"/>
        <v>505.29666263090093</v>
      </c>
      <c r="CX203" s="62">
        <f t="shared" si="196"/>
        <v>795.86190248385503</v>
      </c>
      <c r="CY203" s="62">
        <f ca="1">AVERAGE(OFFSET($CX$3,0,0,'Données projet'!$E$13+1,1))-AVERAGE(OFFSET($H$3,0,0,'Données projet'!$E$13+1,1))</f>
        <v>351.7223836693733</v>
      </c>
      <c r="CZ203" s="62">
        <f t="shared" si="208"/>
        <v>339.34942976598518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0.43197501271133026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0.43197501271133026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1.3037606943669584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1.3939124009120489</v>
      </c>
      <c r="BA205" s="88">
        <f>EXP(LN('Données projet'!B88)/'Données projet'!A88)</f>
        <v>1.3467943429205997</v>
      </c>
      <c r="BV205" s="88">
        <f>EXP(LN('Données projet'!B114)/'Données projet'!A114)</f>
        <v>1.2709816152101407</v>
      </c>
      <c r="CQ205" s="88">
        <f>EXP(LN('Données projet'!B140)/'Données projet'!A140)</f>
        <v>1.2709816152101407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workbookViewId="0">
      <selection activeCell="M26" sqref="M26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douglas</v>
      </c>
      <c r="B6" s="155">
        <f>'Données projet'!D9</f>
        <v>2.9008000000000003</v>
      </c>
      <c r="C6" s="156">
        <f ca="1">IF(OR('Données projet'!B9="",'Données projet'!C9="",'Données projet'!C9=0%),0,Calculateur!S3)</f>
        <v>409.45931633551902</v>
      </c>
      <c r="D6" s="156">
        <f>IF(OR('Données projet'!B9="",'Données projet'!C9="",'Données projet'!C9=0%),0,Calculateur!T3)</f>
        <v>375.18886653687389</v>
      </c>
      <c r="E6" s="156">
        <f ca="1">MIN(C6,D6)</f>
        <v>375.18886653687389</v>
      </c>
      <c r="F6" s="156">
        <f ca="1">E6*B6</f>
        <v>1088.3478640501639</v>
      </c>
      <c r="G6" s="156">
        <f ca="1">F6*(100%-'Données projet'!$C$24)*(100%-'Données projet'!$C$25)*(100%-'Données projet'!$C$26)*(100%-'Données projet'!$C$27)</f>
        <v>979.51307764514752</v>
      </c>
      <c r="H6" s="157">
        <f>IF(OR('Données projet'!B9="",'Données projet'!C9="",'Données projet'!C9=0%),0,AVERAGE(Calculateur!$AC$3:$AC$33)*B6)</f>
        <v>25.75694366391966</v>
      </c>
      <c r="I6" s="158">
        <f>H6*(100%-'Données projet'!$C$24)*(100%-'Données projet'!$C$25)*(100%-'Données projet'!$C$26)*(100%-'Données projet'!$C$27)</f>
        <v>23.181249297527696</v>
      </c>
      <c r="J6" s="159">
        <f>IF(OR('Données projet'!B9="",'Données projet'!C9="",'Données projet'!C9=0%),0,SUM(Calculateur!$V$3:$V$33)*VLOOKUP('Données projet'!$B$9,Paramètres!$A$1:$I$89,9,0)*B6)</f>
        <v>164.88640336</v>
      </c>
      <c r="K6" s="160">
        <f>J6*(100%-'Données projet'!$C$24)*(100%-'Données projet'!$C$25)*(100%-'Données projet'!$C$26)*(100%-'Données projet'!$C$27)</f>
        <v>148.397763024</v>
      </c>
      <c r="L6" s="161">
        <f ca="1">G6+I6+K6</f>
        <v>1151.0920899666751</v>
      </c>
      <c r="M6" s="25">
        <f ca="1">L6/B6</f>
        <v>396.81883961895858</v>
      </c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pin taeda</v>
      </c>
      <c r="B7" s="163">
        <f>'Données projet'!D10</f>
        <v>2.9008000000000003</v>
      </c>
      <c r="C7" s="156">
        <f ca="1">IF(OR('Données projet'!B10="",'Données projet'!C10="",'Données projet'!C10=0%),0,Calculateur!AN3)</f>
        <v>212.90262675152454</v>
      </c>
      <c r="D7" s="156">
        <f>IF(OR('Données projet'!B10="",'Données projet'!C10="",'Données projet'!C10=0%),0,Calculateur!AO3)</f>
        <v>366.51899340890498</v>
      </c>
      <c r="E7" s="156">
        <f t="shared" ref="E7:E15" ca="1" si="0">MIN(C7,D7)</f>
        <v>212.90262675152454</v>
      </c>
      <c r="F7" s="156">
        <f t="shared" ref="F7:F15" ca="1" si="1">E7*B7</f>
        <v>617.58793968082239</v>
      </c>
      <c r="G7" s="156">
        <f ca="1">F7*(100%-'Données projet'!$C$24)*(100%-'Données projet'!$C$25)*(100%-'Données projet'!$C$26)*(100%-'Données projet'!$C$27)</f>
        <v>555.82914571274011</v>
      </c>
      <c r="H7" s="164">
        <f>IF(OR('Données projet'!B10="",'Données projet'!C10="",'Données projet'!C10=0%),0,AVERAGE(Calculateur!$AX$3:$AX$33)*B7)</f>
        <v>23.748993701196923</v>
      </c>
      <c r="I7" s="158">
        <f>H7*(100%-'Données projet'!$C$24)*(100%-'Données projet'!$C$25)*(100%-'Données projet'!$C$26)*(100%-'Données projet'!$C$27)</f>
        <v>21.374094331077231</v>
      </c>
      <c r="J7" s="159">
        <f>IF(OR('Données projet'!B10="",'Données projet'!C10="",'Données projet'!C10=0%),0,SUM(Calculateur!$AQ$3:$AQ$33)*VLOOKUP('Données projet'!$B$10,Paramètres!$A$1:$I$89,9,0)*B7)</f>
        <v>135.96049600000001</v>
      </c>
      <c r="K7" s="160">
        <f>J7*(100%-'Données projet'!$C$24)*(100%-'Données projet'!$C$25)*(100%-'Données projet'!$C$26)*(100%-'Données projet'!$C$27)</f>
        <v>122.36444640000001</v>
      </c>
      <c r="L7" s="161">
        <f t="shared" ref="L7:L15" ca="1" si="2">G7+I7+K7</f>
        <v>699.56768644381737</v>
      </c>
      <c r="M7" s="25">
        <f ca="1">L7/B7</f>
        <v>241.16370878509974</v>
      </c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Chêne rouge d'Amérique</v>
      </c>
      <c r="B8" s="163">
        <f>'Données projet'!D11</f>
        <v>1.3328000000000002</v>
      </c>
      <c r="C8" s="156">
        <f ca="1">IF(OR('Données projet'!B11="",'Données projet'!C11="",'Données projet'!C11=0%),0,Calculateur!BI3)</f>
        <v>342.02279578180605</v>
      </c>
      <c r="D8" s="156">
        <f>IF(OR('Données projet'!B11="",'Données projet'!C11="",'Données projet'!C11=0%),0,Calculateur!BJ3)</f>
        <v>409.02379334777754</v>
      </c>
      <c r="E8" s="156">
        <f t="shared" ca="1" si="0"/>
        <v>342.02279578180605</v>
      </c>
      <c r="F8" s="156">
        <f t="shared" ca="1" si="1"/>
        <v>455.84798221799116</v>
      </c>
      <c r="G8" s="156">
        <f ca="1">F8*(100%-'Données projet'!$C$24)*(100%-'Données projet'!$C$25)*(100%-'Données projet'!$C$26)*(100%-'Données projet'!$C$27)</f>
        <v>410.26318399619203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50.646400000000007</v>
      </c>
      <c r="K8" s="160">
        <f>J8*(100%-'Données projet'!$C$24)*(100%-'Données projet'!$C$25)*(100%-'Données projet'!$C$26)*(100%-'Données projet'!$C$27)</f>
        <v>45.58176000000001</v>
      </c>
      <c r="L8" s="161">
        <f t="shared" ca="1" si="2"/>
        <v>455.84494399619206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>Erable sycomore</v>
      </c>
      <c r="B9" s="163">
        <f>'Données projet'!D12</f>
        <v>1.3328000000000002</v>
      </c>
      <c r="C9" s="156">
        <f ca="1">IF(OR('Données projet'!B12="",'Données projet'!C12="",'Données projet'!C12=0%),0,Calculateur!CD3)</f>
        <v>376.47942810265266</v>
      </c>
      <c r="D9" s="156">
        <f>IF(OR('Données projet'!B12="",'Données projet'!C12="",'Données projet'!C12=0%),0,Calculateur!CE3)</f>
        <v>362.87951024071265</v>
      </c>
      <c r="E9" s="156">
        <f t="shared" ca="1" si="0"/>
        <v>362.87951024071265</v>
      </c>
      <c r="F9" s="156">
        <f t="shared" ca="1" si="1"/>
        <v>483.64581124882187</v>
      </c>
      <c r="G9" s="156">
        <f ca="1">F9*(100%-'Données projet'!$C$24)*(100%-'Données projet'!$C$25)*(100%-'Données projet'!$C$26)*(100%-'Données projet'!$C$27)</f>
        <v>435.28123012393968</v>
      </c>
      <c r="H9" s="164">
        <f>IF(OR('Données projet'!B12="",'Données projet'!C12="",'Données projet'!C12=0%),0,AVERAGE(Calculateur!$CN$3:$CN$33)*B9)</f>
        <v>3.3541885970672887</v>
      </c>
      <c r="I9" s="158">
        <f>H9*(100%-'Données projet'!$C$24)*(100%-'Données projet'!$C$25)*(100%-'Données projet'!$C$26)*(100%-'Données projet'!$C$27)</f>
        <v>3.01876973736056</v>
      </c>
      <c r="J9" s="159">
        <f>IF(OR('Données projet'!B12="",'Données projet'!C12="",'Données projet'!C12=0%),0,SUM(Calculateur!$CG$3:$CG$33)*VLOOKUP('Données projet'!$B$12,Paramètres!$A$1:$I$89,9,0)*B9)</f>
        <v>45.648400000000009</v>
      </c>
      <c r="K9" s="160">
        <f>J9*(100%-'Données projet'!$C$24)*(100%-'Données projet'!$C$25)*(100%-'Données projet'!$C$26)*(100%-'Données projet'!$C$27)</f>
        <v>41.083560000000013</v>
      </c>
      <c r="L9" s="161">
        <f t="shared" ca="1" si="2"/>
        <v>479.38355986130028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>Châtaignier</v>
      </c>
      <c r="B10" s="163">
        <f>'Données projet'!D13</f>
        <v>1.3328000000000002</v>
      </c>
      <c r="C10" s="156">
        <f ca="1">IF(OR('Données projet'!B13="",'Données projet'!C13="",'Données projet'!C13=0%),0,Calculateur!CY3)</f>
        <v>351.7223836693733</v>
      </c>
      <c r="D10" s="156">
        <f>IF(OR('Données projet'!B13="",'Données projet'!C13="",'Données projet'!C13=0%),0,Calculateur!CZ3)</f>
        <v>339.34942976598518</v>
      </c>
      <c r="E10" s="156">
        <f t="shared" ca="1" si="0"/>
        <v>339.34942976598518</v>
      </c>
      <c r="F10" s="156">
        <f t="shared" ca="1" si="1"/>
        <v>452.28491999210513</v>
      </c>
      <c r="G10" s="156">
        <f ca="1">F10*(100%-'Données projet'!$C$24)*(100%-'Données projet'!$C$25)*(100%-'Données projet'!$C$26)*(100%-'Données projet'!$C$27)</f>
        <v>407.05642799289461</v>
      </c>
      <c r="H10" s="164">
        <f>IF(OR('Données projet'!B13="",'Données projet'!C13="",'Données projet'!C13=0%),0,AVERAGE(Calculateur!$DI$3:$DI$33)*B10)</f>
        <v>2.5078857397976284</v>
      </c>
      <c r="I10" s="158">
        <f>H10*(100%-'Données projet'!$C$24)*(100%-'Données projet'!$C$25)*(100%-'Données projet'!$C$26)*(100%-'Données projet'!$C$27)</f>
        <v>2.2570971658178656</v>
      </c>
      <c r="J10" s="159">
        <f>IF(OR('Données projet'!B13="",'Données projet'!C13="",'Données projet'!C13=0%),0,SUM(Calculateur!$DB$3:$DB$33)*VLOOKUP('Données projet'!$B$13,Paramètres!$A$1:$I$89,9,0)*B10)</f>
        <v>45.648400000000009</v>
      </c>
      <c r="K10" s="160">
        <f>J10*(100%-'Données projet'!$C$24)*(100%-'Données projet'!$C$25)*(100%-'Données projet'!$C$26)*(100%-'Données projet'!$C$27)</f>
        <v>41.083560000000013</v>
      </c>
      <c r="L10" s="161">
        <f t="shared" ca="1" si="2"/>
        <v>450.39708515871251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3097.7145171899042</v>
      </c>
      <c r="G16" s="175">
        <f t="shared" ca="1" si="3"/>
        <v>2787.943065470914</v>
      </c>
      <c r="H16" s="176">
        <f t="shared" si="3"/>
        <v>55.368011701981501</v>
      </c>
      <c r="I16" s="176">
        <f t="shared" si="3"/>
        <v>49.831210531783356</v>
      </c>
      <c r="J16" s="177">
        <f t="shared" si="3"/>
        <v>442.79009936000011</v>
      </c>
      <c r="K16" s="177">
        <f t="shared" si="3"/>
        <v>398.51108942400009</v>
      </c>
      <c r="L16" s="178">
        <f t="shared" ca="1" si="3"/>
        <v>3236.2853654266974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douglas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pin taeda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Chêne rouge d'Amérique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>Erable sycomore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>Châtaignier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16" zoomScale="90" zoomScaleNormal="90" workbookViewId="0">
      <selection activeCell="U38" sqref="U38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7" t="s">
        <v>315</v>
      </c>
      <c r="I4" s="327"/>
      <c r="K4" s="324" t="s">
        <v>253</v>
      </c>
      <c r="L4" s="325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5" t="s">
        <v>310</v>
      </c>
      <c r="S7" s="336"/>
      <c r="T7" s="336"/>
      <c r="U7" s="336"/>
      <c r="V7" s="337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douglas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5558.3816029317923</v>
      </c>
      <c r="U10" s="190">
        <f>'Données projet'!D9</f>
        <v>2.9008000000000003</v>
      </c>
      <c r="V10" s="189">
        <f>U10*T10</f>
        <v>16123.753353784545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pin taeda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3479.3485022049595</v>
      </c>
      <c r="U11" s="190">
        <f>'Données projet'!D10</f>
        <v>2.9008000000000003</v>
      </c>
      <c r="V11" s="189">
        <f t="shared" ref="V11" si="0">U11*T11</f>
        <v>10092.894135196148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Chêne rouge d'Amérique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3602.0009586930719</v>
      </c>
      <c r="U12" s="190">
        <f>'Données projet'!D11</f>
        <v>1.3328000000000002</v>
      </c>
      <c r="V12" s="189">
        <f t="shared" ref="V12:V19" si="1">U12*T12</f>
        <v>4800.7468777461272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Erable sycomore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1204.9611841238441</v>
      </c>
      <c r="U13" s="190">
        <f>'Données projet'!D12</f>
        <v>1.3328000000000002</v>
      </c>
      <c r="V13" s="189">
        <f t="shared" si="1"/>
        <v>1605.9722662002596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douglas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Châtaignier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1204.9611841238441</v>
      </c>
      <c r="U14" s="190">
        <f>'Données projet'!D13</f>
        <v>1.3328000000000002</v>
      </c>
      <c r="V14" s="189">
        <f t="shared" si="1"/>
        <v>1605.9722662002596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8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8"/>
      <c r="H16" s="203"/>
      <c r="I16" s="204"/>
      <c r="J16" s="216"/>
      <c r="K16" s="225"/>
      <c r="L16" s="324" t="s">
        <v>254</v>
      </c>
      <c r="M16" s="325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8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8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8"/>
      <c r="H19" s="232" t="s">
        <v>178</v>
      </c>
      <c r="I19" s="232" t="s">
        <v>287</v>
      </c>
      <c r="J19" s="260"/>
      <c r="K19" s="183"/>
      <c r="L19" s="324" t="s">
        <v>288</v>
      </c>
      <c r="M19" s="325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8"/>
      <c r="H20" s="203">
        <v>0</v>
      </c>
      <c r="I20" s="204">
        <v>4825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890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v>890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19</v>
      </c>
      <c r="B23" s="193">
        <f>'Données projet'!D36</f>
        <v>0</v>
      </c>
      <c r="C23" s="206">
        <v>0</v>
      </c>
      <c r="D23" s="194">
        <f>B23*C23</f>
        <v>0</v>
      </c>
      <c r="E23" s="206"/>
      <c r="F23" s="261"/>
      <c r="H23" s="203">
        <v>3</v>
      </c>
      <c r="I23" s="204">
        <v>890</v>
      </c>
      <c r="K23" s="225"/>
      <c r="L23" s="326" t="s">
        <v>260</v>
      </c>
      <c r="M23" s="326"/>
      <c r="N23" s="326"/>
      <c r="O23" s="25"/>
      <c r="P23" s="25"/>
      <c r="Q23" s="265"/>
      <c r="R23" s="25"/>
      <c r="S23" s="185" t="s">
        <v>264</v>
      </c>
      <c r="T23" s="34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-51345.038265784591</v>
      </c>
      <c r="U23" s="340"/>
      <c r="V23" s="340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21</v>
      </c>
      <c r="B24" s="193">
        <f>'Données projet'!D37</f>
        <v>64.58</v>
      </c>
      <c r="C24" s="206">
        <v>10</v>
      </c>
      <c r="D24" s="194">
        <f t="shared" ref="D24:D42" si="2">B24*C24</f>
        <v>645.79999999999995</v>
      </c>
      <c r="E24" s="206"/>
      <c r="F24" s="264"/>
      <c r="H24" s="203">
        <v>4</v>
      </c>
      <c r="I24" s="204">
        <v>890</v>
      </c>
      <c r="K24" s="225"/>
      <c r="O24" s="25"/>
      <c r="P24" s="25"/>
      <c r="Q24" s="265"/>
      <c r="R24" s="25"/>
      <c r="S24" s="185" t="s">
        <v>261</v>
      </c>
      <c r="T24" s="341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1"/>
      <c r="V24" s="341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28</v>
      </c>
      <c r="B25" s="193">
        <f>'Données projet'!D38</f>
        <v>67.61</v>
      </c>
      <c r="C25" s="206">
        <v>20</v>
      </c>
      <c r="D25" s="194">
        <f t="shared" si="2"/>
        <v>1352.2</v>
      </c>
      <c r="E25" s="206"/>
      <c r="F25" s="264"/>
      <c r="G25" s="1"/>
      <c r="H25" s="203">
        <v>5</v>
      </c>
      <c r="I25" s="204">
        <v>890</v>
      </c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2">
        <f ca="1">T23-T24</f>
        <v>-51345.038265784591</v>
      </c>
      <c r="U25" s="342"/>
      <c r="V25" s="342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35</v>
      </c>
      <c r="B26" s="193">
        <f>'Données projet'!D39</f>
        <v>86.68</v>
      </c>
      <c r="C26" s="206">
        <v>30</v>
      </c>
      <c r="D26" s="194">
        <f t="shared" si="2"/>
        <v>2600.4</v>
      </c>
      <c r="E26" s="206"/>
      <c r="F26" s="264"/>
      <c r="G26" s="259"/>
      <c r="H26" s="203"/>
      <c r="I26" s="204"/>
      <c r="K26" s="225"/>
      <c r="L26" s="329" t="s">
        <v>258</v>
      </c>
      <c r="M26" s="330"/>
      <c r="N26" s="330"/>
      <c r="O26" s="330"/>
      <c r="P26" s="331"/>
      <c r="Q26" s="265"/>
      <c r="R26" s="25"/>
      <c r="S26" s="198" t="s">
        <v>265</v>
      </c>
      <c r="T26" s="339" t="str">
        <f ca="1">IF(T25&lt;0,"Votre projet est additionnel","Votre projet n'est pas additionnel")</f>
        <v>Votre projet est additionnel</v>
      </c>
      <c r="U26" s="339"/>
      <c r="V26" s="339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42</v>
      </c>
      <c r="B27" s="193">
        <f>'Données projet'!D40</f>
        <v>99.98</v>
      </c>
      <c r="C27" s="206">
        <v>40</v>
      </c>
      <c r="D27" s="194">
        <f t="shared" si="2"/>
        <v>3999.2000000000003</v>
      </c>
      <c r="E27" s="206"/>
      <c r="F27" s="264"/>
      <c r="G27" s="259"/>
      <c r="H27" s="203"/>
      <c r="I27" s="204"/>
      <c r="K27" s="225"/>
      <c r="L27" s="332"/>
      <c r="M27" s="333"/>
      <c r="N27" s="333"/>
      <c r="O27" s="333"/>
      <c r="P27" s="334"/>
      <c r="Q27" s="265"/>
      <c r="R27" s="25"/>
      <c r="S27" s="338" t="s">
        <v>267</v>
      </c>
      <c r="T27" s="338"/>
      <c r="U27" s="338"/>
      <c r="V27" s="338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49</v>
      </c>
      <c r="B28" s="193">
        <f>'Données projet'!D41</f>
        <v>112.61</v>
      </c>
      <c r="C28" s="206">
        <v>50</v>
      </c>
      <c r="D28" s="194">
        <f t="shared" si="2"/>
        <v>5630.5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56</v>
      </c>
      <c r="B29" s="193">
        <f>'Données projet'!D42</f>
        <v>94.57</v>
      </c>
      <c r="C29" s="206">
        <v>60</v>
      </c>
      <c r="D29" s="194">
        <f t="shared" si="2"/>
        <v>5674.2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63</v>
      </c>
      <c r="B30" s="193">
        <f>'Données projet'!D43</f>
        <v>99.49</v>
      </c>
      <c r="C30" s="206">
        <v>70</v>
      </c>
      <c r="D30" s="194">
        <f t="shared" si="2"/>
        <v>6964.2999999999993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69</v>
      </c>
      <c r="B31" s="193">
        <f>'Données projet'!D44</f>
        <v>0</v>
      </c>
      <c r="C31" s="206">
        <v>0</v>
      </c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70</v>
      </c>
      <c r="B32" s="193">
        <f>'Données projet'!D45</f>
        <v>586.05999999999995</v>
      </c>
      <c r="C32" s="206">
        <v>80</v>
      </c>
      <c r="D32" s="194">
        <f t="shared" si="2"/>
        <v>46884.799999999996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pin taeda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13</v>
      </c>
      <c r="B54" s="193">
        <f>'Données projet'!D62</f>
        <v>15</v>
      </c>
      <c r="C54" s="292">
        <v>10</v>
      </c>
      <c r="D54" s="191">
        <f>B54*C54</f>
        <v>150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19</v>
      </c>
      <c r="B55" s="193">
        <f>'Données projet'!D63</f>
        <v>40</v>
      </c>
      <c r="C55" s="292">
        <v>20</v>
      </c>
      <c r="D55" s="191">
        <f t="shared" ref="D55:D73" si="4">B55*C55</f>
        <v>800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25</v>
      </c>
      <c r="B56" s="193">
        <f>'Données projet'!D64</f>
        <v>54</v>
      </c>
      <c r="C56" s="292">
        <v>30</v>
      </c>
      <c r="D56" s="191">
        <f t="shared" si="4"/>
        <v>1620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30</v>
      </c>
      <c r="B57" s="193">
        <f>'Données projet'!D65</f>
        <v>0</v>
      </c>
      <c r="C57" s="292">
        <v>0</v>
      </c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38</v>
      </c>
      <c r="B58" s="193">
        <f>'Données projet'!D66</f>
        <v>338</v>
      </c>
      <c r="C58" s="292">
        <v>45</v>
      </c>
      <c r="D58" s="191">
        <f t="shared" si="4"/>
        <v>15210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92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92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str">
        <f>IF(O71+1&lt;=MIN('Données projet'!$E$9:$E$18),O71+1,"STOP")</f>
        <v>STOP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Chêne rouge d'Amérique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15</v>
      </c>
      <c r="B85" s="193">
        <f>'Données projet'!D88</f>
        <v>21</v>
      </c>
      <c r="C85" s="204">
        <v>8</v>
      </c>
      <c r="D85" s="191">
        <f>B85*C85</f>
        <v>168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20</v>
      </c>
      <c r="B86" s="193">
        <f>'Données projet'!D89</f>
        <v>43</v>
      </c>
      <c r="C86" s="204">
        <v>10</v>
      </c>
      <c r="D86" s="191">
        <f t="shared" ref="D86:D104" si="6">B86*C86</f>
        <v>430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25</v>
      </c>
      <c r="B87" s="193">
        <f>'Données projet'!D90</f>
        <v>44</v>
      </c>
      <c r="C87" s="204">
        <v>15</v>
      </c>
      <c r="D87" s="191">
        <f t="shared" si="6"/>
        <v>660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30</v>
      </c>
      <c r="B88" s="193">
        <f>'Données projet'!D91</f>
        <v>44</v>
      </c>
      <c r="C88" s="204">
        <v>25</v>
      </c>
      <c r="D88" s="191">
        <f t="shared" si="6"/>
        <v>1100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35</v>
      </c>
      <c r="B89" s="193">
        <f>'Données projet'!D92</f>
        <v>42</v>
      </c>
      <c r="C89" s="204">
        <v>25</v>
      </c>
      <c r="D89" s="191">
        <f t="shared" si="6"/>
        <v>1050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40</v>
      </c>
      <c r="B90" s="193">
        <f>'Données projet'!D93</f>
        <v>39</v>
      </c>
      <c r="C90" s="204">
        <v>35</v>
      </c>
      <c r="D90" s="191">
        <f t="shared" si="6"/>
        <v>1365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45</v>
      </c>
      <c r="B91" s="193">
        <f>'Données projet'!D94</f>
        <v>36</v>
      </c>
      <c r="C91" s="204">
        <v>40</v>
      </c>
      <c r="D91" s="191">
        <f t="shared" si="6"/>
        <v>1440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50</v>
      </c>
      <c r="B92" s="193">
        <f>'Données projet'!D95</f>
        <v>33</v>
      </c>
      <c r="C92" s="204">
        <v>50</v>
      </c>
      <c r="D92" s="191">
        <f t="shared" si="6"/>
        <v>1650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55</v>
      </c>
      <c r="B93" s="193">
        <f>'Données projet'!D96</f>
        <v>29</v>
      </c>
      <c r="C93" s="204">
        <v>50</v>
      </c>
      <c r="D93" s="191">
        <f t="shared" si="6"/>
        <v>1450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60</v>
      </c>
      <c r="B94" s="193">
        <f>'Données projet'!D97</f>
        <v>26</v>
      </c>
      <c r="C94" s="204">
        <v>80</v>
      </c>
      <c r="D94" s="191">
        <f t="shared" si="6"/>
        <v>2080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65</v>
      </c>
      <c r="B95" s="193">
        <f>'Données projet'!D98</f>
        <v>23</v>
      </c>
      <c r="C95" s="204">
        <v>80</v>
      </c>
      <c r="D95" s="191">
        <f t="shared" si="6"/>
        <v>1840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70</v>
      </c>
      <c r="B96" s="193">
        <f>'Données projet'!D99</f>
        <v>249</v>
      </c>
      <c r="C96" s="204">
        <v>140</v>
      </c>
      <c r="D96" s="191">
        <f t="shared" si="6"/>
        <v>34860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>Erable sycomore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10</v>
      </c>
      <c r="B116" s="193">
        <f>'Données projet'!D114</f>
        <v>0</v>
      </c>
      <c r="C116" s="204">
        <v>0</v>
      </c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15</v>
      </c>
      <c r="B117" s="193">
        <f>'Données projet'!D115</f>
        <v>32</v>
      </c>
      <c r="C117" s="204">
        <v>8</v>
      </c>
      <c r="D117" s="191">
        <f t="shared" ref="D117:D135" si="8">B117*C117</f>
        <v>256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20</v>
      </c>
      <c r="B118" s="193">
        <f>'Données projet'!D116</f>
        <v>35</v>
      </c>
      <c r="C118" s="204">
        <v>10</v>
      </c>
      <c r="D118" s="191">
        <f t="shared" si="8"/>
        <v>350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25</v>
      </c>
      <c r="B119" s="193">
        <f>'Données projet'!D117</f>
        <v>35</v>
      </c>
      <c r="C119" s="204">
        <v>10</v>
      </c>
      <c r="D119" s="191">
        <f t="shared" si="8"/>
        <v>350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30</v>
      </c>
      <c r="B120" s="193">
        <f>'Données projet'!D118</f>
        <v>35</v>
      </c>
      <c r="C120" s="204">
        <v>20</v>
      </c>
      <c r="D120" s="191">
        <f t="shared" si="8"/>
        <v>700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35</v>
      </c>
      <c r="B121" s="193">
        <f>'Données projet'!D119</f>
        <v>35</v>
      </c>
      <c r="C121" s="204">
        <v>20</v>
      </c>
      <c r="D121" s="191">
        <f t="shared" si="8"/>
        <v>700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40</v>
      </c>
      <c r="B122" s="193">
        <f>'Données projet'!D120</f>
        <v>35</v>
      </c>
      <c r="C122" s="204">
        <v>20</v>
      </c>
      <c r="D122" s="191">
        <f t="shared" si="8"/>
        <v>700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45</v>
      </c>
      <c r="B123" s="193">
        <f>'Données projet'!D121</f>
        <v>24</v>
      </c>
      <c r="C123" s="204">
        <v>30</v>
      </c>
      <c r="D123" s="191">
        <f t="shared" si="8"/>
        <v>720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50</v>
      </c>
      <c r="B124" s="193">
        <f>'Données projet'!D122</f>
        <v>19</v>
      </c>
      <c r="C124" s="204">
        <v>30</v>
      </c>
      <c r="D124" s="191">
        <f t="shared" si="8"/>
        <v>570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55</v>
      </c>
      <c r="B125" s="193">
        <f>'Données projet'!D123</f>
        <v>16</v>
      </c>
      <c r="C125" s="204">
        <v>30</v>
      </c>
      <c r="D125" s="191">
        <f t="shared" si="8"/>
        <v>480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60</v>
      </c>
      <c r="B126" s="193">
        <f>'Données projet'!D124</f>
        <v>14</v>
      </c>
      <c r="C126" s="204">
        <v>40</v>
      </c>
      <c r="D126" s="191">
        <f t="shared" si="8"/>
        <v>560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65</v>
      </c>
      <c r="B127" s="193">
        <f>'Données projet'!D125</f>
        <v>13</v>
      </c>
      <c r="C127" s="204">
        <v>40</v>
      </c>
      <c r="D127" s="191">
        <f t="shared" si="8"/>
        <v>520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70</v>
      </c>
      <c r="B128" s="193">
        <f>'Données projet'!D126</f>
        <v>13</v>
      </c>
      <c r="C128" s="204">
        <v>50</v>
      </c>
      <c r="D128" s="191">
        <f t="shared" si="8"/>
        <v>650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75</v>
      </c>
      <c r="B129" s="193">
        <f>'Données projet'!D127</f>
        <v>12</v>
      </c>
      <c r="C129" s="204">
        <v>60</v>
      </c>
      <c r="D129" s="191">
        <f t="shared" si="8"/>
        <v>720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80</v>
      </c>
      <c r="B130" s="193">
        <f>'Données projet'!D128</f>
        <v>11</v>
      </c>
      <c r="C130" s="204">
        <v>70</v>
      </c>
      <c r="D130" s="191">
        <f t="shared" si="8"/>
        <v>770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>Châtaignier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10</v>
      </c>
      <c r="B147" s="187">
        <f>'Données projet'!D140</f>
        <v>0</v>
      </c>
      <c r="C147" s="204">
        <v>0</v>
      </c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15</v>
      </c>
      <c r="B148" s="187">
        <f>'Données projet'!D141</f>
        <v>32</v>
      </c>
      <c r="C148" s="204">
        <v>8</v>
      </c>
      <c r="D148" s="194">
        <f t="shared" ref="D148:D166" si="10">B148*C148</f>
        <v>256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20</v>
      </c>
      <c r="B149" s="187">
        <f>'Données projet'!D142</f>
        <v>35</v>
      </c>
      <c r="C149" s="204">
        <v>10</v>
      </c>
      <c r="D149" s="194">
        <f t="shared" si="10"/>
        <v>350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25</v>
      </c>
      <c r="B150" s="187">
        <f>'Données projet'!D143</f>
        <v>35</v>
      </c>
      <c r="C150" s="204">
        <v>10</v>
      </c>
      <c r="D150" s="194">
        <f t="shared" si="10"/>
        <v>350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30</v>
      </c>
      <c r="B151" s="187">
        <f>'Données projet'!D144</f>
        <v>35</v>
      </c>
      <c r="C151" s="204">
        <v>20</v>
      </c>
      <c r="D151" s="194">
        <f t="shared" si="10"/>
        <v>700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35</v>
      </c>
      <c r="B152" s="187">
        <f>'Données projet'!D145</f>
        <v>35</v>
      </c>
      <c r="C152" s="204">
        <v>20</v>
      </c>
      <c r="D152" s="194">
        <f t="shared" si="10"/>
        <v>700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40</v>
      </c>
      <c r="B153" s="187">
        <f>'Données projet'!D146</f>
        <v>35</v>
      </c>
      <c r="C153" s="204">
        <v>20</v>
      </c>
      <c r="D153" s="194">
        <f t="shared" si="10"/>
        <v>700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45</v>
      </c>
      <c r="B154" s="187">
        <f>'Données projet'!D147</f>
        <v>24</v>
      </c>
      <c r="C154" s="204">
        <v>30</v>
      </c>
      <c r="D154" s="194">
        <f t="shared" si="10"/>
        <v>720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50</v>
      </c>
      <c r="B155" s="187">
        <f>'Données projet'!D148</f>
        <v>19</v>
      </c>
      <c r="C155" s="204">
        <v>30</v>
      </c>
      <c r="D155" s="194">
        <f t="shared" si="10"/>
        <v>570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55</v>
      </c>
      <c r="B156" s="187">
        <f>'Données projet'!D149</f>
        <v>16</v>
      </c>
      <c r="C156" s="204">
        <v>30</v>
      </c>
      <c r="D156" s="194">
        <f t="shared" si="10"/>
        <v>480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60</v>
      </c>
      <c r="B157" s="187">
        <f>'Données projet'!D150</f>
        <v>14</v>
      </c>
      <c r="C157" s="204">
        <v>40</v>
      </c>
      <c r="D157" s="194">
        <f t="shared" si="10"/>
        <v>560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65</v>
      </c>
      <c r="B158" s="187">
        <f>'Données projet'!D151</f>
        <v>13</v>
      </c>
      <c r="C158" s="204">
        <v>40</v>
      </c>
      <c r="D158" s="194">
        <f t="shared" si="10"/>
        <v>520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70</v>
      </c>
      <c r="B159" s="187">
        <f>'Données projet'!D152</f>
        <v>13</v>
      </c>
      <c r="C159" s="204">
        <v>50</v>
      </c>
      <c r="D159" s="194">
        <f t="shared" si="10"/>
        <v>650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75</v>
      </c>
      <c r="B160" s="187">
        <f>'Données projet'!D153</f>
        <v>12</v>
      </c>
      <c r="C160" s="204">
        <v>60</v>
      </c>
      <c r="D160" s="194">
        <f t="shared" si="10"/>
        <v>720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80</v>
      </c>
      <c r="B161" s="187">
        <f>'Données projet'!D154</f>
        <v>11</v>
      </c>
      <c r="C161" s="204">
        <v>70</v>
      </c>
      <c r="D161" s="194">
        <f t="shared" si="10"/>
        <v>770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2025-05-16T09:24:07Z</dcterms:modified>
</cp:coreProperties>
</file>