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3-DEPOSE/390-R-COULEE-ARA(73)-FROIDEFONTAÎNE-indivVoulat-StAlbanD'Hurtières-3,0ha/"/>
    </mc:Choice>
  </mc:AlternateContent>
  <xr:revisionPtr revIDLastSave="0" documentId="13_ncr:1_{D0D1DF76-AEF5-404E-9E23-DC3B47265834}" xr6:coauthVersionLast="47" xr6:coauthVersionMax="47" xr10:uidLastSave="{00000000-0000-0000-0000-000000000000}"/>
  <bookViews>
    <workbookView xWindow="0" yWindow="760" windowWidth="30240" windowHeight="188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7" i="6" l="1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/>
  <c r="DI200" i="2"/>
  <c r="HG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151" i="2" a="1"/>
  <c r="AH151" i="2" s="1"/>
  <c r="BP203" i="2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1" i="2" l="1"/>
  <c r="BI108" i="2"/>
  <c r="BI37" i="2"/>
  <c r="BI98" i="2"/>
  <c r="BI63" i="2"/>
  <c r="BI111" i="2"/>
  <c r="BI147" i="2"/>
  <c r="BI15" i="2"/>
  <c r="BI175" i="2"/>
  <c r="BI161" i="2"/>
  <c r="BI194" i="2"/>
  <c r="BI143" i="2"/>
  <c r="BI189" i="2"/>
  <c r="BI4" i="2"/>
  <c r="BI9" i="2"/>
  <c r="BI48" i="2"/>
  <c r="BI179" i="2"/>
  <c r="BI11" i="2"/>
  <c r="BI171" i="2"/>
  <c r="BI8" i="2"/>
  <c r="BI87" i="2"/>
  <c r="BI81" i="2"/>
  <c r="BI59" i="2"/>
  <c r="BI26" i="2"/>
  <c r="BI97" i="2"/>
  <c r="BI58" i="2"/>
  <c r="BI60" i="2"/>
  <c r="BI123" i="2"/>
  <c r="BI172" i="2"/>
  <c r="BI42" i="2"/>
  <c r="BI36" i="2"/>
  <c r="BI35" i="2"/>
  <c r="BI82" i="2"/>
  <c r="BI174" i="2"/>
  <c r="BI57" i="2"/>
  <c r="BI29" i="2"/>
  <c r="BI47" i="2"/>
  <c r="BI99" i="2"/>
  <c r="BI92" i="2"/>
  <c r="BI91" i="2"/>
  <c r="BI106" i="2"/>
  <c r="BI201" i="2"/>
  <c r="BI121" i="2"/>
  <c r="BI173" i="2"/>
  <c r="BI88" i="2"/>
  <c r="BI50" i="2"/>
  <c r="BI119" i="2"/>
  <c r="BI95" i="2"/>
  <c r="BI109" i="2"/>
  <c r="BI202" i="2"/>
  <c r="BI86" i="2"/>
  <c r="BI160" i="2"/>
  <c r="BI129" i="2"/>
  <c r="BI126" i="2"/>
  <c r="BI150" i="2"/>
  <c r="BI130" i="2"/>
  <c r="BI136" i="2"/>
  <c r="BI105" i="2"/>
  <c r="BI183" i="2"/>
  <c r="BI149" i="2"/>
  <c r="BI187" i="2"/>
  <c r="BI55" i="2"/>
  <c r="BI163" i="2"/>
  <c r="BI67" i="2"/>
  <c r="BI113" i="2"/>
  <c r="BI18" i="2"/>
  <c r="BI107" i="2"/>
  <c r="BI90" i="2"/>
  <c r="BI188" i="2"/>
  <c r="BI141" i="2"/>
  <c r="BI71" i="2"/>
  <c r="BI156" i="2"/>
  <c r="BI165" i="2"/>
  <c r="BI145" i="2"/>
  <c r="BI32" i="2"/>
  <c r="BI186" i="2"/>
  <c r="BI176" i="2"/>
  <c r="BI146" i="2"/>
  <c r="BI40" i="2"/>
  <c r="BI177" i="2"/>
  <c r="BI21" i="2"/>
  <c r="BI115" i="2"/>
  <c r="BI140" i="2"/>
  <c r="BI10" i="2"/>
  <c r="BI75" i="2"/>
  <c r="BI77" i="2"/>
  <c r="BI13" i="2"/>
  <c r="BI157" i="2"/>
  <c r="BI93" i="2"/>
  <c r="BI5" i="2"/>
  <c r="BI24" i="2"/>
  <c r="BI74" i="2"/>
  <c r="BI73" i="2"/>
  <c r="BI101" i="2"/>
  <c r="BI128" i="2"/>
  <c r="BI66" i="2"/>
  <c r="BI65" i="2"/>
  <c r="BI56" i="2"/>
  <c r="BI168" i="2"/>
  <c r="BI31" i="2"/>
  <c r="BI94" i="2"/>
  <c r="BI34" i="2"/>
  <c r="BI122" i="2"/>
  <c r="BI62" i="2"/>
  <c r="BI39" i="2"/>
  <c r="BI164" i="2"/>
  <c r="BI89" i="2"/>
  <c r="BI78" i="2"/>
  <c r="BI182" i="2"/>
  <c r="BI44" i="2"/>
  <c r="BI64" i="2"/>
  <c r="BI131" i="2"/>
  <c r="BI69" i="2"/>
  <c r="BI166" i="2"/>
  <c r="BI84" i="2"/>
  <c r="BI19" i="2"/>
  <c r="BI51" i="2"/>
  <c r="BI185" i="2"/>
  <c r="BI170" i="2"/>
  <c r="BI16" i="2"/>
  <c r="BI14" i="2"/>
  <c r="BI154" i="2"/>
  <c r="BI135" i="2"/>
  <c r="BI28" i="2"/>
  <c r="BI43" i="2"/>
  <c r="BI52" i="2"/>
  <c r="BI61" i="2"/>
  <c r="BI100" i="2"/>
  <c r="BI112" i="2"/>
  <c r="BI96" i="2"/>
  <c r="BI203" i="2"/>
  <c r="BI198" i="2"/>
  <c r="BI133" i="2"/>
  <c r="BI138" i="2"/>
  <c r="BI68" i="2"/>
  <c r="BI144" i="2"/>
  <c r="BI181" i="2"/>
  <c r="BI85" i="2"/>
  <c r="BI27" i="2"/>
  <c r="BI152" i="2"/>
  <c r="BI117" i="2"/>
  <c r="BI200" i="2"/>
  <c r="BI76" i="2"/>
  <c r="BI103" i="2"/>
  <c r="BI23" i="2"/>
  <c r="BI102" i="2"/>
  <c r="BI38" i="2"/>
  <c r="BI195" i="2"/>
  <c r="BI151" i="2"/>
  <c r="BI124" i="2"/>
  <c r="BI110" i="2"/>
  <c r="BI25" i="2"/>
  <c r="BI199" i="2"/>
  <c r="BI191" i="2"/>
  <c r="BI193" i="2"/>
  <c r="BI197" i="2"/>
  <c r="BI118" i="2"/>
  <c r="BI49" i="2"/>
  <c r="BI125" i="2"/>
  <c r="BI33" i="2"/>
  <c r="BI180" i="2"/>
  <c r="BI155" i="2"/>
  <c r="BI12" i="2"/>
  <c r="BI169" i="2"/>
  <c r="BI196" i="2"/>
  <c r="BI127" i="2"/>
  <c r="BI153" i="2"/>
  <c r="BI114" i="2"/>
  <c r="BI167" i="2"/>
  <c r="BI54" i="2"/>
  <c r="BI46" i="2"/>
  <c r="BI162" i="2"/>
  <c r="BI192" i="2"/>
  <c r="BI104" i="2"/>
  <c r="BI30" i="2"/>
  <c r="BI139" i="2"/>
  <c r="BI178" i="2"/>
  <c r="BI190" i="2"/>
  <c r="BI158" i="2"/>
  <c r="BI148" i="2"/>
  <c r="BI83" i="2"/>
  <c r="BI120" i="2"/>
  <c r="BI20" i="2"/>
  <c r="BI17" i="2"/>
  <c r="BI79" i="2"/>
  <c r="BI137" i="2"/>
  <c r="BI22" i="2"/>
  <c r="BI72" i="2"/>
  <c r="BI45" i="2"/>
  <c r="BI134" i="2"/>
  <c r="BI6" i="2"/>
  <c r="BI132" i="2"/>
  <c r="BI3" i="2"/>
  <c r="C8" i="4" s="1"/>
  <c r="E8" i="4" s="1"/>
  <c r="F8" i="4" s="1"/>
  <c r="G8" i="4" s="1"/>
  <c r="L8" i="4" s="1"/>
  <c r="BI184" i="2"/>
  <c r="BI53" i="2"/>
  <c r="BI70" i="2"/>
  <c r="BI159" i="2"/>
  <c r="BI80" i="2"/>
  <c r="BI7" i="2"/>
  <c r="BI116" i="2"/>
  <c r="BI14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<sst xmlns="http://schemas.openxmlformats.org/spreadsheetml/2006/main" count="1173" uniqueCount="324">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</sst>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1.876233189998038</c:v>
                </c:pt>
                <c:pt idx="2">
                  <c:v>2.4221020119216585</c:v>
                </c:pt>
                <c:pt idx="3">
                  <c:v>3.1274303333147428</c:v>
                </c:pt>
                <c:pt idx="4">
                  <c:v>4.0389774557224944</c:v>
                </c:pt>
                <c:pt idx="5">
                  <c:v>5.2172630626744434</c:v>
                </c:pt>
                <c:pt idx="6">
                  <c:v>6.7406300094102312</c:v>
                </c:pt>
                <c:pt idx="7">
                  <c:v>8.7105103068045704</c:v>
                </c:pt>
                <c:pt idx="8">
                  <c:v>11.258251615526754</c:v>
                </c:pt>
                <c:pt idx="9">
                  <c:v>14.553967947937716</c:v>
                </c:pt>
                <c:pt idx="10">
                  <c:v>18.818016401466895</c:v>
                </c:pt>
                <c:pt idx="11">
                  <c:v>24.335881110556681</c:v>
                </c:pt>
                <c:pt idx="12">
                  <c:v>31.477478540701004</c:v>
                </c:pt>
                <c:pt idx="13">
                  <c:v>40.722200790569744</c:v>
                </c:pt>
                <c:pt idx="14">
                  <c:v>52.691406556297359</c:v>
                </c:pt>
                <c:pt idx="15">
                  <c:v>68.190579935279629</c:v>
                </c:pt>
                <c:pt idx="16">
                  <c:v>88.264040522074353</c:v>
                </c:pt>
                <c:pt idx="17">
                  <c:v>114.26595006222796</c:v>
                </c:pt>
                <c:pt idx="18">
                  <c:v>147.95248081283867</c:v>
                </c:pt>
                <c:pt idx="19">
                  <c:v>191.60146612159338</c:v>
                </c:pt>
                <c:pt idx="20">
                  <c:v>216.18647368682664</c:v>
                </c:pt>
                <c:pt idx="21">
                  <c:v>240.70714044550854</c:v>
                </c:pt>
                <c:pt idx="22">
                  <c:v>188.87090934206267</c:v>
                </c:pt>
                <c:pt idx="23">
                  <c:v>214.98109510056551</c:v>
                </c:pt>
                <c:pt idx="24">
                  <c:v>241.018248922053</c:v>
                </c:pt>
                <c:pt idx="25">
                  <c:v>266.99136970847246</c:v>
                </c:pt>
                <c:pt idx="26">
                  <c:v>292.90756031220479</c:v>
                </c:pt>
                <c:pt idx="27">
                  <c:v>318.77256321643932</c:v>
                </c:pt>
                <c:pt idx="28">
                  <c:v>344.59111272829563</c:v>
                </c:pt>
                <c:pt idx="29">
                  <c:v>291.5692824343468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374.94948796267522</c:v>
                </c:pt>
                <c:pt idx="33">
                  <c:v>402.64772617105814</c:v>
                </c:pt>
                <c:pt idx="34">
                  <c:v>430.30476217007725</c:v>
                </c:pt>
                <c:pt idx="35">
                  <c:v>457.92361345472085</c:v>
                </c:pt>
                <c:pt idx="36">
                  <c:v>382.03503582506414</c:v>
                </c:pt>
                <c:pt idx="37">
                  <c:v>409.19922205124954</c:v>
                </c:pt>
                <c:pt idx="38">
                  <c:v>436.32447725278098</c:v>
                </c:pt>
                <c:pt idx="39">
                  <c:v>463.41355924810642</c:v>
                </c:pt>
                <c:pt idx="40">
                  <c:v>490.46887740764834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478.09239623400526</c:v>
                </c:pt>
                <c:pt idx="45">
                  <c:v>504.08010035598926</c:v>
                </c:pt>
                <c:pt idx="46">
                  <c:v>530.03947668561875</c:v>
                </c:pt>
                <c:pt idx="47">
                  <c:v>555.97210607718182</c:v>
                </c:pt>
                <c:pt idx="48">
                  <c:v>581.87941004696063</c:v>
                </c:pt>
                <c:pt idx="49">
                  <c:v>607.76267335393857</c:v>
                </c:pt>
                <c:pt idx="50">
                  <c:v>498.72181261790985</c:v>
                </c:pt>
                <c:pt idx="51">
                  <c:v>522.77570769625004</c:v>
                </c:pt>
                <c:pt idx="52">
                  <c:v>546.80628686047896</c:v>
                </c:pt>
                <c:pt idx="53">
                  <c:v>570.81471779944991</c:v>
                </c:pt>
                <c:pt idx="54">
                  <c:v>594.80206206973287</c:v>
                </c:pt>
                <c:pt idx="55">
                  <c:v>618.76928871875054</c:v>
                </c:pt>
                <c:pt idx="56">
                  <c:v>642.71728568895776</c:v>
                </c:pt>
                <c:pt idx="57">
                  <c:v>553.08091315642696</c:v>
                </c:pt>
                <c:pt idx="58">
                  <c:v>575.02795262432016</c:v>
                </c:pt>
                <c:pt idx="59">
                  <c:v>596.9575126936345</c:v>
                </c:pt>
                <c:pt idx="60">
                  <c:v>618.87032518267222</c:v>
                </c:pt>
                <c:pt idx="61">
                  <c:v>640.76706591360471</c:v>
                </c:pt>
                <c:pt idx="62">
                  <c:v>662.64836080260773</c:v>
                </c:pt>
                <c:pt idx="63">
                  <c:v>684.51479110444382</c:v>
                </c:pt>
                <c:pt idx="64">
                  <c:v>587.03080587133184</c:v>
                </c:pt>
                <c:pt idx="65">
                  <c:v>606.78392125207699</c:v>
                </c:pt>
                <c:pt idx="66">
                  <c:v>626.52368994592871</c:v>
                </c:pt>
                <c:pt idx="67">
                  <c:v>646.25059127404677</c:v>
                </c:pt>
                <c:pt idx="68">
                  <c:v>665.96507293676598</c:v>
                </c:pt>
                <c:pt idx="69">
                  <c:v>685.66755399284511</c:v>
                </c:pt>
                <c:pt idx="70">
                  <c:v>704.57665364194065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2.1100280511145315</c:v>
                </c:pt>
                <c:pt idx="2">
                  <c:v>2.7558717727554725</c:v>
                </c:pt>
                <c:pt idx="3">
                  <c:v>3.6002040212057129</c:v>
                </c:pt>
                <c:pt idx="4">
                  <c:v>4.7042604750179606</c:v>
                </c:pt>
                <c:pt idx="5">
                  <c:v>6.1482360950259149</c:v>
                </c:pt>
                <c:pt idx="6">
                  <c:v>8.0371745369866741</c:v>
                </c:pt>
                <c:pt idx="7">
                  <c:v>10.508692577487937</c:v>
                </c:pt>
                <c:pt idx="8">
                  <c:v>13.743112890113615</c:v>
                </c:pt>
                <c:pt idx="9">
                  <c:v>17.976758095644303</c:v>
                </c:pt>
                <c:pt idx="10">
                  <c:v>23.519394977176777</c:v>
                </c:pt>
                <c:pt idx="11">
                  <c:v>35.982472898491373</c:v>
                </c:pt>
                <c:pt idx="12">
                  <c:v>48.325547197182182</c:v>
                </c:pt>
                <c:pt idx="13">
                  <c:v>60.584149282923612</c:v>
                </c:pt>
                <c:pt idx="14">
                  <c:v>72.777938409790707</c:v>
                </c:pt>
                <c:pt idx="15">
                  <c:v>84.919362878908643</c:v>
                </c:pt>
                <c:pt idx="16">
                  <c:v>98.114832690532012</c:v>
                </c:pt>
                <c:pt idx="17">
                  <c:v>114.00104661969885</c:v>
                </c:pt>
                <c:pt idx="18">
                  <c:v>129.83298609190555</c:v>
                </c:pt>
                <c:pt idx="19">
                  <c:v>145.61821239345741</c:v>
                </c:pt>
                <c:pt idx="20">
                  <c:v>161.36250795062594</c:v>
                </c:pt>
                <c:pt idx="21">
                  <c:v>132.28531646581547</c:v>
                </c:pt>
                <c:pt idx="22">
                  <c:v>150.78009124196475</c:v>
                </c:pt>
                <c:pt idx="23">
                  <c:v>169.22076873606738</c:v>
                </c:pt>
                <c:pt idx="24">
                  <c:v>187.61407849742008</c:v>
                </c:pt>
                <c:pt idx="25">
                  <c:v>205.96531993399222</c:v>
                </c:pt>
                <c:pt idx="26">
                  <c:v>177.88199297860524</c:v>
                </c:pt>
                <c:pt idx="27">
                  <c:v>197.06453444091562</c:v>
                </c:pt>
                <c:pt idx="28">
                  <c:v>216.20372460175955</c:v>
                </c:pt>
                <c:pt idx="29">
                  <c:v>235.30394147234651</c:v>
                </c:pt>
                <c:pt idx="30">
                  <c:v>254.36879359828683</c:v>
                </c:pt>
                <c:pt idx="31">
                  <c:v>225.89297020726823</c:v>
                </c:pt>
                <c:pt idx="32">
                  <c:v>244.43780374172545</c:v>
                </c:pt>
                <c:pt idx="33">
                  <c:v>262.95066686184316</c:v>
                </c:pt>
                <c:pt idx="34">
                  <c:v>281.4341267966791</c:v>
                </c:pt>
                <c:pt idx="35">
                  <c:v>299.89038593700781</c:v>
                </c:pt>
                <c:pt idx="36">
                  <c:v>270.18669791073734</c:v>
                </c:pt>
                <c:pt idx="37">
                  <c:v>287.32158845420821</c:v>
                </c:pt>
                <c:pt idx="38">
                  <c:v>304.4336288554905</c:v>
                </c:pt>
                <c:pt idx="39">
                  <c:v>321.52428406625774</c:v>
                </c:pt>
                <c:pt idx="40">
                  <c:v>338.5948505822164</c:v>
                </c:pt>
                <c:pt idx="41">
                  <c:v>307.63971444444019</c:v>
                </c:pt>
                <c:pt idx="42">
                  <c:v>323.39233379750692</c:v>
                </c:pt>
                <c:pt idx="43">
                  <c:v>339.12799502984507</c:v>
                </c:pt>
                <c:pt idx="44">
                  <c:v>354.84759569850917</c:v>
                </c:pt>
                <c:pt idx="45">
                  <c:v>370.55194735083097</c:v>
                </c:pt>
                <c:pt idx="46">
                  <c:v>341.52691724050095</c:v>
                </c:pt>
                <c:pt idx="47">
                  <c:v>355.11389600890442</c:v>
                </c:pt>
                <c:pt idx="48">
                  <c:v>368.68949166770904</c:v>
                </c:pt>
                <c:pt idx="49">
                  <c:v>382.25418241750975</c:v>
                </c:pt>
                <c:pt idx="50">
                  <c:v>395.80840974888753</c:v>
                </c:pt>
                <c:pt idx="51">
                  <c:v>371.08403998854561</c:v>
                </c:pt>
                <c:pt idx="52">
                  <c:v>383.58348400639335</c:v>
                </c:pt>
                <c:pt idx="53">
                  <c:v>396.07407711953459</c:v>
                </c:pt>
                <c:pt idx="54">
                  <c:v>408.55613780745529</c:v>
                </c:pt>
                <c:pt idx="55">
                  <c:v>421.02996350009431</c:v>
                </c:pt>
                <c:pt idx="56">
                  <c:v>398.73053891483693</c:v>
                </c:pt>
                <c:pt idx="57">
                  <c:v>409.61805655279812</c:v>
                </c:pt>
                <c:pt idx="58">
                  <c:v>420.49932640127287</c:v>
                </c:pt>
                <c:pt idx="59">
                  <c:v>431.37453295867721</c:v>
                </c:pt>
                <c:pt idx="60">
                  <c:v>442.24385066004896</c:v>
                </c:pt>
                <c:pt idx="61">
                  <c:v>422.88708004203778</c:v>
                </c:pt>
                <c:pt idx="62">
                  <c:v>432.70037140317669</c:v>
                </c:pt>
                <c:pt idx="63">
                  <c:v>442.50888381337387</c:v>
                </c:pt>
                <c:pt idx="64">
                  <c:v>452.31273816591323</c:v>
                </c:pt>
                <c:pt idx="65">
                  <c:v>462.11204968448197</c:v>
                </c:pt>
                <c:pt idx="66">
                  <c:v>445.15902860966554</c:v>
                </c:pt>
                <c:pt idx="67">
                  <c:v>453.37234020573715</c:v>
                </c:pt>
                <c:pt idx="68">
                  <c:v>461.5824714672342</c:v>
                </c:pt>
                <c:pt idx="69">
                  <c:v>469.78948696374715</c:v>
                </c:pt>
                <c:pt idx="70">
                  <c:v>477.99344882393348</c:v>
                </c:pt>
                <c:pt idx="71">
                  <c:v>462.64161495070863</c:v>
                </c:pt>
                <c:pt idx="72">
                  <c:v>469.78948696374704</c:v>
                </c:pt>
                <c:pt idx="73">
                  <c:v>476.93504256985921</c:v>
                </c:pt>
                <c:pt idx="74">
                  <c:v>484.07832138643676</c:v>
                </c:pt>
                <c:pt idx="75">
                  <c:v>491.2193617657054</c:v>
                </c:pt>
                <c:pt idx="76">
                  <c:v>477.72885193803154</c:v>
                </c:pt>
                <c:pt idx="77">
                  <c:v>484.07832138643676</c:v>
                </c:pt>
                <c:pt idx="78">
                  <c:v>490.42602220968575</c:v>
                </c:pt>
                <c:pt idx="79">
                  <c:v>496.77198054139382</c:v>
                </c:pt>
                <c:pt idx="80">
                  <c:v>503.11622179266806</c:v>
                </c:pt>
                <c:pt idx="81">
                  <c:v>489.89711405016737</c:v>
                </c:pt>
                <c:pt idx="82">
                  <c:v>495.18565291530984</c:v>
                </c:pt>
                <c:pt idx="83">
                  <c:v>500.47299501013589</c:v>
                </c:pt>
                <c:pt idx="84">
                  <c:v>505.75915477017401</c:v>
                </c:pt>
                <c:pt idx="85">
                  <c:v>511.04414630438441</c:v>
                </c:pt>
                <c:pt idx="86">
                  <c:v>499.94431424130926</c:v>
                </c:pt>
                <c:pt idx="87">
                  <c:v>504.70201672310486</c:v>
                </c:pt>
                <c:pt idx="88">
                  <c:v>509.45877068114288</c:v>
                </c:pt>
                <c:pt idx="89">
                  <c:v>514.21458622729256</c:v>
                </c:pt>
                <c:pt idx="90">
                  <c:v>518.96947327099497</c:v>
                </c:pt>
                <c:pt idx="91">
                  <c:v>508.93028898808575</c:v>
                </c:pt>
                <c:pt idx="92">
                  <c:v>513.42201504742343</c:v>
                </c:pt>
                <c:pt idx="93">
                  <c:v>517.91291144623972</c:v>
                </c:pt>
                <c:pt idx="94">
                  <c:v>522.4029863986508</c:v>
                </c:pt>
                <c:pt idx="95">
                  <c:v>526.89224796595738</c:v>
                </c:pt>
                <c:pt idx="96">
                  <c:v>517.38461348648923</c:v>
                </c:pt>
                <c:pt idx="97">
                  <c:v>521.08246091107333</c:v>
                </c:pt>
                <c:pt idx="98">
                  <c:v>524.77975510263821</c:v>
                </c:pt>
                <c:pt idx="99">
                  <c:v>528.47650051192272</c:v>
                </c:pt>
                <c:pt idx="100">
                  <c:v>532.17270152227138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9.5169979671789093</c:v>
                </c:pt>
                <c:pt idx="2">
                  <c:v>18.617705008577001</c:v>
                </c:pt>
                <c:pt idx="3">
                  <c:v>27.583970977445158</c:v>
                </c:pt>
                <c:pt idx="4">
                  <c:v>36.467364341107171</c:v>
                </c:pt>
                <c:pt idx="5">
                  <c:v>45.291257619480326</c:v>
                </c:pt>
                <c:pt idx="6">
                  <c:v>54.068983473755416</c:v>
                </c:pt>
                <c:pt idx="7">
                  <c:v>62.80913695508724</c:v>
                </c:pt>
                <c:pt idx="8">
                  <c:v>71.517704855937595</c:v>
                </c:pt>
                <c:pt idx="9">
                  <c:v>80.19908754492397</c:v>
                </c:pt>
                <c:pt idx="10">
                  <c:v>88.85665016470476</c:v>
                </c:pt>
                <c:pt idx="11">
                  <c:v>97.493045883044317</c:v>
                </c:pt>
                <c:pt idx="12">
                  <c:v>106.11041780502711</c:v>
                </c:pt>
                <c:pt idx="13">
                  <c:v>114.71053148340779</c:v>
                </c:pt>
                <c:pt idx="14">
                  <c:v>123.29486541747771</c:v>
                </c:pt>
                <c:pt idx="15">
                  <c:v>131.86467492395187</c:v>
                </c:pt>
                <c:pt idx="16">
                  <c:v>140.42103847477497</c:v>
                </c:pt>
                <c:pt idx="17">
                  <c:v>148.96489211346997</c:v>
                </c:pt>
                <c:pt idx="18">
                  <c:v>157.4970555398767</c:v>
                </c:pt>
                <c:pt idx="19">
                  <c:v>166.01825223209946</c:v>
                </c:pt>
                <c:pt idx="20">
                  <c:v>174.52912521140465</c:v>
                </c:pt>
                <c:pt idx="21">
                  <c:v>183.0302495645376</c:v>
                </c:pt>
                <c:pt idx="22">
                  <c:v>191.52214251325447</c:v>
                </c:pt>
                <c:pt idx="23">
                  <c:v>200.00527160127737</c:v>
                </c:pt>
                <c:pt idx="24">
                  <c:v>208.48006141725565</c:v>
                </c:pt>
                <c:pt idx="25">
                  <c:v>216.94689916565926</c:v>
                </c:pt>
                <c:pt idx="26">
                  <c:v>225.40613932124006</c:v>
                </c:pt>
                <c:pt idx="27">
                  <c:v>233.85810754728024</c:v>
                </c:pt>
                <c:pt idx="28">
                  <c:v>242.30310401704142</c:v>
                </c:pt>
                <c:pt idx="29">
                  <c:v>250.74140624738729</c:v>
                </c:pt>
                <c:pt idx="30">
                  <c:v>259.17327153058113</c:v>
                </c:pt>
                <c:pt idx="31">
                  <c:v>267.59893903273559</c:v>
                </c:pt>
                <c:pt idx="32">
                  <c:v>276.01863161388769</c:v>
                </c:pt>
                <c:pt idx="33">
                  <c:v>284.43255741417448</c:v>
                </c:pt>
                <c:pt idx="34">
                  <c:v>292.84091124234214</c:v>
                </c:pt>
                <c:pt idx="35">
                  <c:v>301.24387579631144</c:v>
                </c:pt>
                <c:pt idx="36">
                  <c:v>309.64162274032839</c:v>
                </c:pt>
                <c:pt idx="37">
                  <c:v>318.03431365906772</c:v>
                </c:pt>
                <c:pt idx="38">
                  <c:v>326.42210090568886</c:v>
                </c:pt>
                <c:pt idx="39">
                  <c:v>334.8051283581114</c:v>
                </c:pt>
                <c:pt idx="40">
                  <c:v>343.18353209554238</c:v>
                </c:pt>
                <c:pt idx="41">
                  <c:v>351.55744100544524</c:v>
                </c:pt>
                <c:pt idx="42">
                  <c:v>359.926977329625</c:v>
                </c:pt>
                <c:pt idx="43">
                  <c:v>368.29225715684197</c:v>
                </c:pt>
                <c:pt idx="44">
                  <c:v>376.65339086830772</c:v>
                </c:pt>
                <c:pt idx="45">
                  <c:v>249.58380271536342</c:v>
                </c:pt>
                <c:pt idx="46">
                  <c:v>265.89162074445932</c:v>
                </c:pt>
                <c:pt idx="47">
                  <c:v>282.17690071187548</c:v>
                </c:pt>
                <c:pt idx="48">
                  <c:v>300.17237862218713</c:v>
                </c:pt>
                <c:pt idx="49">
                  <c:v>318.14383687917336</c:v>
                </c:pt>
                <c:pt idx="50">
                  <c:v>336.092822891227</c:v>
                </c:pt>
                <c:pt idx="51">
                  <c:v>354.02070531132608</c:v>
                </c:pt>
                <c:pt idx="52">
                  <c:v>279.40811538698296</c:v>
                </c:pt>
                <c:pt idx="53">
                  <c:v>294.11847543832704</c:v>
                </c:pt>
                <c:pt idx="54">
                  <c:v>308.81242147961865</c:v>
                </c:pt>
                <c:pt idx="55">
                  <c:v>325.53495996009366</c:v>
                </c:pt>
                <c:pt idx="56">
                  <c:v>342.23852609018689</c:v>
                </c:pt>
                <c:pt idx="57">
                  <c:v>358.92417600004984</c:v>
                </c:pt>
                <c:pt idx="58">
                  <c:v>375.93030844986924</c:v>
                </c:pt>
                <c:pt idx="59">
                  <c:v>392.91969119132</c:v>
                </c:pt>
                <c:pt idx="60">
                  <c:v>312.15592013284589</c:v>
                </c:pt>
                <c:pt idx="61">
                  <c:v>325.96696059632137</c:v>
                </c:pt>
                <c:pt idx="62">
                  <c:v>339.76507845421929</c:v>
                </c:pt>
                <c:pt idx="63">
                  <c:v>355.21775194387709</c:v>
                </c:pt>
                <c:pt idx="64">
                  <c:v>370.65570672266432</c:v>
                </c:pt>
                <c:pt idx="65">
                  <c:v>386.07964206160869</c:v>
                </c:pt>
                <c:pt idx="66">
                  <c:v>401.49019680716083</c:v>
                </c:pt>
                <c:pt idx="67">
                  <c:v>416.88795676980067</c:v>
                </c:pt>
                <c:pt idx="68">
                  <c:v>352.69805869060696</c:v>
                </c:pt>
                <c:pt idx="69">
                  <c:v>366.83614442258431</c:v>
                </c:pt>
                <c:pt idx="70">
                  <c:v>380.96233727738223</c:v>
                </c:pt>
                <c:pt idx="71">
                  <c:v>395.07714034322402</c:v>
                </c:pt>
                <c:pt idx="72">
                  <c:v>409.18101782903972</c:v>
                </c:pt>
                <c:pt idx="73">
                  <c:v>423.27439933376724</c:v>
                </c:pt>
                <c:pt idx="74">
                  <c:v>437.35768351738102</c:v>
                </c:pt>
                <c:pt idx="75">
                  <c:v>451.43124127443986</c:v>
                </c:pt>
                <c:pt idx="76">
                  <c:v>388.97226287682344</c:v>
                </c:pt>
                <c:pt idx="77">
                  <c:v>402.59198257385236</c:v>
                </c:pt>
                <c:pt idx="78">
                  <c:v>416.2017381656147</c:v>
                </c:pt>
                <c:pt idx="79">
                  <c:v>429.8019013581561</c:v>
                </c:pt>
                <c:pt idx="80">
                  <c:v>443.3928184164518</c:v>
                </c:pt>
                <c:pt idx="81">
                  <c:v>456.97481264851626</c:v>
                </c:pt>
                <c:pt idx="82">
                  <c:v>470.54818657881646</c:v>
                </c:pt>
                <c:pt idx="83">
                  <c:v>484.11322385787395</c:v>
                </c:pt>
                <c:pt idx="84">
                  <c:v>497.67019094671736</c:v>
                </c:pt>
                <c:pt idx="85">
                  <c:v>423.9475474188759</c:v>
                </c:pt>
                <c:pt idx="86">
                  <c:v>436.42551129808612</c:v>
                </c:pt>
                <c:pt idx="87">
                  <c:v>448.89582155855493</c:v>
                </c:pt>
                <c:pt idx="88">
                  <c:v>461.35872077450625</c:v>
                </c:pt>
                <c:pt idx="89">
                  <c:v>473.81443734608928</c:v>
                </c:pt>
                <c:pt idx="90">
                  <c:v>486.26318668629875</c:v>
                </c:pt>
                <c:pt idx="91">
                  <c:v>500.16812387750014</c:v>
                </c:pt>
                <c:pt idx="92">
                  <c:v>514.06488031488152</c:v>
                </c:pt>
                <c:pt idx="93">
                  <c:v>527.95370824253087</c:v>
                </c:pt>
                <c:pt idx="94">
                  <c:v>466.93492020790228</c:v>
                </c:pt>
                <c:pt idx="95">
                  <c:v>479.85744571942928</c:v>
                </c:pt>
                <c:pt idx="96">
                  <c:v>492.77257586023921</c:v>
                </c:pt>
                <c:pt idx="97">
                  <c:v>505.68053173775655</c:v>
                </c:pt>
                <c:pt idx="98">
                  <c:v>518.58152225284641</c:v>
                </c:pt>
                <c:pt idx="99">
                  <c:v>531.47574506697708</c:v>
                </c:pt>
                <c:pt idx="100">
                  <c:v>544.36338747066077</c:v>
                </c:pt>
                <c:pt idx="101">
                  <c:v>557.24462716539801</c:v>
                </c:pt>
                <c:pt idx="102">
                  <c:v>570.1196329695797</c:v>
                </c:pt>
                <c:pt idx="103">
                  <c:v>582.98856545732622</c:v>
                </c:pt>
                <c:pt idx="104">
                  <c:v>498.8201673961259</c:v>
                </c:pt>
                <c:pt idx="105">
                  <c:v>511.31298927350787</c:v>
                </c:pt>
                <c:pt idx="106">
                  <c:v>523.79936555998461</c:v>
                </c:pt>
                <c:pt idx="107">
                  <c:v>536.27947153087837</c:v>
                </c:pt>
                <c:pt idx="108">
                  <c:v>548.75347363998844</c:v>
                </c:pt>
                <c:pt idx="109">
                  <c:v>561.22153015822335</c:v>
                </c:pt>
                <c:pt idx="110">
                  <c:v>573.68379175254745</c:v>
                </c:pt>
                <c:pt idx="111">
                  <c:v>586.1404020120184</c:v>
                </c:pt>
                <c:pt idx="112">
                  <c:v>598.59149792679887</c:v>
                </c:pt>
                <c:pt idx="113">
                  <c:v>611.03721032525073</c:v>
                </c:pt>
                <c:pt idx="114">
                  <c:v>546.67648442297389</c:v>
                </c:pt>
                <c:pt idx="115">
                  <c:v>559.66971616139926</c:v>
                </c:pt>
                <c:pt idx="116">
                  <c:v>572.65663538260094</c:v>
                </c:pt>
                <c:pt idx="117">
                  <c:v>585.63740537030219</c:v>
                </c:pt>
                <c:pt idx="118">
                  <c:v>598.61218158207066</c:v>
                </c:pt>
                <c:pt idx="119">
                  <c:v>611.58111218947329</c:v>
                </c:pt>
                <c:pt idx="120">
                  <c:v>624.54433857004938</c:v>
                </c:pt>
                <c:pt idx="121">
                  <c:v>637.50199575633144</c:v>
                </c:pt>
                <c:pt idx="122">
                  <c:v>650.45421284648</c:v>
                </c:pt>
                <c:pt idx="123">
                  <c:v>663.40111338052748</c:v>
                </c:pt>
                <c:pt idx="124">
                  <c:v>676.34281568573817</c:v>
                </c:pt>
                <c:pt idx="125">
                  <c:v>689.27943319417807</c:v>
                </c:pt>
                <c:pt idx="126">
                  <c:v>584.80966977593391</c:v>
                </c:pt>
                <c:pt idx="127">
                  <c:v>597.63048708648216</c:v>
                </c:pt>
                <c:pt idx="128">
                  <c:v>610.44558636377292</c:v>
                </c:pt>
                <c:pt idx="129">
                  <c:v>623.25510451599882</c:v>
                </c:pt>
                <c:pt idx="130">
                  <c:v>636.05917236713901</c:v>
                </c:pt>
                <c:pt idx="131">
                  <c:v>648.85791504693748</c:v>
                </c:pt>
                <c:pt idx="132">
                  <c:v>661.651452348524</c:v>
                </c:pt>
                <c:pt idx="133">
                  <c:v>674.43989905695571</c:v>
                </c:pt>
                <c:pt idx="134">
                  <c:v>687.22336525155686</c:v>
                </c:pt>
                <c:pt idx="135">
                  <c:v>700.00195658460461</c:v>
                </c:pt>
                <c:pt idx="136">
                  <c:v>712.77577453862307</c:v>
                </c:pt>
                <c:pt idx="137">
                  <c:v>725.54491666428282</c:v>
                </c:pt>
                <c:pt idx="138">
                  <c:v>613.14119609980662</c:v>
                </c:pt>
                <c:pt idx="139">
                  <c:v>625.5855416284511</c:v>
                </c:pt>
                <c:pt idx="140">
                  <c:v>638.02476422171935</c:v>
                </c:pt>
                <c:pt idx="141">
                  <c:v>650.45897779350105</c:v>
                </c:pt>
                <c:pt idx="142">
                  <c:v>662.88829154928635</c:v>
                </c:pt>
                <c:pt idx="143">
                  <c:v>675.31281026725912</c:v>
                </c:pt>
                <c:pt idx="144">
                  <c:v>687.73263455763947</c:v>
                </c:pt>
                <c:pt idx="145">
                  <c:v>700.1478611023291</c:v>
                </c:pt>
                <c:pt idx="146">
                  <c:v>712.55858287668434</c:v>
                </c:pt>
                <c:pt idx="147">
                  <c:v>724.96488935504658</c:v>
                </c:pt>
                <c:pt idx="148">
                  <c:v>737.36686670147844</c:v>
                </c:pt>
                <c:pt idx="149">
                  <c:v>749.7645979470135</c:v>
                </c:pt>
                <c:pt idx="150">
                  <c:v>464.0270289367557</c:v>
                </c:pt>
                <c:pt idx="151">
                  <c:v>471.49271979345605</c:v>
                </c:pt>
                <c:pt idx="152">
                  <c:v>478.95589373663512</c:v>
                </c:pt>
                <c:pt idx="153">
                  <c:v>486.41659553463313</c:v>
                </c:pt>
                <c:pt idx="154">
                  <c:v>318.90827691847267</c:v>
                </c:pt>
                <c:pt idx="155">
                  <c:v>323.36831753272367</c:v>
                </c:pt>
                <c:pt idx="156">
                  <c:v>327.82699816654639</c:v>
                </c:pt>
                <c:pt idx="157">
                  <c:v>332.28433995451388</c:v>
                </c:pt>
                <c:pt idx="158">
                  <c:v>222.49291772691615</c:v>
                </c:pt>
                <c:pt idx="159">
                  <c:v>225.22882601301433</c:v>
                </c:pt>
                <c:pt idx="160">
                  <c:v>227.96397272956747</c:v>
                </c:pt>
                <c:pt idx="161">
                  <c:v>230.69836832699772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7" zoomScale="135" zoomScaleNormal="80" workbookViewId="0">
      <selection activeCell="C15" sqref="C15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3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0.71</v>
      </c>
      <c r="D9" s="36">
        <f t="shared" ref="D9:D18" si="0">C9*$C$5</f>
        <v>2.13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27</v>
      </c>
      <c r="C10" s="35">
        <v>0.23</v>
      </c>
      <c r="D10" s="36">
        <f t="shared" si="0"/>
        <v>0.69000000000000006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14</v>
      </c>
      <c r="C11" s="35">
        <v>0.03</v>
      </c>
      <c r="D11" s="36">
        <f t="shared" si="0"/>
        <v>0.09</v>
      </c>
      <c r="E11" s="37">
        <v>161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8</v>
      </c>
      <c r="C12" s="35">
        <v>0.03</v>
      </c>
      <c r="D12" s="36">
        <f t="shared" si="0"/>
        <v>0.09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2.9999999999999996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19</v>
      </c>
      <c r="B36" s="63">
        <v>154.44</v>
      </c>
      <c r="C36" s="63"/>
      <c r="D36" s="63"/>
      <c r="E36" s="54"/>
      <c r="F36" s="54"/>
      <c r="G36" s="54"/>
      <c r="H36" s="54"/>
      <c r="I36" s="52">
        <f>IFERROR(B36/A36,"")</f>
        <v>8.1284210526315785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21</v>
      </c>
      <c r="B37" s="63">
        <v>195.15</v>
      </c>
      <c r="C37" s="63">
        <v>1</v>
      </c>
      <c r="D37" s="63">
        <v>64.58</v>
      </c>
      <c r="E37" s="54">
        <v>0.2</v>
      </c>
      <c r="F37" s="54">
        <v>0.45</v>
      </c>
      <c r="G37" s="54">
        <v>0.35</v>
      </c>
      <c r="H37" s="54"/>
      <c r="I37" s="56">
        <f t="shared" ref="I37:I55" si="1">IF(A37&lt;&gt;0,(B37-(B36-D36))/(A37-A36),"")</f>
        <v>20.355000000000004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28</v>
      </c>
      <c r="B38" s="63">
        <v>281.86</v>
      </c>
      <c r="C38" s="63">
        <v>2</v>
      </c>
      <c r="D38" s="63">
        <v>67.61</v>
      </c>
      <c r="E38" s="54">
        <v>0.3</v>
      </c>
      <c r="F38" s="54">
        <v>0.39</v>
      </c>
      <c r="G38" s="54">
        <v>0.31</v>
      </c>
      <c r="H38" s="54"/>
      <c r="I38" s="56">
        <f t="shared" si="1"/>
        <v>21.612857142857145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35</v>
      </c>
      <c r="B39" s="63">
        <v>377.12</v>
      </c>
      <c r="C39" s="63">
        <v>4</v>
      </c>
      <c r="D39" s="63">
        <v>86.68</v>
      </c>
      <c r="E39" s="54">
        <v>0.4</v>
      </c>
      <c r="F39" s="54">
        <v>0.34</v>
      </c>
      <c r="G39" s="54">
        <v>0.26</v>
      </c>
      <c r="H39" s="54"/>
      <c r="I39" s="52">
        <f t="shared" si="1"/>
        <v>23.267142857142858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42</v>
      </c>
      <c r="B40" s="63">
        <v>450.23</v>
      </c>
      <c r="C40" s="63">
        <v>5</v>
      </c>
      <c r="D40" s="63">
        <v>99.98</v>
      </c>
      <c r="E40" s="54">
        <v>0.5</v>
      </c>
      <c r="F40" s="54">
        <v>0.28000000000000003</v>
      </c>
      <c r="G40" s="54">
        <v>0.22</v>
      </c>
      <c r="H40" s="54"/>
      <c r="I40" s="52">
        <f t="shared" si="1"/>
        <v>22.82714285714286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49</v>
      </c>
      <c r="B41" s="63">
        <v>503.83</v>
      </c>
      <c r="C41" s="63">
        <v>6</v>
      </c>
      <c r="D41" s="63">
        <v>112.61</v>
      </c>
      <c r="E41" s="54">
        <v>0.6</v>
      </c>
      <c r="F41" s="54">
        <v>0.22</v>
      </c>
      <c r="G41" s="54">
        <v>0.18</v>
      </c>
      <c r="H41" s="54"/>
      <c r="I41" s="56">
        <f t="shared" si="1"/>
        <v>21.939999999999998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56</v>
      </c>
      <c r="B42" s="63">
        <v>533.49</v>
      </c>
      <c r="C42" s="63">
        <v>7</v>
      </c>
      <c r="D42" s="63">
        <v>94.57</v>
      </c>
      <c r="E42" s="54">
        <v>0.7</v>
      </c>
      <c r="F42" s="54">
        <v>0.17</v>
      </c>
      <c r="G42" s="54">
        <v>0.13</v>
      </c>
      <c r="H42" s="54"/>
      <c r="I42" s="56">
        <f t="shared" si="1"/>
        <v>20.324285714285718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63</v>
      </c>
      <c r="B43" s="63">
        <v>569</v>
      </c>
      <c r="C43" s="63">
        <v>8</v>
      </c>
      <c r="D43" s="63">
        <v>99.49</v>
      </c>
      <c r="E43" s="54">
        <v>0.8</v>
      </c>
      <c r="F43" s="54">
        <v>0.11</v>
      </c>
      <c r="G43" s="54">
        <v>0.09</v>
      </c>
      <c r="H43" s="54"/>
      <c r="I43" s="52">
        <f t="shared" si="1"/>
        <v>18.58285714285714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69</v>
      </c>
      <c r="B44" s="63">
        <v>569.98</v>
      </c>
      <c r="C44" s="63"/>
      <c r="D44" s="63"/>
      <c r="E44" s="54"/>
      <c r="F44" s="54"/>
      <c r="G44" s="54"/>
      <c r="H44" s="54"/>
      <c r="I44" s="52">
        <f t="shared" si="1"/>
        <v>16.745000000000005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70</v>
      </c>
      <c r="B45" s="63">
        <v>586.05999999999995</v>
      </c>
      <c r="C45" s="63">
        <v>9</v>
      </c>
      <c r="D45" s="63">
        <v>586.05999999999995</v>
      </c>
      <c r="E45" s="54">
        <v>0.9</v>
      </c>
      <c r="F45" s="54">
        <v>0.06</v>
      </c>
      <c r="G45" s="54">
        <v>0.04</v>
      </c>
      <c r="H45" s="54"/>
      <c r="I45" s="52">
        <f t="shared" si="1"/>
        <v>16.079999999999927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Mélèze d'Europe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10</v>
      </c>
      <c r="B62" s="63">
        <v>16</v>
      </c>
      <c r="C62" s="63">
        <v>1</v>
      </c>
      <c r="D62" s="63">
        <v>0</v>
      </c>
      <c r="E62" s="54">
        <v>0.2</v>
      </c>
      <c r="F62" s="54">
        <v>0.45</v>
      </c>
      <c r="G62" s="54">
        <v>0.35</v>
      </c>
      <c r="H62" s="54"/>
      <c r="I62" s="56">
        <f>IFERROR(B62/A62,"")</f>
        <v>1.6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15</v>
      </c>
      <c r="B63" s="63">
        <v>60</v>
      </c>
      <c r="C63" s="63">
        <v>2</v>
      </c>
      <c r="D63" s="63">
        <v>2</v>
      </c>
      <c r="E63" s="54">
        <v>0.2</v>
      </c>
      <c r="F63" s="54">
        <v>0.45</v>
      </c>
      <c r="G63" s="54">
        <v>0.35</v>
      </c>
      <c r="H63" s="54"/>
      <c r="I63" s="52">
        <f>IF(A63&lt;&gt;0,(B63-(B62-D62))/(A63-A62),"")</f>
        <v>8.8000000000000007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20</v>
      </c>
      <c r="B64" s="63">
        <v>116</v>
      </c>
      <c r="C64" s="63">
        <v>3</v>
      </c>
      <c r="D64" s="63">
        <v>35</v>
      </c>
      <c r="E64" s="54">
        <v>0.3</v>
      </c>
      <c r="F64" s="54">
        <v>0.39</v>
      </c>
      <c r="G64" s="54">
        <v>0.31</v>
      </c>
      <c r="H64" s="54"/>
      <c r="I64" s="52">
        <f>IF(A64&lt;&gt;0,(B64-(B63-D63))/(A64-A63),"")</f>
        <v>11.6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25</v>
      </c>
      <c r="B65" s="63">
        <v>149</v>
      </c>
      <c r="C65" s="63">
        <v>4</v>
      </c>
      <c r="D65" s="63">
        <v>35</v>
      </c>
      <c r="E65" s="54">
        <v>0.3</v>
      </c>
      <c r="F65" s="54">
        <v>0.39</v>
      </c>
      <c r="G65" s="54">
        <v>0.31</v>
      </c>
      <c r="H65" s="54"/>
      <c r="I65" s="52">
        <f>IF(A65&lt;&gt;0,(B65-(B64-D64))/(A65-A64),"")</f>
        <v>13.6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30</v>
      </c>
      <c r="B66" s="63">
        <v>185</v>
      </c>
      <c r="C66" s="63">
        <v>5</v>
      </c>
      <c r="D66" s="63">
        <v>35</v>
      </c>
      <c r="E66" s="54">
        <v>0.4</v>
      </c>
      <c r="F66" s="54">
        <v>0.34</v>
      </c>
      <c r="G66" s="54">
        <v>0.26</v>
      </c>
      <c r="H66" s="54"/>
      <c r="I66" s="52">
        <f t="shared" ref="I66:I81" si="2">IF(A66&lt;&gt;0,(B66-(B65-D65))/(A66-A65),"")</f>
        <v>14.2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35</v>
      </c>
      <c r="B67" s="63">
        <v>219</v>
      </c>
      <c r="C67" s="63">
        <v>6</v>
      </c>
      <c r="D67" s="63">
        <v>35</v>
      </c>
      <c r="E67" s="54">
        <v>0.4</v>
      </c>
      <c r="F67" s="54">
        <v>0.34</v>
      </c>
      <c r="G67" s="54">
        <v>0.26</v>
      </c>
      <c r="H67" s="54"/>
      <c r="I67" s="52">
        <f t="shared" si="2"/>
        <v>13.8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40</v>
      </c>
      <c r="B68" s="63">
        <v>248</v>
      </c>
      <c r="C68" s="63">
        <v>7</v>
      </c>
      <c r="D68" s="63">
        <v>35</v>
      </c>
      <c r="E68" s="54">
        <v>0.5</v>
      </c>
      <c r="F68" s="54">
        <v>0.28000000000000003</v>
      </c>
      <c r="G68" s="54">
        <v>0.22</v>
      </c>
      <c r="H68" s="54"/>
      <c r="I68" s="52">
        <f t="shared" si="2"/>
        <v>12.8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45</v>
      </c>
      <c r="B69" s="53">
        <v>272</v>
      </c>
      <c r="C69" s="53">
        <v>8</v>
      </c>
      <c r="D69" s="53">
        <v>32</v>
      </c>
      <c r="E69" s="54">
        <v>0.5</v>
      </c>
      <c r="F69" s="54">
        <v>0.28000000000000003</v>
      </c>
      <c r="G69" s="54">
        <v>0.22</v>
      </c>
      <c r="H69" s="54"/>
      <c r="I69" s="52">
        <f t="shared" si="2"/>
        <v>11.8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50</v>
      </c>
      <c r="B70" s="53">
        <v>291</v>
      </c>
      <c r="C70" s="53">
        <v>9</v>
      </c>
      <c r="D70" s="53">
        <v>28</v>
      </c>
      <c r="E70" s="54">
        <v>0.5</v>
      </c>
      <c r="F70" s="54">
        <v>0.28000000000000003</v>
      </c>
      <c r="G70" s="54">
        <v>0.22</v>
      </c>
      <c r="H70" s="54"/>
      <c r="I70" s="52">
        <f t="shared" si="2"/>
        <v>10.199999999999999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55</v>
      </c>
      <c r="B71" s="53">
        <v>310</v>
      </c>
      <c r="C71" s="53">
        <v>10</v>
      </c>
      <c r="D71" s="53">
        <v>25</v>
      </c>
      <c r="E71" s="54">
        <v>0.5</v>
      </c>
      <c r="F71" s="54">
        <v>0.28000000000000003</v>
      </c>
      <c r="G71" s="54">
        <v>0.22</v>
      </c>
      <c r="H71" s="54"/>
      <c r="I71" s="52">
        <f t="shared" si="2"/>
        <v>9.4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60</v>
      </c>
      <c r="B72" s="53">
        <v>326</v>
      </c>
      <c r="C72" s="53">
        <v>11</v>
      </c>
      <c r="D72" s="53">
        <v>22</v>
      </c>
      <c r="E72" s="54">
        <v>0.6</v>
      </c>
      <c r="F72" s="54">
        <v>0.22</v>
      </c>
      <c r="G72" s="54">
        <v>0.18</v>
      </c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65</v>
      </c>
      <c r="B73" s="53">
        <v>341</v>
      </c>
      <c r="C73" s="53">
        <v>12</v>
      </c>
      <c r="D73" s="53">
        <v>19</v>
      </c>
      <c r="E73" s="54">
        <v>0.6</v>
      </c>
      <c r="F73" s="54">
        <v>0.22</v>
      </c>
      <c r="G73" s="54">
        <v>0.18</v>
      </c>
      <c r="H73" s="54"/>
      <c r="I73" s="52">
        <f t="shared" si="2"/>
        <v>7.4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70</v>
      </c>
      <c r="B74" s="53">
        <v>353</v>
      </c>
      <c r="C74" s="53">
        <v>13</v>
      </c>
      <c r="D74" s="53">
        <v>17</v>
      </c>
      <c r="E74" s="54">
        <v>0.7</v>
      </c>
      <c r="F74" s="54">
        <v>0.17</v>
      </c>
      <c r="G74" s="54">
        <v>0.13</v>
      </c>
      <c r="H74" s="54"/>
      <c r="I74" s="52">
        <f t="shared" si="2"/>
        <v>6.2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75</v>
      </c>
      <c r="B75" s="53">
        <v>363</v>
      </c>
      <c r="C75" s="53">
        <v>14</v>
      </c>
      <c r="D75" s="53">
        <v>15</v>
      </c>
      <c r="E75" s="54">
        <v>0.7</v>
      </c>
      <c r="F75" s="54">
        <v>0.17</v>
      </c>
      <c r="G75" s="54">
        <v>0.13</v>
      </c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80</v>
      </c>
      <c r="B76" s="53">
        <v>372</v>
      </c>
      <c r="C76" s="53">
        <v>15</v>
      </c>
      <c r="D76" s="53">
        <v>14</v>
      </c>
      <c r="E76" s="54">
        <v>0.7</v>
      </c>
      <c r="F76" s="54">
        <v>0.17</v>
      </c>
      <c r="G76" s="54">
        <v>0.13</v>
      </c>
      <c r="H76" s="54"/>
      <c r="I76" s="52">
        <f t="shared" si="2"/>
        <v>4.8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>
        <v>85</v>
      </c>
      <c r="B77" s="53">
        <v>378</v>
      </c>
      <c r="C77" s="53">
        <v>16</v>
      </c>
      <c r="D77" s="53">
        <v>12</v>
      </c>
      <c r="E77" s="54">
        <v>0.8</v>
      </c>
      <c r="F77" s="54">
        <v>0.11</v>
      </c>
      <c r="G77" s="54">
        <v>0.09</v>
      </c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>
        <v>90</v>
      </c>
      <c r="B78" s="53">
        <v>384</v>
      </c>
      <c r="C78" s="53">
        <v>17</v>
      </c>
      <c r="D78" s="53">
        <v>11</v>
      </c>
      <c r="E78" s="54">
        <v>0.8</v>
      </c>
      <c r="F78" s="54">
        <v>0.11</v>
      </c>
      <c r="G78" s="54">
        <v>0.09</v>
      </c>
      <c r="H78" s="54"/>
      <c r="I78" s="52">
        <f t="shared" si="2"/>
        <v>3.6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>
        <v>95</v>
      </c>
      <c r="B79" s="53">
        <v>390</v>
      </c>
      <c r="C79" s="53">
        <v>18</v>
      </c>
      <c r="D79" s="53">
        <v>10</v>
      </c>
      <c r="E79" s="54">
        <v>0.8</v>
      </c>
      <c r="F79" s="54">
        <v>0.11</v>
      </c>
      <c r="G79" s="54">
        <v>0.09</v>
      </c>
      <c r="H79" s="54"/>
      <c r="I79" s="52">
        <f t="shared" si="2"/>
        <v>3.4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>
        <v>100</v>
      </c>
      <c r="B80" s="53">
        <v>394</v>
      </c>
      <c r="C80" s="53">
        <v>19</v>
      </c>
      <c r="D80" s="53">
        <v>394</v>
      </c>
      <c r="E80" s="54">
        <v>0.9</v>
      </c>
      <c r="F80" s="54">
        <v>0.06</v>
      </c>
      <c r="G80" s="54">
        <v>0.04</v>
      </c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Chêne sessile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44</v>
      </c>
      <c r="B88" s="63">
        <v>190.75</v>
      </c>
      <c r="C88" s="63">
        <v>1</v>
      </c>
      <c r="D88" s="63">
        <v>74.010000000000005</v>
      </c>
      <c r="E88" s="54">
        <v>0.2</v>
      </c>
      <c r="F88" s="54"/>
      <c r="G88" s="54"/>
      <c r="H88" s="93">
        <v>0.8</v>
      </c>
      <c r="I88" s="56">
        <f>IFERROR(B88/A88,"")</f>
        <v>4.3352272727272725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47</v>
      </c>
      <c r="B89" s="63">
        <v>141.9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8.3866666666666703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51</v>
      </c>
      <c r="B90" s="63">
        <v>179.02</v>
      </c>
      <c r="C90" s="63">
        <v>2</v>
      </c>
      <c r="D90" s="63">
        <v>46.13</v>
      </c>
      <c r="E90" s="93">
        <v>0.2</v>
      </c>
      <c r="F90" s="93"/>
      <c r="G90" s="93"/>
      <c r="H90" s="93">
        <v>0.8</v>
      </c>
      <c r="I90" s="56">
        <f t="shared" si="3"/>
        <v>9.2800000000000011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54</v>
      </c>
      <c r="B91" s="63">
        <v>155.63999999999999</v>
      </c>
      <c r="C91" s="63"/>
      <c r="D91" s="63"/>
      <c r="E91" s="93"/>
      <c r="F91" s="93"/>
      <c r="G91" s="93"/>
      <c r="H91" s="93"/>
      <c r="I91" s="56">
        <f t="shared" si="3"/>
        <v>7.5833333333333242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57</v>
      </c>
      <c r="B92" s="63">
        <v>181.56</v>
      </c>
      <c r="C92" s="63"/>
      <c r="D92" s="63"/>
      <c r="E92" s="93"/>
      <c r="F92" s="93"/>
      <c r="G92" s="93"/>
      <c r="H92" s="93"/>
      <c r="I92" s="56">
        <f t="shared" si="3"/>
        <v>8.6400000000000059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59</v>
      </c>
      <c r="B93" s="63">
        <v>199.19</v>
      </c>
      <c r="C93" s="63">
        <v>3</v>
      </c>
      <c r="D93" s="63">
        <v>48.96</v>
      </c>
      <c r="E93" s="93">
        <v>0.2</v>
      </c>
      <c r="F93" s="93"/>
      <c r="G93" s="93"/>
      <c r="H93" s="93">
        <v>0.8</v>
      </c>
      <c r="I93" s="56">
        <f t="shared" si="3"/>
        <v>8.8149999999999977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62</v>
      </c>
      <c r="B94" s="63">
        <v>171.64</v>
      </c>
      <c r="C94" s="63"/>
      <c r="D94" s="63"/>
      <c r="E94" s="93"/>
      <c r="F94" s="93"/>
      <c r="G94" s="93"/>
      <c r="H94" s="93"/>
      <c r="I94" s="56">
        <f t="shared" si="3"/>
        <v>7.1366666666666658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67</v>
      </c>
      <c r="B95" s="63">
        <v>211.64</v>
      </c>
      <c r="C95" s="63">
        <v>4</v>
      </c>
      <c r="D95" s="63">
        <v>40.630000000000003</v>
      </c>
      <c r="E95" s="93">
        <v>0.3</v>
      </c>
      <c r="F95" s="93"/>
      <c r="G95" s="93"/>
      <c r="H95" s="93">
        <v>0.7</v>
      </c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75</v>
      </c>
      <c r="B96" s="63">
        <v>229.61</v>
      </c>
      <c r="C96" s="63">
        <v>5</v>
      </c>
      <c r="D96" s="63">
        <v>39.54</v>
      </c>
      <c r="E96" s="93">
        <v>0.3</v>
      </c>
      <c r="F96" s="93"/>
      <c r="G96" s="93"/>
      <c r="H96" s="93">
        <v>0.7</v>
      </c>
      <c r="I96" s="56">
        <f t="shared" si="3"/>
        <v>7.3250000000000028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84</v>
      </c>
      <c r="B97" s="63">
        <v>253.71</v>
      </c>
      <c r="C97" s="63">
        <v>6</v>
      </c>
      <c r="D97" s="63">
        <v>44.89</v>
      </c>
      <c r="E97" s="93">
        <v>0.4</v>
      </c>
      <c r="F97" s="93"/>
      <c r="G97" s="93"/>
      <c r="H97" s="93">
        <v>0.6</v>
      </c>
      <c r="I97" s="56">
        <f t="shared" si="3"/>
        <v>7.0711111111111098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90</v>
      </c>
      <c r="B98" s="63">
        <v>247.76</v>
      </c>
      <c r="C98" s="63"/>
      <c r="D98" s="63"/>
      <c r="E98" s="93"/>
      <c r="F98" s="93"/>
      <c r="G98" s="93"/>
      <c r="H98" s="93"/>
      <c r="I98" s="56">
        <f t="shared" si="3"/>
        <v>6.4899999999999993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93</v>
      </c>
      <c r="B99" s="63">
        <v>269.52</v>
      </c>
      <c r="C99" s="63">
        <v>7</v>
      </c>
      <c r="D99" s="63">
        <v>38.57</v>
      </c>
      <c r="E99" s="93">
        <v>0.4</v>
      </c>
      <c r="F99" s="93"/>
      <c r="G99" s="93"/>
      <c r="H99" s="93">
        <v>0.6</v>
      </c>
      <c r="I99" s="56">
        <f t="shared" si="3"/>
        <v>7.2533333333333303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103</v>
      </c>
      <c r="B100" s="63">
        <v>298.3</v>
      </c>
      <c r="C100" s="63">
        <v>8</v>
      </c>
      <c r="D100" s="63">
        <v>50.51</v>
      </c>
      <c r="E100" s="68">
        <v>0.5</v>
      </c>
      <c r="F100" s="68"/>
      <c r="G100" s="68"/>
      <c r="H100" s="68">
        <v>0.5</v>
      </c>
      <c r="I100" s="56">
        <f t="shared" si="3"/>
        <v>6.7350000000000021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113</v>
      </c>
      <c r="B101" s="63">
        <v>312.99</v>
      </c>
      <c r="C101" s="63">
        <v>9</v>
      </c>
      <c r="D101" s="63">
        <v>40.479999999999997</v>
      </c>
      <c r="E101" s="68">
        <v>0.5</v>
      </c>
      <c r="F101" s="68"/>
      <c r="G101" s="68"/>
      <c r="H101" s="68">
        <v>0.5</v>
      </c>
      <c r="I101" s="56">
        <f t="shared" si="3"/>
        <v>6.5199999999999987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>
        <v>125</v>
      </c>
      <c r="B102" s="53">
        <v>354.04</v>
      </c>
      <c r="C102" s="63">
        <v>10</v>
      </c>
      <c r="D102" s="53">
        <v>61.5</v>
      </c>
      <c r="E102" s="57">
        <v>0.6</v>
      </c>
      <c r="F102" s="57"/>
      <c r="G102" s="57"/>
      <c r="H102" s="57">
        <v>0.4</v>
      </c>
      <c r="I102" s="56">
        <f t="shared" si="3"/>
        <v>6.7941666666666691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>
        <v>137</v>
      </c>
      <c r="B103" s="53">
        <v>373.1</v>
      </c>
      <c r="C103" s="63">
        <v>11</v>
      </c>
      <c r="D103" s="53">
        <v>65.53</v>
      </c>
      <c r="E103" s="57">
        <v>0.7</v>
      </c>
      <c r="F103" s="57"/>
      <c r="G103" s="57"/>
      <c r="H103" s="57">
        <v>0.3</v>
      </c>
      <c r="I103" s="56">
        <f t="shared" si="3"/>
        <v>6.7133333333333338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>
        <v>149</v>
      </c>
      <c r="B104" s="53">
        <v>385.84</v>
      </c>
      <c r="C104" s="63">
        <v>12</v>
      </c>
      <c r="D104" s="53">
        <v>153.56</v>
      </c>
      <c r="E104" s="57">
        <v>0.7</v>
      </c>
      <c r="F104" s="57"/>
      <c r="G104" s="57"/>
      <c r="H104" s="57">
        <v>0.3</v>
      </c>
      <c r="I104" s="56">
        <f t="shared" si="3"/>
        <v>6.5224999999999937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>
        <v>153</v>
      </c>
      <c r="B105" s="53">
        <v>247.84</v>
      </c>
      <c r="C105" s="53">
        <v>13</v>
      </c>
      <c r="D105" s="53">
        <v>89.29</v>
      </c>
      <c r="E105" s="57">
        <v>0.7</v>
      </c>
      <c r="F105" s="57"/>
      <c r="G105" s="57"/>
      <c r="H105" s="57">
        <v>0.3</v>
      </c>
      <c r="I105" s="56">
        <f t="shared" si="3"/>
        <v>3.8900000000000077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>
        <v>157</v>
      </c>
      <c r="B106" s="53">
        <v>167.77</v>
      </c>
      <c r="C106" s="53">
        <v>14</v>
      </c>
      <c r="D106" s="53">
        <v>57.95</v>
      </c>
      <c r="E106" s="57">
        <v>0.7</v>
      </c>
      <c r="F106" s="57"/>
      <c r="G106" s="57"/>
      <c r="H106" s="57">
        <v>0.3</v>
      </c>
      <c r="I106" s="56">
        <f t="shared" si="3"/>
        <v>2.3049999999999997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>
        <v>161</v>
      </c>
      <c r="B107" s="53">
        <v>115.43</v>
      </c>
      <c r="C107" s="53">
        <v>15</v>
      </c>
      <c r="D107" s="53">
        <v>115.43</v>
      </c>
      <c r="E107" s="57">
        <v>0.8</v>
      </c>
      <c r="F107" s="57"/>
      <c r="G107" s="57"/>
      <c r="H107" s="57">
        <v>0.2</v>
      </c>
      <c r="I107" s="56">
        <f t="shared" si="3"/>
        <v>1.4024999999999999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Châtaignier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10</v>
      </c>
      <c r="B114" s="63">
        <v>11</v>
      </c>
      <c r="C114" s="53">
        <v>1</v>
      </c>
      <c r="D114" s="63">
        <v>0</v>
      </c>
      <c r="E114" s="54">
        <v>0</v>
      </c>
      <c r="F114" s="54"/>
      <c r="G114" s="54"/>
      <c r="H114" s="54">
        <v>1</v>
      </c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15</v>
      </c>
      <c r="B115" s="63">
        <v>65</v>
      </c>
      <c r="C115" s="53">
        <v>2</v>
      </c>
      <c r="D115" s="63">
        <v>32</v>
      </c>
      <c r="E115" s="54">
        <v>0</v>
      </c>
      <c r="F115" s="54"/>
      <c r="G115" s="54"/>
      <c r="H115" s="54">
        <v>1</v>
      </c>
      <c r="I115" s="56">
        <f t="shared" ref="I115:I133" si="4">IF(A115&lt;&gt;0,(B115-(B114-D114))/(A115-A114),"")</f>
        <v>10.8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20</v>
      </c>
      <c r="B116" s="63">
        <v>102</v>
      </c>
      <c r="C116" s="53">
        <v>3</v>
      </c>
      <c r="D116" s="63">
        <v>35</v>
      </c>
      <c r="E116" s="54">
        <v>0</v>
      </c>
      <c r="F116" s="54"/>
      <c r="G116" s="54"/>
      <c r="H116" s="54">
        <v>1</v>
      </c>
      <c r="I116" s="56">
        <f t="shared" si="4"/>
        <v>13.8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25</v>
      </c>
      <c r="B117" s="63">
        <v>141</v>
      </c>
      <c r="C117" s="53">
        <v>4</v>
      </c>
      <c r="D117" s="63">
        <v>35</v>
      </c>
      <c r="E117" s="54">
        <v>0</v>
      </c>
      <c r="F117" s="54"/>
      <c r="G117" s="54"/>
      <c r="H117" s="54">
        <v>1</v>
      </c>
      <c r="I117" s="56">
        <f t="shared" si="4"/>
        <v>14.8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30</v>
      </c>
      <c r="B118" s="63">
        <v>177</v>
      </c>
      <c r="C118" s="53">
        <v>5</v>
      </c>
      <c r="D118" s="63">
        <v>35</v>
      </c>
      <c r="E118" s="54">
        <v>0</v>
      </c>
      <c r="F118" s="54"/>
      <c r="G118" s="54"/>
      <c r="H118" s="54">
        <v>1</v>
      </c>
      <c r="I118" s="56">
        <f t="shared" si="4"/>
        <v>14.2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35</v>
      </c>
      <c r="B119" s="63">
        <v>206</v>
      </c>
      <c r="C119" s="53">
        <v>6</v>
      </c>
      <c r="D119" s="63">
        <v>35</v>
      </c>
      <c r="E119" s="54">
        <v>0.3</v>
      </c>
      <c r="F119" s="54"/>
      <c r="G119" s="54"/>
      <c r="H119" s="54">
        <v>0.7</v>
      </c>
      <c r="I119" s="56">
        <f t="shared" si="4"/>
        <v>12.8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40</v>
      </c>
      <c r="B120" s="63">
        <v>228</v>
      </c>
      <c r="C120" s="63">
        <v>7</v>
      </c>
      <c r="D120" s="63">
        <v>35</v>
      </c>
      <c r="E120" s="93">
        <v>0.4</v>
      </c>
      <c r="F120" s="93"/>
      <c r="G120" s="93"/>
      <c r="H120" s="93">
        <v>0.6</v>
      </c>
      <c r="I120" s="56">
        <f t="shared" si="4"/>
        <v>11.4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45</v>
      </c>
      <c r="B121" s="63">
        <v>242</v>
      </c>
      <c r="C121" s="63">
        <v>8</v>
      </c>
      <c r="D121" s="63">
        <v>24</v>
      </c>
      <c r="E121" s="93">
        <v>0.5</v>
      </c>
      <c r="F121" s="93"/>
      <c r="G121" s="93"/>
      <c r="H121" s="93">
        <v>0.5</v>
      </c>
      <c r="I121" s="56">
        <f t="shared" si="4"/>
        <v>9.8000000000000007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50</v>
      </c>
      <c r="B122" s="63">
        <v>261</v>
      </c>
      <c r="C122" s="63">
        <v>9</v>
      </c>
      <c r="D122" s="63">
        <v>19</v>
      </c>
      <c r="E122" s="93">
        <v>0.5</v>
      </c>
      <c r="F122" s="93"/>
      <c r="G122" s="93"/>
      <c r="H122" s="93">
        <v>0.5</v>
      </c>
      <c r="I122" s="56">
        <f t="shared" si="4"/>
        <v>8.6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55</v>
      </c>
      <c r="B123" s="63">
        <v>279</v>
      </c>
      <c r="C123" s="63">
        <v>10</v>
      </c>
      <c r="D123" s="63">
        <v>16</v>
      </c>
      <c r="E123" s="93">
        <v>0.6</v>
      </c>
      <c r="F123" s="93"/>
      <c r="G123" s="93"/>
      <c r="H123" s="93">
        <v>0.4</v>
      </c>
      <c r="I123" s="56">
        <f t="shared" si="4"/>
        <v>7.4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>
        <v>60</v>
      </c>
      <c r="B124" s="63">
        <v>294</v>
      </c>
      <c r="C124" s="63">
        <v>11</v>
      </c>
      <c r="D124" s="63">
        <v>14</v>
      </c>
      <c r="E124" s="93">
        <v>0.6</v>
      </c>
      <c r="F124" s="93"/>
      <c r="G124" s="93"/>
      <c r="H124" s="93">
        <v>0.4</v>
      </c>
      <c r="I124" s="56">
        <f t="shared" si="4"/>
        <v>6.2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>
        <v>65</v>
      </c>
      <c r="B125" s="63">
        <v>306</v>
      </c>
      <c r="C125" s="63">
        <v>12</v>
      </c>
      <c r="D125" s="63">
        <v>13</v>
      </c>
      <c r="E125" s="93">
        <v>0.7</v>
      </c>
      <c r="F125" s="93"/>
      <c r="G125" s="93"/>
      <c r="H125" s="93">
        <v>0.3</v>
      </c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>
        <v>70</v>
      </c>
      <c r="B126" s="63">
        <v>316</v>
      </c>
      <c r="C126" s="63">
        <v>13</v>
      </c>
      <c r="D126" s="63">
        <v>13</v>
      </c>
      <c r="E126" s="68">
        <v>0.7</v>
      </c>
      <c r="F126" s="68"/>
      <c r="G126" s="68"/>
      <c r="H126" s="68">
        <v>0.3</v>
      </c>
      <c r="I126" s="56">
        <f t="shared" si="4"/>
        <v>4.5999999999999996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>
        <v>75</v>
      </c>
      <c r="B127" s="63">
        <v>324</v>
      </c>
      <c r="C127" s="63">
        <v>14</v>
      </c>
      <c r="D127" s="63">
        <v>12</v>
      </c>
      <c r="E127" s="68">
        <v>0.8</v>
      </c>
      <c r="F127" s="68"/>
      <c r="G127" s="68"/>
      <c r="H127" s="68">
        <v>0.2</v>
      </c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>
        <v>80</v>
      </c>
      <c r="B128" s="53">
        <v>330</v>
      </c>
      <c r="C128" s="53">
        <v>15</v>
      </c>
      <c r="D128" s="53">
        <v>330</v>
      </c>
      <c r="E128" s="57">
        <v>0.8</v>
      </c>
      <c r="F128" s="57"/>
      <c r="G128" s="57"/>
      <c r="H128" s="57">
        <v>0.2</v>
      </c>
      <c r="I128" s="56">
        <f t="shared" si="4"/>
        <v>3.6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Douglas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Mélèze d'Europe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sessile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Châtaignier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321.56347025977988</v>
      </c>
      <c r="T3" s="62">
        <f>IF('Données projet'!E9&gt;30,$R$33-$H$33,LOOKUP('Données projet'!$E$9,$A$3:$A$203,R3:R203)-LOOKUP('Données projet'!$E$9,$A$3:$A$203,$H$3:$H$203))</f>
        <v>285.79375360040717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272.2908884671595</v>
      </c>
      <c r="AO3" s="62">
        <f>IF('Données projet'!E10&gt;30,$AM$33-$H$33,LOOKUP('Données projet'!$E$10,$A$3:$A$203,AM3:AM203)-LOOKUP('Données projet'!$E$10,$A$3:$A$203,$H$3:$H$203))</f>
        <v>220.74777226152867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320.80580551060069</v>
      </c>
      <c r="BJ3" s="62">
        <f>IF('Données projet'!E11&gt;30,$BH$33-$H$33,LOOKUP('Données projet'!$E$11,$A$3:$A$203,BH3:BH203)-LOOKUP('Données projet'!$E$11,$A$3:$A$203,$H$3:$H$203))</f>
        <v>225.55225019382294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254.67898541152096</v>
      </c>
      <c r="CE3" s="62">
        <f>IF('Données projet'!E12&gt;30,$CC$33-$H$33,LOOKUP('Données projet'!$E$12,$A$3:$A$203,CC3:CC203)-LOOKUP('Données projet'!$E$12,$A$3:$A$203,$H$3:$H$203))</f>
        <v>251.52653810702509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8.1284210526315785</v>
      </c>
      <c r="N4" s="14">
        <f>IF('Données projet'!$A$36&gt;35,N3+M4-V3,IF(A4&lt;'Données projet'!$A$36,$K$205^A4,IF(A4='Données projet'!$A$36,'Données projet'!$B$36,N3+M4-V3)))</f>
        <v>1.3037606943669584</v>
      </c>
      <c r="O4" s="14">
        <f>N4*VLOOKUP('Données projet'!$B$9,Paramètres!$A$1:$I$89,3,0)*VLOOKUP('Données projet'!$B$9,Paramètres!$A$1:$I$89,5,0)</f>
        <v>0.72880222815112972</v>
      </c>
      <c r="P4" s="14">
        <f>EXP(-1.0587+0.8836*LN(O4)+0.284)</f>
        <v>0.34846084744582984</v>
      </c>
      <c r="Q4" s="22">
        <f t="shared" ref="Q4:Q34" si="2">(O4+P4)*0.475*44/12</f>
        <v>1.876233189998038</v>
      </c>
      <c r="R4" s="62">
        <f t="shared" si="0"/>
        <v>295.20956652333138</v>
      </c>
      <c r="S4" s="62">
        <f ca="1">AVERAGE(OFFSET($R$3,0,0,'Données projet'!$E$9+1,1))-AVERAGE(OFFSET($H$3,0,0,'Données projet'!$E$9+1,1))</f>
        <v>321.56347025977988</v>
      </c>
      <c r="T4" s="62">
        <f>$T$3</f>
        <v>285.79375360040717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1.6</v>
      </c>
      <c r="AI4" s="14">
        <f>IF('Données projet'!$A$62&gt;35,AI3+AH4-AQ3,IF(A4&lt;'Données projet'!$A$62,$AF$205^A4,IF(A4='Données projet'!$A$62,'Données projet'!$B$62,AI3+AH4-AQ3)))</f>
        <v>1.3195079107728942</v>
      </c>
      <c r="AJ4" s="14">
        <f>AI4*VLOOKUP('Données projet'!$B$10,Paramètres!$A$1:$I$89,3,0)*VLOOKUP('Données projet'!$B$10,Paramètres!$A$1:$I$89,5,0)</f>
        <v>0.82337293632228603</v>
      </c>
      <c r="AK4" s="14">
        <f>EXP(-1.0587+0.8836*LN(AJ4)+0.284)</f>
        <v>0.38812642316931101</v>
      </c>
      <c r="AL4" s="22">
        <f t="shared" ref="AL4:AL67" si="4">(AJ4+AK4)*0.475*44/12</f>
        <v>2.1100280511145315</v>
      </c>
      <c r="AM4" s="62">
        <f t="shared" ref="AM4:AM67" si="5">AL4+(AD4+AE4)*44/12</f>
        <v>295.44336138444783</v>
      </c>
      <c r="AN4" s="62">
        <f ca="1">AVERAGE(OFFSET($AM$3,0,0,'Données projet'!$E$10+1,1))-AVERAGE(OFFSET($H$3,0,0,'Données projet'!$E$10+1,1))</f>
        <v>272.2908884671595</v>
      </c>
      <c r="AO4" s="62">
        <f>$AO$3</f>
        <v>220.74777226152867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4.3352272727272725</v>
      </c>
      <c r="BD4" s="13">
        <f>IF('Données projet'!$A$88&gt;35,BD3+BC4-BL3,IF(A4&lt;'Données projet'!$A$88,$BA$205^A4,IF(A4='Données projet'!$A$88,'Données projet'!$B$88,BD3+BC4-BL3)))</f>
        <v>4.3352272727272725</v>
      </c>
      <c r="BE4" s="14">
        <f>BD4*VLOOKUP('Données projet'!$B$11,Paramètres!$A$1:$I$89,3,0)*VLOOKUP('Données projet'!$B$11,Paramètres!$A$1:$I$89,5,0)</f>
        <v>3.9225136363636359</v>
      </c>
      <c r="BF4" s="14">
        <f>EXP(-1.0587+0.8836*LN(BE4)+0.284)</f>
        <v>1.5417914165620541</v>
      </c>
      <c r="BG4" s="22">
        <f t="shared" ref="BG4:BG67" si="7">(BE4+BF4)*0.475*44/12</f>
        <v>9.5169979671789093</v>
      </c>
      <c r="BH4" s="62">
        <f t="shared" ref="BH4:BH67" si="8">BG4+(AY4+AZ4)*44/12</f>
        <v>302.85033130051221</v>
      </c>
      <c r="BI4" s="62">
        <f ca="1">AVERAGE(OFFSET($BH$3,0,0,'Données projet'!$E$11+1,1))-AVERAGE(OFFSET($H$3,0,0,'Données projet'!$E$11+1,1))</f>
        <v>320.80580551060069</v>
      </c>
      <c r="BJ4" s="62">
        <f>$BJ$3</f>
        <v>225.55225019382294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projet'!$B$12,Paramètres!$A$1:$I$89,3,0)*VLOOKUP('Données projet'!$B$12,Paramètres!$A$1:$I$89,5,0)</f>
        <v>0.93188372027207511</v>
      </c>
      <c r="CA4" s="14">
        <f>EXP(-1.0587+0.8836*LN(BZ4)+0.284)</f>
        <v>0.43299221190803017</v>
      </c>
      <c r="CB4" s="22">
        <f t="shared" ref="CB4:CB67" si="10">(BZ4+CA4)*0.475*44/12</f>
        <v>2.3771589152136832</v>
      </c>
      <c r="CC4" s="62">
        <f t="shared" ref="CC4:CC67" si="11">CB4+(BT4+BU4)*44/12</f>
        <v>295.71049224854698</v>
      </c>
      <c r="CD4" s="62">
        <f ca="1">AVERAGE(OFFSET($CC$3,0,0,'Données projet'!$E$12+1,1))-AVERAGE(OFFSET($H$3,0,0,'Données projet'!$E$12+1,1))</f>
        <v>254.67898541152096</v>
      </c>
      <c r="CE4" s="62">
        <f>$CE$3</f>
        <v>251.52653810702509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8.1284210526315785</v>
      </c>
      <c r="N5" s="14">
        <f>IF('Données projet'!$A$36&gt;35,N4+M5-V4,IF(A5&lt;'Données projet'!$A$36,$K$205^A5,IF(A5='Données projet'!$A$36,'Données projet'!$B$36,N4+M5-V4)))</f>
        <v>1.6997919481762136</v>
      </c>
      <c r="O5" s="14">
        <f>N5*VLOOKUP('Données projet'!$B$9,Paramètres!$A$1:$I$89,3,0)*VLOOKUP('Données projet'!$B$9,Paramètres!$A$1:$I$89,5,0)</f>
        <v>0.95018369903050348</v>
      </c>
      <c r="P5" s="14">
        <f t="shared" ref="P5:P68" si="33">EXP(-1.0587+0.8836*LN(O5)+0.284)</f>
        <v>0.44049688197714731</v>
      </c>
      <c r="Q5" s="22">
        <f t="shared" si="2"/>
        <v>2.4221020119216585</v>
      </c>
      <c r="R5" s="62">
        <f t="shared" si="0"/>
        <v>295.75543534525497</v>
      </c>
      <c r="S5" s="62">
        <f ca="1">AVERAGE(OFFSET($R$3,0,0,'Données projet'!$E$9+1,1))-AVERAGE(OFFSET($H$3,0,0,'Données projet'!$E$9+1,1))</f>
        <v>321.56347025977988</v>
      </c>
      <c r="T5" s="62">
        <f t="shared" ref="T5:T68" si="34">$T$3</f>
        <v>285.79375360040717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1.6</v>
      </c>
      <c r="AI5" s="14">
        <f>IF('Données projet'!$A$62&gt;35,AI4+AH5-AQ4,IF(A5&lt;'Données projet'!$A$62,$AF$205^A5,IF(A5='Données projet'!$A$62,'Données projet'!$B$62,AI4+AH5-AQ4)))</f>
        <v>1.741101126592248</v>
      </c>
      <c r="AJ5" s="14">
        <f>AI5*VLOOKUP('Données projet'!$B$10,Paramètres!$A$1:$I$89,3,0)*VLOOKUP('Données projet'!$B$10,Paramètres!$A$1:$I$89,5,0)</f>
        <v>1.0864471029935627</v>
      </c>
      <c r="AK5" s="14">
        <f t="shared" ref="AK5:AK68" si="35">EXP(-1.0587+0.8836*LN(AJ5)+0.284)</f>
        <v>0.49587161820575165</v>
      </c>
      <c r="AL5" s="22">
        <f t="shared" si="4"/>
        <v>2.7558717727554725</v>
      </c>
      <c r="AM5" s="62">
        <f t="shared" si="5"/>
        <v>296.0892051060888</v>
      </c>
      <c r="AN5" s="62">
        <f ca="1">AVERAGE(OFFSET($AM$3,0,0,'Données projet'!$E$10+1,1))-AVERAGE(OFFSET($H$3,0,0,'Données projet'!$E$10+1,1))</f>
        <v>272.2908884671595</v>
      </c>
      <c r="AO5" s="62">
        <f t="shared" ref="AO5:AO68" si="36">$AO$3</f>
        <v>220.74777226152867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4.3352272727272725</v>
      </c>
      <c r="BD5" s="13">
        <f>IF('Données projet'!$A$88&gt;35,BD4+BC5-BL4,IF(A5&lt;'Données projet'!$A$88,$BA$205^A5,IF(A5='Données projet'!$A$88,'Données projet'!$B$88,BD4+BC5-BL4)))</f>
        <v>8.670454545454545</v>
      </c>
      <c r="BE5" s="14">
        <f>BD5*VLOOKUP('Données projet'!$B$11,Paramètres!$A$1:$I$89,3,0)*VLOOKUP('Données projet'!$B$11,Paramètres!$A$1:$I$89,5,0)</f>
        <v>7.8450272727272718</v>
      </c>
      <c r="BF5" s="14">
        <f t="shared" ref="BF5:BF68" si="37">EXP(-1.0587+0.8836*LN(BE5)+0.284)</f>
        <v>2.8445641197571301</v>
      </c>
      <c r="BG5" s="22">
        <f t="shared" si="7"/>
        <v>18.617705008577001</v>
      </c>
      <c r="BH5" s="62">
        <f t="shared" si="8"/>
        <v>311.95103834191031</v>
      </c>
      <c r="BI5" s="62">
        <f ca="1">AVERAGE(OFFSET($BH$3,0,0,'Données projet'!$E$11+1,1))-AVERAGE(OFFSET($H$3,0,0,'Données projet'!$E$11+1,1))</f>
        <v>320.80580551060069</v>
      </c>
      <c r="BJ5" s="62">
        <f t="shared" ref="BJ5:BJ68" si="38">$BJ$3</f>
        <v>225.55225019382294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projet'!$B$12,Paramètres!$A$1:$I$89,3,0)*VLOOKUP('Données projet'!$B$12,Paramètres!$A$1:$I$89,5,0)</f>
        <v>1.1844070759794372</v>
      </c>
      <c r="CA5" s="14">
        <f t="shared" ref="CA5:CA68" si="39">EXP(-1.0587+0.8836*LN(BZ5)+0.284)</f>
        <v>0.53517712549257934</v>
      </c>
      <c r="CB5" s="22">
        <f t="shared" si="10"/>
        <v>2.9949424842304286</v>
      </c>
      <c r="CC5" s="62">
        <f t="shared" si="11"/>
        <v>296.32827581756374</v>
      </c>
      <c r="CD5" s="62">
        <f ca="1">AVERAGE(OFFSET($CC$3,0,0,'Données projet'!$E$12+1,1))-AVERAGE(OFFSET($H$3,0,0,'Données projet'!$E$12+1,1))</f>
        <v>254.67898541152096</v>
      </c>
      <c r="CE5" s="62">
        <f t="shared" ref="CE5:CE68" si="40">$CE$3</f>
        <v>251.52653810702509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8.1284210526315785</v>
      </c>
      <c r="N6" s="14">
        <f>IF('Données projet'!$A$36&gt;35,N5+M6-V5,IF(A6&lt;'Données projet'!$A$36,$K$205^A6,IF(A6='Données projet'!$A$36,'Données projet'!$B$36,N5+M6-V5)))</f>
        <v>2.2161219306335851</v>
      </c>
      <c r="O6" s="14">
        <f>N6*VLOOKUP('Données projet'!$B$9,Paramètres!$A$1:$I$89,3,0)*VLOOKUP('Données projet'!$B$9,Paramètres!$A$1:$I$89,5,0)</f>
        <v>1.2388121592241741</v>
      </c>
      <c r="P6" s="14">
        <f t="shared" si="33"/>
        <v>0.5568416206694583</v>
      </c>
      <c r="Q6" s="22">
        <f t="shared" si="2"/>
        <v>3.1274303333147428</v>
      </c>
      <c r="R6" s="62">
        <f t="shared" si="0"/>
        <v>296.46076366664806</v>
      </c>
      <c r="S6" s="62">
        <f ca="1">AVERAGE(OFFSET($R$3,0,0,'Données projet'!$E$9+1,1))-AVERAGE(OFFSET($H$3,0,0,'Données projet'!$E$9+1,1))</f>
        <v>321.56347025977988</v>
      </c>
      <c r="T6" s="62">
        <f t="shared" si="34"/>
        <v>285.79375360040717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1.6</v>
      </c>
      <c r="AI6" s="14">
        <f>IF('Données projet'!$A$62&gt;35,AI5+AH6-AQ5,IF(A6&lt;'Données projet'!$A$62,$AF$205^A6,IF(A6='Données projet'!$A$62,'Données projet'!$B$62,AI5+AH6-AQ5)))</f>
        <v>2.2973967099940698</v>
      </c>
      <c r="AJ6" s="14">
        <f>AI6*VLOOKUP('Données projet'!$B$10,Paramètres!$A$1:$I$89,3,0)*VLOOKUP('Données projet'!$B$10,Paramètres!$A$1:$I$89,5,0)</f>
        <v>1.4335755470362996</v>
      </c>
      <c r="AK6" s="14">
        <f t="shared" si="35"/>
        <v>0.63352724025884655</v>
      </c>
      <c r="AL6" s="22">
        <f t="shared" si="4"/>
        <v>3.6002040212057129</v>
      </c>
      <c r="AM6" s="62">
        <f t="shared" si="5"/>
        <v>296.93353735453906</v>
      </c>
      <c r="AN6" s="62">
        <f ca="1">AVERAGE(OFFSET($AM$3,0,0,'Données projet'!$E$10+1,1))-AVERAGE(OFFSET($H$3,0,0,'Données projet'!$E$10+1,1))</f>
        <v>272.2908884671595</v>
      </c>
      <c r="AO6" s="62">
        <f t="shared" si="36"/>
        <v>220.74777226152867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4.3352272727272725</v>
      </c>
      <c r="BD6" s="13">
        <f>IF('Données projet'!$A$88&gt;35,BD5+BC6-BL5,IF(A6&lt;'Données projet'!$A$88,$BA$205^A6,IF(A6='Données projet'!$A$88,'Données projet'!$B$88,BD5+BC6-BL5)))</f>
        <v>13.005681818181817</v>
      </c>
      <c r="BE6" s="14">
        <f>BD6*VLOOKUP('Données projet'!$B$11,Paramètres!$A$1:$I$89,3,0)*VLOOKUP('Données projet'!$B$11,Paramètres!$A$1:$I$89,5,0)</f>
        <v>11.767540909090908</v>
      </c>
      <c r="BF6" s="14">
        <f t="shared" si="37"/>
        <v>4.0701457765235389</v>
      </c>
      <c r="BG6" s="22">
        <f t="shared" si="7"/>
        <v>27.583970977445158</v>
      </c>
      <c r="BH6" s="62">
        <f t="shared" si="8"/>
        <v>320.91730431077849</v>
      </c>
      <c r="BI6" s="62">
        <f ca="1">AVERAGE(OFFSET($BH$3,0,0,'Données projet'!$E$11+1,1))-AVERAGE(OFFSET($H$3,0,0,'Données projet'!$E$11+1,1))</f>
        <v>320.80580551060069</v>
      </c>
      <c r="BJ6" s="62">
        <f t="shared" si="38"/>
        <v>225.55225019382294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projet'!$B$12,Paramètres!$A$1:$I$89,3,0)*VLOOKUP('Données projet'!$B$12,Paramètres!$A$1:$I$89,5,0)</f>
        <v>1.5053596184946649</v>
      </c>
      <c r="CA6" s="14">
        <f t="shared" si="39"/>
        <v>0.66147738405820555</v>
      </c>
      <c r="CB6" s="22">
        <f t="shared" si="10"/>
        <v>3.7739077794462492</v>
      </c>
      <c r="CC6" s="62">
        <f t="shared" si="11"/>
        <v>297.10724111277955</v>
      </c>
      <c r="CD6" s="62">
        <f ca="1">AVERAGE(OFFSET($CC$3,0,0,'Données projet'!$E$12+1,1))-AVERAGE(OFFSET($H$3,0,0,'Données projet'!$E$12+1,1))</f>
        <v>254.67898541152096</v>
      </c>
      <c r="CE6" s="62">
        <f t="shared" si="40"/>
        <v>251.52653810702509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8.1284210526315785</v>
      </c>
      <c r="N7" s="14">
        <f>IF('Données projet'!$A$36&gt;35,N6+M7-V6,IF(A7&lt;'Données projet'!$A$36,$K$205^A7,IF(A7='Données projet'!$A$36,'Données projet'!$B$36,N6+M7-V6)))</f>
        <v>2.8892926670846877</v>
      </c>
      <c r="O7" s="14">
        <f>N7*VLOOKUP('Données projet'!$B$9,Paramètres!$A$1:$I$89,3,0)*VLOOKUP('Données projet'!$B$9,Paramètres!$A$1:$I$89,5,0)</f>
        <v>1.6151146009003403</v>
      </c>
      <c r="P7" s="14">
        <f t="shared" si="33"/>
        <v>0.70391551721783874</v>
      </c>
      <c r="Q7" s="22">
        <f t="shared" si="2"/>
        <v>4.0389774557224944</v>
      </c>
      <c r="R7" s="62">
        <f t="shared" si="0"/>
        <v>297.3723107890558</v>
      </c>
      <c r="S7" s="62">
        <f ca="1">AVERAGE(OFFSET($R$3,0,0,'Données projet'!$E$9+1,1))-AVERAGE(OFFSET($H$3,0,0,'Données projet'!$E$9+1,1))</f>
        <v>321.56347025977988</v>
      </c>
      <c r="T7" s="62">
        <f t="shared" si="34"/>
        <v>285.79375360040717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1.6</v>
      </c>
      <c r="AI7" s="14">
        <f>IF('Données projet'!$A$62&gt;35,AI6+AH7-AQ6,IF(A7&lt;'Données projet'!$A$62,$AF$205^A7,IF(A7='Données projet'!$A$62,'Données projet'!$B$62,AI6+AH7-AQ6)))</f>
        <v>3.0314331330207951</v>
      </c>
      <c r="AJ7" s="14">
        <f>AI7*VLOOKUP('Données projet'!$B$10,Paramètres!$A$1:$I$89,3,0)*VLOOKUP('Données projet'!$B$10,Paramètres!$A$1:$I$89,5,0)</f>
        <v>1.891614275004976</v>
      </c>
      <c r="AK7" s="14">
        <f t="shared" si="35"/>
        <v>0.80939652404839879</v>
      </c>
      <c r="AL7" s="22">
        <f t="shared" si="4"/>
        <v>4.7042604750179606</v>
      </c>
      <c r="AM7" s="62">
        <f t="shared" si="5"/>
        <v>298.03759380835129</v>
      </c>
      <c r="AN7" s="62">
        <f ca="1">AVERAGE(OFFSET($AM$3,0,0,'Données projet'!$E$10+1,1))-AVERAGE(OFFSET($H$3,0,0,'Données projet'!$E$10+1,1))</f>
        <v>272.2908884671595</v>
      </c>
      <c r="AO7" s="62">
        <f t="shared" si="36"/>
        <v>220.74777226152867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4.3352272727272725</v>
      </c>
      <c r="BD7" s="13">
        <f>IF('Données projet'!$A$88&gt;35,BD6+BC7-BL6,IF(A7&lt;'Données projet'!$A$88,$BA$205^A7,IF(A7='Données projet'!$A$88,'Données projet'!$B$88,BD6+BC7-BL6)))</f>
        <v>17.34090909090909</v>
      </c>
      <c r="BE7" s="14">
        <f>BD7*VLOOKUP('Données projet'!$B$11,Paramètres!$A$1:$I$89,3,0)*VLOOKUP('Données projet'!$B$11,Paramètres!$A$1:$I$89,5,0)</f>
        <v>15.690054545454544</v>
      </c>
      <c r="BF7" s="14">
        <f t="shared" si="37"/>
        <v>5.2481450762337865</v>
      </c>
      <c r="BG7" s="22">
        <f t="shared" si="7"/>
        <v>36.467364341107171</v>
      </c>
      <c r="BH7" s="62">
        <f t="shared" si="8"/>
        <v>329.80069767444047</v>
      </c>
      <c r="BI7" s="62">
        <f ca="1">AVERAGE(OFFSET($BH$3,0,0,'Données projet'!$E$11+1,1))-AVERAGE(OFFSET($H$3,0,0,'Données projet'!$E$11+1,1))</f>
        <v>320.80580551060069</v>
      </c>
      <c r="BJ7" s="62">
        <f t="shared" si="38"/>
        <v>225.55225019382294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projet'!$B$12,Paramètres!$A$1:$I$89,3,0)*VLOOKUP('Données projet'!$B$12,Paramètres!$A$1:$I$89,5,0)</f>
        <v>1.9132843993864705</v>
      </c>
      <c r="CA7" s="14">
        <f t="shared" si="39"/>
        <v>0.81758413948982178</v>
      </c>
      <c r="CB7" s="22">
        <f t="shared" si="10"/>
        <v>4.7562627052095419</v>
      </c>
      <c r="CC7" s="62">
        <f t="shared" si="11"/>
        <v>298.08959603854288</v>
      </c>
      <c r="CD7" s="62">
        <f ca="1">AVERAGE(OFFSET($CC$3,0,0,'Données projet'!$E$12+1,1))-AVERAGE(OFFSET($H$3,0,0,'Données projet'!$E$12+1,1))</f>
        <v>254.67898541152096</v>
      </c>
      <c r="CE7" s="62">
        <f t="shared" si="40"/>
        <v>251.52653810702509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8.1284210526315785</v>
      </c>
      <c r="N8" s="14">
        <f>IF('Données projet'!$A$36&gt;35,N7+M8-V7,IF(A8&lt;'Données projet'!$A$36,$K$205^A8,IF(A8='Données projet'!$A$36,'Données projet'!$B$36,N7+M8-V7)))</f>
        <v>3.7669462138676937</v>
      </c>
      <c r="O8" s="14">
        <f>N8*VLOOKUP('Données projet'!$B$9,Paramètres!$A$1:$I$89,3,0)*VLOOKUP('Données projet'!$B$9,Paramètres!$A$1:$I$89,5,0)</f>
        <v>2.1057229335520411</v>
      </c>
      <c r="P8" s="14">
        <f t="shared" si="33"/>
        <v>0.88983480578256757</v>
      </c>
      <c r="Q8" s="22">
        <f t="shared" si="2"/>
        <v>5.2172630626744434</v>
      </c>
      <c r="R8" s="62">
        <f t="shared" si="0"/>
        <v>298.55059639600773</v>
      </c>
      <c r="S8" s="62">
        <f ca="1">AVERAGE(OFFSET($R$3,0,0,'Données projet'!$E$9+1,1))-AVERAGE(OFFSET($H$3,0,0,'Données projet'!$E$9+1,1))</f>
        <v>321.56347025977988</v>
      </c>
      <c r="T8" s="62">
        <f t="shared" si="34"/>
        <v>285.79375360040717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1.6</v>
      </c>
      <c r="AI8" s="14">
        <f>IF('Données projet'!$A$62&gt;35,AI7+AH8-AQ7,IF(A8&lt;'Données projet'!$A$62,$AF$205^A8,IF(A8='Données projet'!$A$62,'Données projet'!$B$62,AI7+AH8-AQ7)))</f>
        <v>3.9999999999999982</v>
      </c>
      <c r="AJ8" s="14">
        <f>AI8*VLOOKUP('Données projet'!$B$10,Paramètres!$A$1:$I$89,3,0)*VLOOKUP('Données projet'!$B$10,Paramètres!$A$1:$I$89,5,0)</f>
        <v>2.4959999999999987</v>
      </c>
      <c r="AK8" s="14">
        <f t="shared" si="35"/>
        <v>1.0340877100627279</v>
      </c>
      <c r="AL8" s="22">
        <f t="shared" si="4"/>
        <v>6.1482360950259149</v>
      </c>
      <c r="AM8" s="62">
        <f t="shared" si="5"/>
        <v>299.48156942835925</v>
      </c>
      <c r="AN8" s="62">
        <f ca="1">AVERAGE(OFFSET($AM$3,0,0,'Données projet'!$E$10+1,1))-AVERAGE(OFFSET($H$3,0,0,'Données projet'!$E$10+1,1))</f>
        <v>272.2908884671595</v>
      </c>
      <c r="AO8" s="62">
        <f t="shared" si="36"/>
        <v>220.74777226152867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4.3352272727272725</v>
      </c>
      <c r="BD8" s="13">
        <f>IF('Données projet'!$A$88&gt;35,BD7+BC8-BL7,IF(A8&lt;'Données projet'!$A$88,$BA$205^A8,IF(A8='Données projet'!$A$88,'Données projet'!$B$88,BD7+BC8-BL7)))</f>
        <v>21.676136363636363</v>
      </c>
      <c r="BE8" s="14">
        <f>BD8*VLOOKUP('Données projet'!$B$11,Paramètres!$A$1:$I$89,3,0)*VLOOKUP('Données projet'!$B$11,Paramètres!$A$1:$I$89,5,0)</f>
        <v>19.61256818181818</v>
      </c>
      <c r="BF8" s="14">
        <f t="shared" si="37"/>
        <v>6.3919816475485192</v>
      </c>
      <c r="BG8" s="22">
        <f t="shared" si="7"/>
        <v>45.291257619480326</v>
      </c>
      <c r="BH8" s="62">
        <f t="shared" si="8"/>
        <v>338.62459095281366</v>
      </c>
      <c r="BI8" s="62">
        <f ca="1">AVERAGE(OFFSET($BH$3,0,0,'Données projet'!$E$11+1,1))-AVERAGE(OFFSET($H$3,0,0,'Données projet'!$E$11+1,1))</f>
        <v>320.80580551060069</v>
      </c>
      <c r="BJ8" s="62">
        <f t="shared" si="38"/>
        <v>225.55225019382294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projet'!$B$12,Paramètres!$A$1:$I$89,3,0)*VLOOKUP('Données projet'!$B$12,Paramètres!$A$1:$I$89,5,0)</f>
        <v>2.4317492962885807</v>
      </c>
      <c r="CA8" s="14">
        <f t="shared" si="39"/>
        <v>1.010531639108154</v>
      </c>
      <c r="CB8" s="22">
        <f t="shared" si="10"/>
        <v>5.9953059624826457</v>
      </c>
      <c r="CC8" s="62">
        <f t="shared" si="11"/>
        <v>299.32863929581595</v>
      </c>
      <c r="CD8" s="62">
        <f ca="1">AVERAGE(OFFSET($CC$3,0,0,'Données projet'!$E$12+1,1))-AVERAGE(OFFSET($H$3,0,0,'Données projet'!$E$12+1,1))</f>
        <v>254.67898541152096</v>
      </c>
      <c r="CE8" s="62">
        <f t="shared" si="40"/>
        <v>251.52653810702509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8.1284210526315785</v>
      </c>
      <c r="N9" s="14">
        <f>IF('Données projet'!$A$36&gt;35,N8+M9-V8,IF(A9&lt;'Données projet'!$A$36,$K$205^A9,IF(A9='Données projet'!$A$36,'Données projet'!$B$36,N8+M9-V8)))</f>
        <v>4.911196411435129</v>
      </c>
      <c r="O9" s="14">
        <f>N9*VLOOKUP('Données projet'!$B$9,Paramètres!$A$1:$I$89,3,0)*VLOOKUP('Données projet'!$B$9,Paramètres!$A$1:$I$89,5,0)</f>
        <v>2.7453587939922373</v>
      </c>
      <c r="P9" s="14">
        <f t="shared" si="33"/>
        <v>1.1248593932289483</v>
      </c>
      <c r="Q9" s="22">
        <f t="shared" si="2"/>
        <v>6.7406300094102312</v>
      </c>
      <c r="R9" s="62">
        <f t="shared" si="0"/>
        <v>300.07396334274353</v>
      </c>
      <c r="S9" s="62">
        <f ca="1">AVERAGE(OFFSET($R$3,0,0,'Données projet'!$E$9+1,1))-AVERAGE(OFFSET($H$3,0,0,'Données projet'!$E$9+1,1))</f>
        <v>321.56347025977988</v>
      </c>
      <c r="T9" s="62">
        <f t="shared" si="34"/>
        <v>285.79375360040717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1.6</v>
      </c>
      <c r="AI9" s="14">
        <f>IF('Données projet'!$A$62&gt;35,AI8+AH9-AQ8,IF(A9&lt;'Données projet'!$A$62,$AF$205^A9,IF(A9='Données projet'!$A$62,'Données projet'!$B$62,AI8+AH9-AQ8)))</f>
        <v>5.2780316430915741</v>
      </c>
      <c r="AJ9" s="14">
        <f>AI9*VLOOKUP('Données projet'!$B$10,Paramètres!$A$1:$I$89,3,0)*VLOOKUP('Données projet'!$B$10,Paramètres!$A$1:$I$89,5,0)</f>
        <v>3.2934917452891423</v>
      </c>
      <c r="AK9" s="14">
        <f t="shared" si="35"/>
        <v>1.3211539218802408</v>
      </c>
      <c r="AL9" s="22">
        <f t="shared" si="4"/>
        <v>8.0371745369866741</v>
      </c>
      <c r="AM9" s="62">
        <f t="shared" si="5"/>
        <v>301.37050787032001</v>
      </c>
      <c r="AN9" s="62">
        <f ca="1">AVERAGE(OFFSET($AM$3,0,0,'Données projet'!$E$10+1,1))-AVERAGE(OFFSET($H$3,0,0,'Données projet'!$E$10+1,1))</f>
        <v>272.2908884671595</v>
      </c>
      <c r="AO9" s="62">
        <f t="shared" si="36"/>
        <v>220.74777226152867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4.3352272727272725</v>
      </c>
      <c r="BD9" s="13">
        <f>IF('Données projet'!$A$88&gt;35,BD8+BC9-BL8,IF(A9&lt;'Données projet'!$A$88,$BA$205^A9,IF(A9='Données projet'!$A$88,'Données projet'!$B$88,BD8+BC9-BL8)))</f>
        <v>26.011363636363637</v>
      </c>
      <c r="BE9" s="14">
        <f>BD9*VLOOKUP('Données projet'!$B$11,Paramètres!$A$1:$I$89,3,0)*VLOOKUP('Données projet'!$B$11,Paramètres!$A$1:$I$89,5,0)</f>
        <v>23.535081818181819</v>
      </c>
      <c r="BF9" s="14">
        <f t="shared" si="37"/>
        <v>7.5093106069409075</v>
      </c>
      <c r="BG9" s="22">
        <f t="shared" si="7"/>
        <v>54.068983473755416</v>
      </c>
      <c r="BH9" s="62">
        <f t="shared" si="8"/>
        <v>347.40231680708871</v>
      </c>
      <c r="BI9" s="62">
        <f ca="1">AVERAGE(OFFSET($BH$3,0,0,'Données projet'!$E$11+1,1))-AVERAGE(OFFSET($H$3,0,0,'Données projet'!$E$11+1,1))</f>
        <v>320.80580551060069</v>
      </c>
      <c r="BJ9" s="62">
        <f t="shared" si="38"/>
        <v>225.55225019382294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projet'!$B$12,Paramètres!$A$1:$I$89,3,0)*VLOOKUP('Données projet'!$B$12,Paramètres!$A$1:$I$89,5,0)</f>
        <v>3.0907086483829831</v>
      </c>
      <c r="CA9" s="14">
        <f t="shared" si="39"/>
        <v>1.2490141923201104</v>
      </c>
      <c r="CB9" s="22">
        <f t="shared" si="10"/>
        <v>7.5583506142245538</v>
      </c>
      <c r="CC9" s="62">
        <f t="shared" si="11"/>
        <v>300.89168394755785</v>
      </c>
      <c r="CD9" s="62">
        <f ca="1">AVERAGE(OFFSET($CC$3,0,0,'Données projet'!$E$12+1,1))-AVERAGE(OFFSET($H$3,0,0,'Données projet'!$E$12+1,1))</f>
        <v>254.67898541152096</v>
      </c>
      <c r="CE9" s="62">
        <f t="shared" si="40"/>
        <v>251.52653810702509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8.1284210526315785</v>
      </c>
      <c r="N10" s="14">
        <f>IF('Données projet'!$A$36&gt;35,N9+M10-V9,IF(A10&lt;'Données projet'!$A$36,$K$205^A10,IF(A10='Données projet'!$A$36,'Données projet'!$B$36,N9+M10-V9)))</f>
        <v>6.403024843545178</v>
      </c>
      <c r="O10" s="14">
        <f>N10*VLOOKUP('Données projet'!$B$9,Paramètres!$A$1:$I$89,3,0)*VLOOKUP('Données projet'!$B$9,Paramètres!$A$1:$I$89,5,0)</f>
        <v>3.5792908875417546</v>
      </c>
      <c r="P10" s="14">
        <f t="shared" si="33"/>
        <v>1.4219590493795295</v>
      </c>
      <c r="Q10" s="22">
        <f t="shared" si="2"/>
        <v>8.7105103068045704</v>
      </c>
      <c r="R10" s="62">
        <f t="shared" si="0"/>
        <v>302.04384364013788</v>
      </c>
      <c r="S10" s="62">
        <f ca="1">AVERAGE(OFFSET($R$3,0,0,'Données projet'!$E$9+1,1))-AVERAGE(OFFSET($H$3,0,0,'Données projet'!$E$9+1,1))</f>
        <v>321.56347025977988</v>
      </c>
      <c r="T10" s="62">
        <f t="shared" si="34"/>
        <v>285.79375360040717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1.6</v>
      </c>
      <c r="AI10" s="14">
        <f>IF('Données projet'!$A$62&gt;35,AI9+AH10-AQ9,IF(A10&lt;'Données projet'!$A$62,$AF$205^A10,IF(A10='Données projet'!$A$62,'Données projet'!$B$62,AI9+AH10-AQ9)))</f>
        <v>6.9644045063689894</v>
      </c>
      <c r="AJ10" s="14">
        <f>AI10*VLOOKUP('Données projet'!$B$10,Paramètres!$A$1:$I$89,3,0)*VLOOKUP('Données projet'!$B$10,Paramètres!$A$1:$I$89,5,0)</f>
        <v>4.3457884119742491</v>
      </c>
      <c r="AK10" s="14">
        <f t="shared" si="35"/>
        <v>1.6879106755786337</v>
      </c>
      <c r="AL10" s="22">
        <f t="shared" si="4"/>
        <v>10.508692577487937</v>
      </c>
      <c r="AM10" s="62">
        <f t="shared" si="5"/>
        <v>303.84202591082123</v>
      </c>
      <c r="AN10" s="62">
        <f ca="1">AVERAGE(OFFSET($AM$3,0,0,'Données projet'!$E$10+1,1))-AVERAGE(OFFSET($H$3,0,0,'Données projet'!$E$10+1,1))</f>
        <v>272.2908884671595</v>
      </c>
      <c r="AO10" s="62">
        <f t="shared" si="36"/>
        <v>220.74777226152867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4.3352272727272725</v>
      </c>
      <c r="BD10" s="13">
        <f>IF('Données projet'!$A$88&gt;35,BD9+BC10-BL9,IF(A10&lt;'Données projet'!$A$88,$BA$205^A10,IF(A10='Données projet'!$A$88,'Données projet'!$B$88,BD9+BC10-BL9)))</f>
        <v>30.34659090909091</v>
      </c>
      <c r="BE10" s="14">
        <f>BD10*VLOOKUP('Données projet'!$B$11,Paramètres!$A$1:$I$89,3,0)*VLOOKUP('Données projet'!$B$11,Paramètres!$A$1:$I$89,5,0)</f>
        <v>27.457595454545455</v>
      </c>
      <c r="BF10" s="14">
        <f t="shared" si="37"/>
        <v>8.6050669120118162</v>
      </c>
      <c r="BG10" s="22">
        <f t="shared" si="7"/>
        <v>62.80913695508724</v>
      </c>
      <c r="BH10" s="62">
        <f t="shared" si="8"/>
        <v>356.14247028842055</v>
      </c>
      <c r="BI10" s="62">
        <f ca="1">AVERAGE(OFFSET($BH$3,0,0,'Données projet'!$E$11+1,1))-AVERAGE(OFFSET($H$3,0,0,'Données projet'!$E$11+1,1))</f>
        <v>320.80580551060069</v>
      </c>
      <c r="BJ10" s="62">
        <f t="shared" si="38"/>
        <v>225.55225019382294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projet'!$B$12,Paramètres!$A$1:$I$89,3,0)*VLOOKUP('Données projet'!$B$12,Paramètres!$A$1:$I$89,5,0)</f>
        <v>3.9282338700657551</v>
      </c>
      <c r="CA10" s="14">
        <f t="shared" si="39"/>
        <v>1.5437779404847436</v>
      </c>
      <c r="CB10" s="22">
        <f t="shared" si="10"/>
        <v>9.5304205700421178</v>
      </c>
      <c r="CC10" s="62">
        <f t="shared" si="11"/>
        <v>302.86375390337543</v>
      </c>
      <c r="CD10" s="62">
        <f ca="1">AVERAGE(OFFSET($CC$3,0,0,'Données projet'!$E$12+1,1))-AVERAGE(OFFSET($H$3,0,0,'Données projet'!$E$12+1,1))</f>
        <v>254.67898541152096</v>
      </c>
      <c r="CE10" s="62">
        <f t="shared" si="40"/>
        <v>251.52653810702509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8.1284210526315785</v>
      </c>
      <c r="N11" s="14">
        <f>IF('Données projet'!$A$36&gt;35,N10+M11-V10,IF(A11&lt;'Données projet'!$A$36,$K$205^A11,IF(A11='Données projet'!$A$36,'Données projet'!$B$36,N10+M11-V10)))</f>
        <v>8.3480121160693486</v>
      </c>
      <c r="O11" s="14">
        <f>N11*VLOOKUP('Données projet'!$B$9,Paramètres!$A$1:$I$89,3,0)*VLOOKUP('Données projet'!$B$9,Paramètres!$A$1:$I$89,5,0)</f>
        <v>4.6665387728827659</v>
      </c>
      <c r="P11" s="14">
        <f t="shared" si="33"/>
        <v>1.7975291403383375</v>
      </c>
      <c r="Q11" s="22">
        <f t="shared" si="2"/>
        <v>11.258251615526754</v>
      </c>
      <c r="R11" s="62">
        <f t="shared" si="0"/>
        <v>304.59158494886009</v>
      </c>
      <c r="S11" s="62">
        <f ca="1">AVERAGE(OFFSET($R$3,0,0,'Données projet'!$E$9+1,1))-AVERAGE(OFFSET($H$3,0,0,'Données projet'!$E$9+1,1))</f>
        <v>321.56347025977988</v>
      </c>
      <c r="T11" s="62">
        <f t="shared" si="34"/>
        <v>285.79375360040717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1.6</v>
      </c>
      <c r="AI11" s="14">
        <f>IF('Données projet'!$A$62&gt;35,AI10+AH11-AQ10,IF(A11&lt;'Données projet'!$A$62,$AF$205^A11,IF(A11='Données projet'!$A$62,'Données projet'!$B$62,AI10+AH11-AQ10)))</f>
        <v>9.1895868399762737</v>
      </c>
      <c r="AJ11" s="14">
        <f>AI11*VLOOKUP('Données projet'!$B$10,Paramètres!$A$1:$I$89,3,0)*VLOOKUP('Données projet'!$B$10,Paramètres!$A$1:$I$89,5,0)</f>
        <v>5.734302188145195</v>
      </c>
      <c r="AK11" s="14">
        <f t="shared" si="35"/>
        <v>2.1564803324942012</v>
      </c>
      <c r="AL11" s="22">
        <f t="shared" si="4"/>
        <v>13.743112890113615</v>
      </c>
      <c r="AM11" s="62">
        <f t="shared" si="5"/>
        <v>307.07644622344691</v>
      </c>
      <c r="AN11" s="62">
        <f ca="1">AVERAGE(OFFSET($AM$3,0,0,'Données projet'!$E$10+1,1))-AVERAGE(OFFSET($H$3,0,0,'Données projet'!$E$10+1,1))</f>
        <v>272.2908884671595</v>
      </c>
      <c r="AO11" s="62">
        <f t="shared" si="36"/>
        <v>220.74777226152867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4.3352272727272725</v>
      </c>
      <c r="BD11" s="13">
        <f>IF('Données projet'!$A$88&gt;35,BD10+BC11-BL10,IF(A11&lt;'Données projet'!$A$88,$BA$205^A11,IF(A11='Données projet'!$A$88,'Données projet'!$B$88,BD10+BC11-BL10)))</f>
        <v>34.68181818181818</v>
      </c>
      <c r="BE11" s="14">
        <f>BD11*VLOOKUP('Données projet'!$B$11,Paramètres!$A$1:$I$89,3,0)*VLOOKUP('Données projet'!$B$11,Paramètres!$A$1:$I$89,5,0)</f>
        <v>31.380109090909087</v>
      </c>
      <c r="BF11" s="14">
        <f t="shared" si="37"/>
        <v>9.68268795556226</v>
      </c>
      <c r="BG11" s="22">
        <f t="shared" si="7"/>
        <v>71.517704855937595</v>
      </c>
      <c r="BH11" s="62">
        <f t="shared" si="8"/>
        <v>364.85103818927092</v>
      </c>
      <c r="BI11" s="62">
        <f ca="1">AVERAGE(OFFSET($BH$3,0,0,'Données projet'!$E$11+1,1))-AVERAGE(OFFSET($H$3,0,0,'Données projet'!$E$11+1,1))</f>
        <v>320.80580551060069</v>
      </c>
      <c r="BJ11" s="62">
        <f t="shared" si="38"/>
        <v>225.55225019382294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projet'!$B$12,Paramètres!$A$1:$I$89,3,0)*VLOOKUP('Données projet'!$B$12,Paramètres!$A$1:$I$89,5,0)</f>
        <v>4.9927130290993551</v>
      </c>
      <c r="CA11" s="14">
        <f t="shared" si="39"/>
        <v>1.9081050833380053</v>
      </c>
      <c r="CB11" s="22">
        <f t="shared" si="10"/>
        <v>12.018924879161736</v>
      </c>
      <c r="CC11" s="62">
        <f t="shared" si="11"/>
        <v>305.35225821249503</v>
      </c>
      <c r="CD11" s="62">
        <f ca="1">AVERAGE(OFFSET($CC$3,0,0,'Données projet'!$E$12+1,1))-AVERAGE(OFFSET($H$3,0,0,'Données projet'!$E$12+1,1))</f>
        <v>254.67898541152096</v>
      </c>
      <c r="CE11" s="62">
        <f t="shared" si="40"/>
        <v>251.52653810702509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8.1284210526315785</v>
      </c>
      <c r="N12" s="14">
        <f>IF('Données projet'!$A$36&gt;35,N11+M12-V11,IF(A12&lt;'Données projet'!$A$36,$K$205^A12,IF(A12='Données projet'!$A$36,'Données projet'!$B$36,N11+M12-V11)))</f>
        <v>10.883810073030356</v>
      </c>
      <c r="O12" s="14">
        <f>N12*VLOOKUP('Données projet'!$B$9,Paramètres!$A$1:$I$89,3,0)*VLOOKUP('Données projet'!$B$9,Paramètres!$A$1:$I$89,5,0)</f>
        <v>6.084049830823969</v>
      </c>
      <c r="P12" s="14">
        <f t="shared" si="33"/>
        <v>2.272295402441705</v>
      </c>
      <c r="Q12" s="22">
        <f t="shared" si="2"/>
        <v>14.553967947937716</v>
      </c>
      <c r="R12" s="62">
        <f t="shared" si="0"/>
        <v>307.88730128127105</v>
      </c>
      <c r="S12" s="62">
        <f ca="1">AVERAGE(OFFSET($R$3,0,0,'Données projet'!$E$9+1,1))-AVERAGE(OFFSET($H$3,0,0,'Données projet'!$E$9+1,1))</f>
        <v>321.56347025977988</v>
      </c>
      <c r="T12" s="62">
        <f t="shared" si="34"/>
        <v>285.79375360040717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1.6</v>
      </c>
      <c r="AI12" s="14">
        <f>IF('Données projet'!$A$62&gt;35,AI11+AH12-AQ11,IF(A12&lt;'Données projet'!$A$62,$AF$205^A12,IF(A12='Données projet'!$A$62,'Données projet'!$B$62,AI11+AH12-AQ11)))</f>
        <v>12.125732532083175</v>
      </c>
      <c r="AJ12" s="14">
        <f>AI12*VLOOKUP('Données projet'!$B$10,Paramètres!$A$1:$I$89,3,0)*VLOOKUP('Données projet'!$B$10,Paramètres!$A$1:$I$89,5,0)</f>
        <v>7.5664571000199006</v>
      </c>
      <c r="AK12" s="14">
        <f t="shared" si="35"/>
        <v>2.7551264955653472</v>
      </c>
      <c r="AL12" s="22">
        <f t="shared" si="4"/>
        <v>17.976758095644303</v>
      </c>
      <c r="AM12" s="62">
        <f t="shared" si="5"/>
        <v>311.31009142897761</v>
      </c>
      <c r="AN12" s="62">
        <f ca="1">AVERAGE(OFFSET($AM$3,0,0,'Données projet'!$E$10+1,1))-AVERAGE(OFFSET($H$3,0,0,'Données projet'!$E$10+1,1))</f>
        <v>272.2908884671595</v>
      </c>
      <c r="AO12" s="62">
        <f t="shared" si="36"/>
        <v>220.74777226152867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4.3352272727272725</v>
      </c>
      <c r="BD12" s="13">
        <f>IF('Données projet'!$A$88&gt;35,BD11+BC12-BL11,IF(A12&lt;'Données projet'!$A$88,$BA$205^A12,IF(A12='Données projet'!$A$88,'Données projet'!$B$88,BD11+BC12-BL11)))</f>
        <v>39.017045454545453</v>
      </c>
      <c r="BE12" s="14">
        <f>BD12*VLOOKUP('Données projet'!$B$11,Paramètres!$A$1:$I$89,3,0)*VLOOKUP('Données projet'!$B$11,Paramètres!$A$1:$I$89,5,0)</f>
        <v>35.302622727272727</v>
      </c>
      <c r="BF12" s="14">
        <f t="shared" si="37"/>
        <v>10.744700265028126</v>
      </c>
      <c r="BG12" s="22">
        <f t="shared" si="7"/>
        <v>80.19908754492397</v>
      </c>
      <c r="BH12" s="62">
        <f t="shared" si="8"/>
        <v>373.53242087825731</v>
      </c>
      <c r="BI12" s="62">
        <f ca="1">AVERAGE(OFFSET($BH$3,0,0,'Données projet'!$E$11+1,1))-AVERAGE(OFFSET($H$3,0,0,'Données projet'!$E$11+1,1))</f>
        <v>320.80580551060069</v>
      </c>
      <c r="BJ12" s="62">
        <f t="shared" si="38"/>
        <v>225.55225019382294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projet'!$B$12,Paramètres!$A$1:$I$89,3,0)*VLOOKUP('Données projet'!$B$12,Paramètres!$A$1:$I$89,5,0)</f>
        <v>6.3456464700054127</v>
      </c>
      <c r="CA12" s="14">
        <f t="shared" si="39"/>
        <v>2.3584123814576028</v>
      </c>
      <c r="CB12" s="22">
        <f t="shared" si="10"/>
        <v>15.159569166298086</v>
      </c>
      <c r="CC12" s="62">
        <f t="shared" si="11"/>
        <v>308.49290249963138</v>
      </c>
      <c r="CD12" s="62">
        <f ca="1">AVERAGE(OFFSET($CC$3,0,0,'Données projet'!$E$12+1,1))-AVERAGE(OFFSET($H$3,0,0,'Données projet'!$E$12+1,1))</f>
        <v>254.67898541152096</v>
      </c>
      <c r="CE12" s="62">
        <f t="shared" si="40"/>
        <v>251.52653810702509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8.1284210526315785</v>
      </c>
      <c r="N13" s="14">
        <f>IF('Données projet'!$A$36&gt;35,N12+M13-V12,IF(A13&lt;'Données projet'!$A$36,$K$205^A13,IF(A13='Données projet'!$A$36,'Données projet'!$B$36,N12+M13-V12)))</f>
        <v>14.189883778172153</v>
      </c>
      <c r="O13" s="14">
        <f>N13*VLOOKUP('Données projet'!$B$9,Paramètres!$A$1:$I$89,3,0)*VLOOKUP('Données projet'!$B$9,Paramètres!$A$1:$I$89,5,0)</f>
        <v>7.9321450319982336</v>
      </c>
      <c r="P13" s="14">
        <f t="shared" si="33"/>
        <v>2.8724576865473512</v>
      </c>
      <c r="Q13" s="22">
        <f t="shared" si="2"/>
        <v>18.818016401466895</v>
      </c>
      <c r="R13" s="62">
        <f t="shared" si="0"/>
        <v>312.15134973480019</v>
      </c>
      <c r="S13" s="62">
        <f ca="1">AVERAGE(OFFSET($R$3,0,0,'Données projet'!$E$9+1,1))-AVERAGE(OFFSET($H$3,0,0,'Données projet'!$E$9+1,1))</f>
        <v>321.56347025977988</v>
      </c>
      <c r="T13" s="62">
        <f t="shared" si="34"/>
        <v>285.79375360040717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16</v>
      </c>
      <c r="AG13" s="13">
        <f>VLOOKUP(A13,'Données projet'!$A$61:$I$81,9,0)</f>
        <v>1.6</v>
      </c>
      <c r="AH13" s="13">
        <f t="array" ref="AH13">INDEX(AG:AG,MIN(IF(ISNUMBER(AG13:AG209),ROW(AG13:AG209),"")))</f>
        <v>1.6</v>
      </c>
      <c r="AI13" s="14">
        <f>IF('Données projet'!$A$62&gt;35,AI12+AH13-AQ12,IF(A13&lt;'Données projet'!$A$62,$AF$205^A13,IF(A13='Données projet'!$A$62,'Données projet'!$B$62,AI12+AH13-AQ12)))</f>
        <v>16</v>
      </c>
      <c r="AJ13" s="14">
        <f>AI13*VLOOKUP('Données projet'!$B$10,Paramètres!$A$1:$I$89,3,0)*VLOOKUP('Données projet'!$B$10,Paramètres!$A$1:$I$89,5,0)</f>
        <v>9.984</v>
      </c>
      <c r="AK13" s="14">
        <f t="shared" si="35"/>
        <v>3.5199588385703997</v>
      </c>
      <c r="AL13" s="22">
        <f t="shared" si="4"/>
        <v>23.519394977176777</v>
      </c>
      <c r="AM13" s="62">
        <f t="shared" si="5"/>
        <v>316.85272831051009</v>
      </c>
      <c r="AN13" s="62">
        <f ca="1">AVERAGE(OFFSET($AM$3,0,0,'Données projet'!$E$10+1,1))-AVERAGE(OFFSET($H$3,0,0,'Données projet'!$E$10+1,1))</f>
        <v>272.2908884671595</v>
      </c>
      <c r="AO13" s="62">
        <f t="shared" si="36"/>
        <v>220.74777226152867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0.12</v>
      </c>
      <c r="AS13" s="17">
        <f>IF(ISNA(VLOOKUP(A13,'Données projet'!$A$61:$I$81,6,0)),0%,VLOOKUP(A13,'Données projet'!$A$61:$I$81,6,0)*VLOOKUP('Données projet'!$B$10,Paramètres!$A$1:$I$89,7,0))</f>
        <v>0.27</v>
      </c>
      <c r="AT13" s="17">
        <f>IF(ISNA(VLOOKUP(A13,'Données projet'!$A$61:$I$81,7,0)),0%,VLOOKUP(A13,'Données projet'!$A$61:$I$81,7,0))</f>
        <v>0.35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4.3352272727272725</v>
      </c>
      <c r="BD13" s="13">
        <f>IF('Données projet'!$A$88&gt;35,BD12+BC13-BL12,IF(A13&lt;'Données projet'!$A$88,$BA$205^A13,IF(A13='Données projet'!$A$88,'Données projet'!$B$88,BD12+BC13-BL12)))</f>
        <v>43.352272727272727</v>
      </c>
      <c r="BE13" s="14">
        <f>BD13*VLOOKUP('Données projet'!$B$11,Paramètres!$A$1:$I$89,3,0)*VLOOKUP('Données projet'!$B$11,Paramètres!$A$1:$I$89,5,0)</f>
        <v>39.225136363636359</v>
      </c>
      <c r="BF13" s="14">
        <f t="shared" si="37"/>
        <v>11.793035979734796</v>
      </c>
      <c r="BG13" s="22">
        <f t="shared" si="7"/>
        <v>88.85665016470476</v>
      </c>
      <c r="BH13" s="62">
        <f t="shared" si="8"/>
        <v>382.18998349803809</v>
      </c>
      <c r="BI13" s="62">
        <f ca="1">AVERAGE(OFFSET($BH$3,0,0,'Données projet'!$E$11+1,1))-AVERAGE(OFFSET($H$3,0,0,'Données projet'!$E$11+1,1))</f>
        <v>320.80580551060069</v>
      </c>
      <c r="BJ13" s="62">
        <f t="shared" si="38"/>
        <v>225.55225019382294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projet'!$B$12,Paramètres!$A$1:$I$89,3,0)*VLOOKUP('Données projet'!$B$12,Paramètres!$A$1:$I$89,5,0)</f>
        <v>8.0652000000000008</v>
      </c>
      <c r="CA13" s="14">
        <f t="shared" si="39"/>
        <v>2.9149909035839161</v>
      </c>
      <c r="CB13" s="22">
        <f t="shared" si="10"/>
        <v>19.123832490408656</v>
      </c>
      <c r="CC13" s="62">
        <f t="shared" si="11"/>
        <v>312.45716582374195</v>
      </c>
      <c r="CD13" s="62">
        <f ca="1">AVERAGE(OFFSET($CC$3,0,0,'Données projet'!$E$12+1,1))-AVERAGE(OFFSET($H$3,0,0,'Données projet'!$E$12+1,1))</f>
        <v>254.67898541152096</v>
      </c>
      <c r="CE13" s="62">
        <f t="shared" si="40"/>
        <v>251.52653810702509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8.1284210526315785</v>
      </c>
      <c r="N14" s="14">
        <f>IF('Données projet'!$A$36&gt;35,N13+M14-V13,IF(A14&lt;'Données projet'!$A$36,$K$205^A14,IF(A14='Données projet'!$A$36,'Données projet'!$B$36,N13+M14-V13)))</f>
        <v>18.500212727616166</v>
      </c>
      <c r="O14" s="14">
        <f>N14*VLOOKUP('Données projet'!$B$9,Paramètres!$A$1:$I$89,3,0)*VLOOKUP('Données projet'!$B$9,Paramètres!$A$1:$I$89,5,0)</f>
        <v>10.341618914737436</v>
      </c>
      <c r="P14" s="14">
        <f t="shared" si="33"/>
        <v>3.6311357898884093</v>
      </c>
      <c r="Q14" s="22">
        <f t="shared" si="2"/>
        <v>24.335881110556681</v>
      </c>
      <c r="R14" s="62">
        <f t="shared" si="0"/>
        <v>317.66921444388998</v>
      </c>
      <c r="S14" s="62">
        <f ca="1">AVERAGE(OFFSET($R$3,0,0,'Données projet'!$E$9+1,1))-AVERAGE(OFFSET($H$3,0,0,'Données projet'!$E$9+1,1))</f>
        <v>321.56347025977988</v>
      </c>
      <c r="T14" s="62">
        <f t="shared" si="34"/>
        <v>285.79375360040717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8.8000000000000007</v>
      </c>
      <c r="AI14" s="14">
        <f>IF('Données projet'!$A$62&gt;35,AI13+AH14-AQ13,IF(A14&lt;'Données projet'!$A$62,$AF$205^A14,IF(A14='Données projet'!$A$62,'Données projet'!$B$62,AI13+AH14-AQ13)))</f>
        <v>24.8</v>
      </c>
      <c r="AJ14" s="14">
        <f>AI14*VLOOKUP('Données projet'!$B$10,Paramètres!$A$1:$I$89,3,0)*VLOOKUP('Données projet'!$B$10,Paramètres!$A$1:$I$89,5,0)</f>
        <v>15.475200000000001</v>
      </c>
      <c r="AK14" s="14">
        <f t="shared" si="35"/>
        <v>5.1845930517653818</v>
      </c>
      <c r="AL14" s="22">
        <f t="shared" si="4"/>
        <v>35.982472898491373</v>
      </c>
      <c r="AM14" s="62">
        <f t="shared" si="5"/>
        <v>329.31580623182469</v>
      </c>
      <c r="AN14" s="62">
        <f ca="1">AVERAGE(OFFSET($AM$3,0,0,'Données projet'!$E$10+1,1))-AVERAGE(OFFSET($H$3,0,0,'Données projet'!$E$10+1,1))</f>
        <v>272.2908884671595</v>
      </c>
      <c r="AO14" s="62">
        <f t="shared" si="36"/>
        <v>220.74777226152867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4.3352272727272725</v>
      </c>
      <c r="BD14" s="13">
        <f>IF('Données projet'!$A$88&gt;35,BD13+BC14-BL13,IF(A14&lt;'Données projet'!$A$88,$BA$205^A14,IF(A14='Données projet'!$A$88,'Données projet'!$B$88,BD13+BC14-BL13)))</f>
        <v>47.6875</v>
      </c>
      <c r="BE14" s="14">
        <f>BD14*VLOOKUP('Données projet'!$B$11,Paramètres!$A$1:$I$89,3,0)*VLOOKUP('Données projet'!$B$11,Paramètres!$A$1:$I$89,5,0)</f>
        <v>43.147649999999999</v>
      </c>
      <c r="BF14" s="14">
        <f t="shared" si="37"/>
        <v>12.829218449594824</v>
      </c>
      <c r="BG14" s="22">
        <f t="shared" si="7"/>
        <v>97.493045883044317</v>
      </c>
      <c r="BH14" s="62">
        <f t="shared" si="8"/>
        <v>390.82637921637763</v>
      </c>
      <c r="BI14" s="62">
        <f ca="1">AVERAGE(OFFSET($BH$3,0,0,'Données projet'!$E$11+1,1))-AVERAGE(OFFSET($H$3,0,0,'Données projet'!$E$11+1,1))</f>
        <v>320.80580551060069</v>
      </c>
      <c r="BJ14" s="62">
        <f t="shared" si="38"/>
        <v>225.55225019382294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</v>
      </c>
      <c r="BY14" s="13">
        <f>IF('Données projet'!$A$114&gt;35,BY13+BX14-CG13,IF(A14&lt;'Données projet'!$A$114,$BV$205^A14,IF(A14='Données projet'!$A$114,'Données projet'!$B$114,BY13+BX14-CG13)))</f>
        <v>21.8</v>
      </c>
      <c r="BZ14" s="14">
        <f>BY14*VLOOKUP('Données projet'!$B$12,Paramètres!$A$1:$I$89,3,0)*VLOOKUP('Données projet'!$B$12,Paramètres!$A$1:$I$89,5,0)</f>
        <v>15.983760000000002</v>
      </c>
      <c r="CA14" s="14">
        <f t="shared" si="39"/>
        <v>5.3348570279475842</v>
      </c>
      <c r="CB14" s="22">
        <f t="shared" si="10"/>
        <v>37.129924657008708</v>
      </c>
      <c r="CC14" s="62">
        <f t="shared" si="11"/>
        <v>330.46325799034202</v>
      </c>
      <c r="CD14" s="62">
        <f ca="1">AVERAGE(OFFSET($CC$3,0,0,'Données projet'!$E$12+1,1))-AVERAGE(OFFSET($H$3,0,0,'Données projet'!$E$12+1,1))</f>
        <v>254.67898541152096</v>
      </c>
      <c r="CE14" s="62">
        <f t="shared" si="40"/>
        <v>251.52653810702509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8.1284210526315785</v>
      </c>
      <c r="N15" s="14">
        <f>IF('Données projet'!$A$36&gt;35,N14+M15-V14,IF(A15&lt;'Données projet'!$A$36,$K$205^A15,IF(A15='Données projet'!$A$36,'Données projet'!$B$36,N14+M15-V14)))</f>
        <v>24.119850191693295</v>
      </c>
      <c r="O15" s="14">
        <f>N15*VLOOKUP('Données projet'!$B$9,Paramètres!$A$1:$I$89,3,0)*VLOOKUP('Données projet'!$B$9,Paramètres!$A$1:$I$89,5,0)</f>
        <v>13.482996257156552</v>
      </c>
      <c r="P15" s="14">
        <f t="shared" si="33"/>
        <v>4.5901971633416325</v>
      </c>
      <c r="Q15" s="22">
        <f t="shared" si="2"/>
        <v>31.477478540701004</v>
      </c>
      <c r="R15" s="62">
        <f t="shared" si="0"/>
        <v>324.8108118740343</v>
      </c>
      <c r="S15" s="62">
        <f ca="1">AVERAGE(OFFSET($R$3,0,0,'Données projet'!$E$9+1,1))-AVERAGE(OFFSET($H$3,0,0,'Données projet'!$E$9+1,1))</f>
        <v>321.56347025977988</v>
      </c>
      <c r="T15" s="62">
        <f t="shared" si="34"/>
        <v>285.79375360040717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8.8000000000000007</v>
      </c>
      <c r="AI15" s="14">
        <f>IF('Données projet'!$A$62&gt;35,AI14+AH15-AQ14,IF(A15&lt;'Données projet'!$A$62,$AF$205^A15,IF(A15='Données projet'!$A$62,'Données projet'!$B$62,AI14+AH15-AQ14)))</f>
        <v>33.6</v>
      </c>
      <c r="AJ15" s="14">
        <f>AI15*VLOOKUP('Données projet'!$B$10,Paramètres!$A$1:$I$89,3,0)*VLOOKUP('Données projet'!$B$10,Paramètres!$A$1:$I$89,5,0)</f>
        <v>20.9664</v>
      </c>
      <c r="AK15" s="14">
        <f t="shared" si="35"/>
        <v>6.7803256634538869</v>
      </c>
      <c r="AL15" s="22">
        <f t="shared" si="4"/>
        <v>48.325547197182182</v>
      </c>
      <c r="AM15" s="62">
        <f t="shared" si="5"/>
        <v>341.65888053051549</v>
      </c>
      <c r="AN15" s="62">
        <f ca="1">AVERAGE(OFFSET($AM$3,0,0,'Données projet'!$E$10+1,1))-AVERAGE(OFFSET($H$3,0,0,'Données projet'!$E$10+1,1))</f>
        <v>272.2908884671595</v>
      </c>
      <c r="AO15" s="62">
        <f t="shared" si="36"/>
        <v>220.74777226152867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4.3352272727272725</v>
      </c>
      <c r="BD15" s="13">
        <f>IF('Données projet'!$A$88&gt;35,BD14+BC15-BL14,IF(A15&lt;'Données projet'!$A$88,$BA$205^A15,IF(A15='Données projet'!$A$88,'Données projet'!$B$88,BD14+BC15-BL14)))</f>
        <v>52.022727272727273</v>
      </c>
      <c r="BE15" s="14">
        <f>BD15*VLOOKUP('Données projet'!$B$11,Paramètres!$A$1:$I$89,3,0)*VLOOKUP('Données projet'!$B$11,Paramètres!$A$1:$I$89,5,0)</f>
        <v>47.070163636363638</v>
      </c>
      <c r="BF15" s="14">
        <f t="shared" si="37"/>
        <v>13.854478165565803</v>
      </c>
      <c r="BG15" s="22">
        <f t="shared" si="7"/>
        <v>106.11041780502711</v>
      </c>
      <c r="BH15" s="62">
        <f t="shared" si="8"/>
        <v>399.44375113836043</v>
      </c>
      <c r="BI15" s="62">
        <f ca="1">AVERAGE(OFFSET($BH$3,0,0,'Données projet'!$E$11+1,1))-AVERAGE(OFFSET($H$3,0,0,'Données projet'!$E$11+1,1))</f>
        <v>320.80580551060069</v>
      </c>
      <c r="BJ15" s="62">
        <f t="shared" si="38"/>
        <v>225.55225019382294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</v>
      </c>
      <c r="BY15" s="13">
        <f>IF('Données projet'!$A$114&gt;35,BY14+BX15-CG14,IF(A15&lt;'Données projet'!$A$114,$BV$205^A15,IF(A15='Données projet'!$A$114,'Données projet'!$B$114,BY14+BX15-CG14)))</f>
        <v>32.6</v>
      </c>
      <c r="BZ15" s="14">
        <f>BY15*VLOOKUP('Données projet'!$B$12,Paramètres!$A$1:$I$89,3,0)*VLOOKUP('Données projet'!$B$12,Paramètres!$A$1:$I$89,5,0)</f>
        <v>23.90232</v>
      </c>
      <c r="CA15" s="14">
        <f t="shared" si="39"/>
        <v>7.6127522913266521</v>
      </c>
      <c r="CB15" s="22">
        <f t="shared" si="10"/>
        <v>54.88875090739392</v>
      </c>
      <c r="CC15" s="62">
        <f t="shared" si="11"/>
        <v>348.22208424072721</v>
      </c>
      <c r="CD15" s="62">
        <f ca="1">AVERAGE(OFFSET($CC$3,0,0,'Données projet'!$E$12+1,1))-AVERAGE(OFFSET($H$3,0,0,'Données projet'!$E$12+1,1))</f>
        <v>254.67898541152096</v>
      </c>
      <c r="CE15" s="62">
        <f t="shared" si="40"/>
        <v>251.52653810702509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8.1284210526315785</v>
      </c>
      <c r="N16" s="14">
        <f>IF('Données projet'!$A$36&gt;35,N15+M16-V15,IF(A16&lt;'Données projet'!$A$36,$K$205^A16,IF(A16='Données projet'!$A$36,'Données projet'!$B$36,N15+M16-V15)))</f>
        <v>31.446512633949066</v>
      </c>
      <c r="O16" s="14">
        <f>N16*VLOOKUP('Données projet'!$B$9,Paramètres!$A$1:$I$89,3,0)*VLOOKUP('Données projet'!$B$9,Paramètres!$A$1:$I$89,5,0)</f>
        <v>17.578600562377527</v>
      </c>
      <c r="P16" s="14">
        <f t="shared" si="33"/>
        <v>5.8025673556529513</v>
      </c>
      <c r="Q16" s="22">
        <f t="shared" si="2"/>
        <v>40.722200790569744</v>
      </c>
      <c r="R16" s="62">
        <f t="shared" si="0"/>
        <v>334.05553412390304</v>
      </c>
      <c r="S16" s="62">
        <f ca="1">AVERAGE(OFFSET($R$3,0,0,'Données projet'!$E$9+1,1))-AVERAGE(OFFSET($H$3,0,0,'Données projet'!$E$9+1,1))</f>
        <v>321.56347025977988</v>
      </c>
      <c r="T16" s="62">
        <f t="shared" si="34"/>
        <v>285.79375360040717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8.8000000000000007</v>
      </c>
      <c r="AI16" s="14">
        <f>IF('Données projet'!$A$62&gt;35,AI15+AH16-AQ15,IF(A16&lt;'Données projet'!$A$62,$AF$205^A16,IF(A16='Données projet'!$A$62,'Données projet'!$B$62,AI15+AH16-AQ15)))</f>
        <v>42.400000000000006</v>
      </c>
      <c r="AJ16" s="14">
        <f>AI16*VLOOKUP('Données projet'!$B$10,Paramètres!$A$1:$I$89,3,0)*VLOOKUP('Données projet'!$B$10,Paramètres!$A$1:$I$89,5,0)</f>
        <v>26.457600000000003</v>
      </c>
      <c r="AK16" s="14">
        <f t="shared" si="35"/>
        <v>8.3275574830183334</v>
      </c>
      <c r="AL16" s="22">
        <f t="shared" si="4"/>
        <v>60.584149282923612</v>
      </c>
      <c r="AM16" s="62">
        <f t="shared" si="5"/>
        <v>353.9174826162569</v>
      </c>
      <c r="AN16" s="62">
        <f ca="1">AVERAGE(OFFSET($AM$3,0,0,'Données projet'!$E$10+1,1))-AVERAGE(OFFSET($H$3,0,0,'Données projet'!$E$10+1,1))</f>
        <v>272.2908884671595</v>
      </c>
      <c r="AO16" s="62">
        <f t="shared" si="36"/>
        <v>220.74777226152867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4.3352272727272725</v>
      </c>
      <c r="BD16" s="13">
        <f>IF('Données projet'!$A$88&gt;35,BD15+BC16-BL15,IF(A16&lt;'Données projet'!$A$88,$BA$205^A16,IF(A16='Données projet'!$A$88,'Données projet'!$B$88,BD15+BC16-BL15)))</f>
        <v>56.357954545454547</v>
      </c>
      <c r="BE16" s="14">
        <f>BD16*VLOOKUP('Données projet'!$B$11,Paramètres!$A$1:$I$89,3,0)*VLOOKUP('Données projet'!$B$11,Paramètres!$A$1:$I$89,5,0)</f>
        <v>50.992677272727278</v>
      </c>
      <c r="BF16" s="14">
        <f t="shared" si="37"/>
        <v>14.869828842148015</v>
      </c>
      <c r="BG16" s="22">
        <f t="shared" si="7"/>
        <v>114.71053148340779</v>
      </c>
      <c r="BH16" s="62">
        <f t="shared" si="8"/>
        <v>408.04386481674112</v>
      </c>
      <c r="BI16" s="62">
        <f ca="1">AVERAGE(OFFSET($BH$3,0,0,'Données projet'!$E$11+1,1))-AVERAGE(OFFSET($H$3,0,0,'Données projet'!$E$11+1,1))</f>
        <v>320.80580551060069</v>
      </c>
      <c r="BJ16" s="62">
        <f t="shared" si="38"/>
        <v>225.55225019382294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</v>
      </c>
      <c r="BY16" s="13">
        <f>IF('Données projet'!$A$114&gt;35,BY15+BX16-CG15,IF(A16&lt;'Données projet'!$A$114,$BV$205^A16,IF(A16='Données projet'!$A$114,'Données projet'!$B$114,BY15+BX16-CG15)))</f>
        <v>43.400000000000006</v>
      </c>
      <c r="BZ16" s="14">
        <f>BY16*VLOOKUP('Données projet'!$B$12,Paramètres!$A$1:$I$89,3,0)*VLOOKUP('Données projet'!$B$12,Paramètres!$A$1:$I$89,5,0)</f>
        <v>31.820880000000006</v>
      </c>
      <c r="CA16" s="14">
        <f t="shared" si="39"/>
        <v>9.8027641140385384</v>
      </c>
      <c r="CB16" s="22">
        <f t="shared" si="10"/>
        <v>72.494513498617124</v>
      </c>
      <c r="CC16" s="62">
        <f t="shared" si="11"/>
        <v>365.82784683195041</v>
      </c>
      <c r="CD16" s="62">
        <f ca="1">AVERAGE(OFFSET($CC$3,0,0,'Données projet'!$E$12+1,1))-AVERAGE(OFFSET($H$3,0,0,'Données projet'!$E$12+1,1))</f>
        <v>254.67898541152096</v>
      </c>
      <c r="CE16" s="62">
        <f t="shared" si="40"/>
        <v>251.52653810702509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8.1284210526315785</v>
      </c>
      <c r="N17" s="14">
        <f>IF('Données projet'!$A$36&gt;35,N16+M17-V16,IF(A17&lt;'Données projet'!$A$36,$K$205^A17,IF(A17='Données projet'!$A$36,'Données projet'!$B$36,N16+M17-V16)))</f>
        <v>40.998727147056762</v>
      </c>
      <c r="O17" s="14">
        <f>N17*VLOOKUP('Données projet'!$B$9,Paramètres!$A$1:$I$89,3,0)*VLOOKUP('Données projet'!$B$9,Paramètres!$A$1:$I$89,5,0)</f>
        <v>22.918288475204729</v>
      </c>
      <c r="P17" s="14">
        <f t="shared" si="33"/>
        <v>7.3351506958750976</v>
      </c>
      <c r="Q17" s="22">
        <f t="shared" si="2"/>
        <v>52.691406556297359</v>
      </c>
      <c r="R17" s="62">
        <f t="shared" si="0"/>
        <v>346.02473988963067</v>
      </c>
      <c r="S17" s="62">
        <f ca="1">AVERAGE(OFFSET($R$3,0,0,'Données projet'!$E$9+1,1))-AVERAGE(OFFSET($H$3,0,0,'Données projet'!$E$9+1,1))</f>
        <v>321.56347025977988</v>
      </c>
      <c r="T17" s="62">
        <f t="shared" si="34"/>
        <v>285.79375360040717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8.8000000000000007</v>
      </c>
      <c r="AI17" s="14">
        <f>IF('Données projet'!$A$62&gt;35,AI16+AH17-AQ16,IF(A17&lt;'Données projet'!$A$62,$AF$205^A17,IF(A17='Données projet'!$A$62,'Données projet'!$B$62,AI16+AH17-AQ16)))</f>
        <v>51.2</v>
      </c>
      <c r="AJ17" s="14">
        <f>AI17*VLOOKUP('Données projet'!$B$10,Paramètres!$A$1:$I$89,3,0)*VLOOKUP('Données projet'!$B$10,Paramètres!$A$1:$I$89,5,0)</f>
        <v>31.948800000000002</v>
      </c>
      <c r="AK17" s="14">
        <f t="shared" si="35"/>
        <v>9.8375761204539884</v>
      </c>
      <c r="AL17" s="22">
        <f t="shared" si="4"/>
        <v>72.777938409790707</v>
      </c>
      <c r="AM17" s="62">
        <f t="shared" si="5"/>
        <v>366.11127174312401</v>
      </c>
      <c r="AN17" s="62">
        <f ca="1">AVERAGE(OFFSET($AM$3,0,0,'Données projet'!$E$10+1,1))-AVERAGE(OFFSET($H$3,0,0,'Données projet'!$E$10+1,1))</f>
        <v>272.2908884671595</v>
      </c>
      <c r="AO17" s="62">
        <f t="shared" si="36"/>
        <v>220.74777226152867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4.3352272727272725</v>
      </c>
      <c r="BD17" s="13">
        <f>IF('Données projet'!$A$88&gt;35,BD16+BC17-BL16,IF(A17&lt;'Données projet'!$A$88,$BA$205^A17,IF(A17='Données projet'!$A$88,'Données projet'!$B$88,BD16+BC17-BL16)))</f>
        <v>60.69318181818182</v>
      </c>
      <c r="BE17" s="14">
        <f>BD17*VLOOKUP('Données projet'!$B$11,Paramètres!$A$1:$I$89,3,0)*VLOOKUP('Données projet'!$B$11,Paramètres!$A$1:$I$89,5,0)</f>
        <v>54.91519090909091</v>
      </c>
      <c r="BF17" s="14">
        <f t="shared" si="37"/>
        <v>15.876119378456103</v>
      </c>
      <c r="BG17" s="22">
        <f t="shared" si="7"/>
        <v>123.29486541747771</v>
      </c>
      <c r="BH17" s="62">
        <f t="shared" si="8"/>
        <v>416.62819875081101</v>
      </c>
      <c r="BI17" s="62">
        <f ca="1">AVERAGE(OFFSET($BH$3,0,0,'Données projet'!$E$11+1,1))-AVERAGE(OFFSET($H$3,0,0,'Données projet'!$E$11+1,1))</f>
        <v>320.80580551060069</v>
      </c>
      <c r="BJ17" s="62">
        <f t="shared" si="38"/>
        <v>225.55225019382294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</v>
      </c>
      <c r="BY17" s="13">
        <f>IF('Données projet'!$A$114&gt;35,BY16+BX17-CG16,IF(A17&lt;'Données projet'!$A$114,$BV$205^A17,IF(A17='Données projet'!$A$114,'Données projet'!$B$114,BY16+BX17-CG16)))</f>
        <v>54.2</v>
      </c>
      <c r="BZ17" s="14">
        <f>BY17*VLOOKUP('Données projet'!$B$12,Paramètres!$A$1:$I$89,3,0)*VLOOKUP('Données projet'!$B$12,Paramètres!$A$1:$I$89,5,0)</f>
        <v>39.739440000000002</v>
      </c>
      <c r="CA17" s="14">
        <f t="shared" si="39"/>
        <v>11.929559204083212</v>
      </c>
      <c r="CB17" s="22">
        <f t="shared" si="10"/>
        <v>89.990173613778268</v>
      </c>
      <c r="CC17" s="62">
        <f t="shared" si="11"/>
        <v>383.32350694711158</v>
      </c>
      <c r="CD17" s="62">
        <f ca="1">AVERAGE(OFFSET($CC$3,0,0,'Données projet'!$E$12+1,1))-AVERAGE(OFFSET($H$3,0,0,'Données projet'!$E$12+1,1))</f>
        <v>254.67898541152096</v>
      </c>
      <c r="CE17" s="62">
        <f t="shared" si="40"/>
        <v>251.52653810702509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8.1284210526315785</v>
      </c>
      <c r="N18" s="14">
        <f>IF('Données projet'!$A$36&gt;35,N17+M18-V17,IF(A18&lt;'Données projet'!$A$36,$K$205^A18,IF(A18='Données projet'!$A$36,'Données projet'!$B$36,N17+M18-V17)))</f>
        <v>53.452528973408192</v>
      </c>
      <c r="O18" s="14">
        <f>N18*VLOOKUP('Données projet'!$B$9,Paramètres!$A$1:$I$89,3,0)*VLOOKUP('Données projet'!$B$9,Paramètres!$A$1:$I$89,5,0)</f>
        <v>29.879963696135178</v>
      </c>
      <c r="P18" s="14">
        <f t="shared" si="33"/>
        <v>9.2725223911067207</v>
      </c>
      <c r="Q18" s="22">
        <f t="shared" si="2"/>
        <v>68.190579935279629</v>
      </c>
      <c r="R18" s="62">
        <f t="shared" si="0"/>
        <v>361.52391326861294</v>
      </c>
      <c r="S18" s="62">
        <f ca="1">AVERAGE(OFFSET($R$3,0,0,'Données projet'!$E$9+1,1))-AVERAGE(OFFSET($H$3,0,0,'Données projet'!$E$9+1,1))</f>
        <v>321.56347025977988</v>
      </c>
      <c r="T18" s="62">
        <f t="shared" si="34"/>
        <v>285.79375360040717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60</v>
      </c>
      <c r="AG18" s="13">
        <f>VLOOKUP(A18,'Données projet'!$A$61:$I$81,9,0)</f>
        <v>8.8000000000000007</v>
      </c>
      <c r="AH18" s="13">
        <f t="array" ref="AH18">INDEX(AG:AG,MIN(IF(ISNUMBER(AG18:AG214),ROW(AG18:AG214),"")))</f>
        <v>8.8000000000000007</v>
      </c>
      <c r="AI18" s="14">
        <f>IF('Données projet'!$A$62&gt;35,AI17+AH18-AQ17,IF(A18&lt;'Données projet'!$A$62,$AF$205^A18,IF(A18='Données projet'!$A$62,'Données projet'!$B$62,AI17+AH18-AQ17)))</f>
        <v>60</v>
      </c>
      <c r="AJ18" s="14">
        <f>AI18*VLOOKUP('Données projet'!$B$10,Paramètres!$A$1:$I$89,3,0)*VLOOKUP('Données projet'!$B$10,Paramètres!$A$1:$I$89,5,0)</f>
        <v>37.44</v>
      </c>
      <c r="AK18" s="14">
        <f t="shared" si="35"/>
        <v>11.31752892568918</v>
      </c>
      <c r="AL18" s="22">
        <f t="shared" si="4"/>
        <v>84.919362878908643</v>
      </c>
      <c r="AM18" s="62">
        <f t="shared" si="5"/>
        <v>378.25269621224197</v>
      </c>
      <c r="AN18" s="62">
        <f ca="1">AVERAGE(OFFSET($AM$3,0,0,'Données projet'!$E$10+1,1))-AVERAGE(OFFSET($H$3,0,0,'Données projet'!$E$10+1,1))</f>
        <v>272.2908884671595</v>
      </c>
      <c r="AO18" s="62">
        <f t="shared" si="36"/>
        <v>220.74777226152867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2</v>
      </c>
      <c r="AR18" s="17">
        <f>IF(ISNA(VLOOKUP(A18,'Données projet'!$A$61:$I$81,5,0)),0%,VLOOKUP(A18,'Données projet'!$A$61:$I$81,5,0)*VLOOKUP('Données projet'!$B$10,Paramètres!$A$1:$I$89,7,0))</f>
        <v>0.12</v>
      </c>
      <c r="AS18" s="17">
        <f>IF(ISNA(VLOOKUP(A18,'Données projet'!$A$61:$I$81,6,0)),0%,VLOOKUP(A18,'Données projet'!$A$61:$I$81,6,0)*VLOOKUP('Données projet'!$B$10,Paramètres!$A$1:$I$89,7,0))</f>
        <v>0.27</v>
      </c>
      <c r="AT18" s="17">
        <f>IF(ISNA(VLOOKUP(A18,'Données projet'!$A$61:$I$81,7,0)),0%,VLOOKUP(A18,'Données projet'!$A$61:$I$81,7,0))</f>
        <v>0.35</v>
      </c>
      <c r="AU18" s="23">
        <f>EXP(-LN(2)/35)*AU17+(1-EXP(-LN(2)/35))/(LN(2)/35)*AQ18*AR18*VLOOKUP('Données projet'!$B$10,Paramètres!$A$1:$I$89,3,0)*0.475*44/12</f>
        <v>0.19866629284662554</v>
      </c>
      <c r="AV18" s="23">
        <f>EXP(-LN(2)/25)*AV17+(1-EXP(-LN(2)/25))/(LN(2)/25)*Calculateur!AQ18*Calculateur!AS18*VLOOKUP('Données projet'!$B$10,Paramètres!$A$1:$I$89,3,0)*0.475*44/12</f>
        <v>0.44523915289626642</v>
      </c>
      <c r="AW18" s="23">
        <f>EXP(-LN(2)/2)*AW17+(1-EXP(-LN(2)/2))/(LN(2)/2)*AQ18*AT18*VLOOKUP('Données projet'!$B$10,Paramètres!$A$1:$I$89,3,0)*0.475*44/12</f>
        <v>0.49455906755956019</v>
      </c>
      <c r="AX18" s="23">
        <f t="shared" si="6"/>
        <v>1.1384645133024522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4.3352272727272725</v>
      </c>
      <c r="BD18" s="13">
        <f>IF('Données projet'!$A$88&gt;35,BD17+BC18-BL17,IF(A18&lt;'Données projet'!$A$88,$BA$205^A18,IF(A18='Données projet'!$A$88,'Données projet'!$B$88,BD17+BC18-BL17)))</f>
        <v>65.028409090909093</v>
      </c>
      <c r="BE18" s="14">
        <f>BD18*VLOOKUP('Données projet'!$B$11,Paramètres!$A$1:$I$89,3,0)*VLOOKUP('Données projet'!$B$11,Paramètres!$A$1:$I$89,5,0)</f>
        <v>58.83770454545455</v>
      </c>
      <c r="BF18" s="14">
        <f t="shared" si="37"/>
        <v>16.874070530498674</v>
      </c>
      <c r="BG18" s="22">
        <f t="shared" si="7"/>
        <v>131.86467492395187</v>
      </c>
      <c r="BH18" s="62">
        <f t="shared" si="8"/>
        <v>425.19800825728521</v>
      </c>
      <c r="BI18" s="62">
        <f ca="1">AVERAGE(OFFSET($BH$3,0,0,'Données projet'!$E$11+1,1))-AVERAGE(OFFSET($H$3,0,0,'Données projet'!$E$11+1,1))</f>
        <v>320.80580551060069</v>
      </c>
      <c r="BJ18" s="62">
        <f t="shared" si="38"/>
        <v>225.55225019382294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65</v>
      </c>
      <c r="BW18" s="13">
        <f>VLOOKUP(A18,'Données projet'!$A$113:$I$133,9,0)</f>
        <v>10.8</v>
      </c>
      <c r="BX18" s="13">
        <f t="array" ref="BX18">INDEX(BW:BW,MIN(IF(ISNUMBER(BW18:BW214),ROW(BW18:BW214),"")))</f>
        <v>10.8</v>
      </c>
      <c r="BY18" s="13">
        <f>IF('Données projet'!$A$114&gt;35,BY17+BX18-CG17,IF(A18&lt;'Données projet'!$A$114,$BV$205^A18,IF(A18='Données projet'!$A$114,'Données projet'!$B$114,BY17+BX18-CG17)))</f>
        <v>65</v>
      </c>
      <c r="BZ18" s="14">
        <f>BY18*VLOOKUP('Données projet'!$B$12,Paramètres!$A$1:$I$89,3,0)*VLOOKUP('Données projet'!$B$12,Paramètres!$A$1:$I$89,5,0)</f>
        <v>47.657999999999994</v>
      </c>
      <c r="CA18" s="14">
        <f t="shared" si="39"/>
        <v>14.007249652087213</v>
      </c>
      <c r="CB18" s="22">
        <f t="shared" si="10"/>
        <v>107.40030981071855</v>
      </c>
      <c r="CC18" s="62">
        <f t="shared" si="11"/>
        <v>400.73364314405188</v>
      </c>
      <c r="CD18" s="62">
        <f ca="1">AVERAGE(OFFSET($CC$3,0,0,'Données projet'!$E$12+1,1))-AVERAGE(OFFSET($H$3,0,0,'Données projet'!$E$12+1,1))</f>
        <v>254.67898541152096</v>
      </c>
      <c r="CE18" s="62">
        <f t="shared" si="40"/>
        <v>251.52653810702509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32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8.1284210526315785</v>
      </c>
      <c r="N19" s="14">
        <f>IF('Données projet'!$A$36&gt;35,N18+M19-V18,IF(A19&lt;'Données projet'!$A$36,$K$205^A19,IF(A19='Données projet'!$A$36,'Données projet'!$B$36,N18+M19-V18)))</f>
        <v>69.689306290040648</v>
      </c>
      <c r="O19" s="14">
        <f>N19*VLOOKUP('Données projet'!$B$9,Paramètres!$A$1:$I$89,3,0)*VLOOKUP('Données projet'!$B$9,Paramètres!$A$1:$I$89,5,0)</f>
        <v>38.956322216132719</v>
      </c>
      <c r="P19" s="14">
        <f t="shared" si="33"/>
        <v>11.721595786972175</v>
      </c>
      <c r="Q19" s="22">
        <f t="shared" si="2"/>
        <v>88.264040522074353</v>
      </c>
      <c r="R19" s="62">
        <f t="shared" si="0"/>
        <v>381.59737385540768</v>
      </c>
      <c r="S19" s="62">
        <f ca="1">AVERAGE(OFFSET($R$3,0,0,'Données projet'!$E$9+1,1))-AVERAGE(OFFSET($H$3,0,0,'Données projet'!$E$9+1,1))</f>
        <v>321.56347025977988</v>
      </c>
      <c r="T19" s="62">
        <f t="shared" si="34"/>
        <v>285.79375360040717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11.6</v>
      </c>
      <c r="AI19" s="14">
        <f>IF('Données projet'!$A$62&gt;35,AI18+AH19-AQ18,IF(A19&lt;'Données projet'!$A$62,$AF$205^A19,IF(A19='Données projet'!$A$62,'Données projet'!$B$62,AI18+AH19-AQ18)))</f>
        <v>69.599999999999994</v>
      </c>
      <c r="AJ19" s="14">
        <f>AI19*VLOOKUP('Données projet'!$B$10,Paramètres!$A$1:$I$89,3,0)*VLOOKUP('Données projet'!$B$10,Paramètres!$A$1:$I$89,5,0)</f>
        <v>43.430399999999992</v>
      </c>
      <c r="AK19" s="14">
        <f t="shared" si="35"/>
        <v>12.903475229013615</v>
      </c>
      <c r="AL19" s="22">
        <f t="shared" si="4"/>
        <v>98.114832690532012</v>
      </c>
      <c r="AM19" s="62">
        <f t="shared" si="5"/>
        <v>391.44816602386533</v>
      </c>
      <c r="AN19" s="62">
        <f ca="1">AVERAGE(OFFSET($AM$3,0,0,'Données projet'!$E$10+1,1))-AVERAGE(OFFSET($H$3,0,0,'Données projet'!$E$10+1,1))</f>
        <v>272.2908884671595</v>
      </c>
      <c r="AO19" s="62">
        <f t="shared" si="36"/>
        <v>220.74777226152867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0.19477056801837686</v>
      </c>
      <c r="AV19" s="23">
        <f>EXP(-LN(2)/25)*AV18+(1-EXP(-LN(2)/25))/(LN(2)/25)*Calculateur!AQ19*Calculateur!AS19*VLOOKUP('Données projet'!$B$10,Paramètres!$A$1:$I$89,3,0)*0.475*44/12</f>
        <v>0.43306406484620857</v>
      </c>
      <c r="AW19" s="23">
        <f>EXP(-LN(2)/2)*AW18+(1-EXP(-LN(2)/2))/(LN(2)/2)*AQ19*AT19*VLOOKUP('Données projet'!$B$10,Paramètres!$A$1:$I$89,3,0)*0.475*44/12</f>
        <v>0.34970607036866092</v>
      </c>
      <c r="AX19" s="23">
        <f t="shared" si="6"/>
        <v>0.97754070323324638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4.3352272727272725</v>
      </c>
      <c r="BD19" s="13">
        <f>IF('Données projet'!$A$88&gt;35,BD18+BC19-BL18,IF(A19&lt;'Données projet'!$A$88,$BA$205^A19,IF(A19='Données projet'!$A$88,'Données projet'!$B$88,BD18+BC19-BL18)))</f>
        <v>69.36363636363636</v>
      </c>
      <c r="BE19" s="14">
        <f>BD19*VLOOKUP('Données projet'!$B$11,Paramètres!$A$1:$I$89,3,0)*VLOOKUP('Données projet'!$B$11,Paramètres!$A$1:$I$89,5,0)</f>
        <v>62.760218181818175</v>
      </c>
      <c r="BF19" s="14">
        <f t="shared" si="37"/>
        <v>17.864301516617232</v>
      </c>
      <c r="BG19" s="22">
        <f t="shared" si="7"/>
        <v>140.42103847477497</v>
      </c>
      <c r="BH19" s="62">
        <f t="shared" si="8"/>
        <v>433.75437180810832</v>
      </c>
      <c r="BI19" s="62">
        <f ca="1">AVERAGE(OFFSET($BH$3,0,0,'Données projet'!$E$11+1,1))-AVERAGE(OFFSET($H$3,0,0,'Données projet'!$E$11+1,1))</f>
        <v>320.80580551060069</v>
      </c>
      <c r="BJ19" s="62">
        <f t="shared" si="38"/>
        <v>225.55225019382294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13.8</v>
      </c>
      <c r="BY19" s="13">
        <f>IF('Données projet'!$A$114&gt;35,BY18+BX19-CG18,IF(A19&lt;'Données projet'!$A$114,$BV$205^A19,IF(A19='Données projet'!$A$114,'Données projet'!$B$114,BY18+BX19-CG18)))</f>
        <v>46.8</v>
      </c>
      <c r="BZ19" s="14">
        <f>BY19*VLOOKUP('Données projet'!$B$12,Paramètres!$A$1:$I$89,3,0)*VLOOKUP('Données projet'!$B$12,Paramètres!$A$1:$I$89,5,0)</f>
        <v>34.313760000000002</v>
      </c>
      <c r="CA19" s="14">
        <f t="shared" si="39"/>
        <v>10.478324962562111</v>
      </c>
      <c r="CB19" s="22">
        <f t="shared" si="10"/>
        <v>78.012881309795674</v>
      </c>
      <c r="CC19" s="62">
        <f t="shared" si="11"/>
        <v>371.34621464312897</v>
      </c>
      <c r="CD19" s="62">
        <f ca="1">AVERAGE(OFFSET($CC$3,0,0,'Données projet'!$E$12+1,1))-AVERAGE(OFFSET($H$3,0,0,'Données projet'!$E$12+1,1))</f>
        <v>254.67898541152096</v>
      </c>
      <c r="CE19" s="62">
        <f t="shared" si="40"/>
        <v>251.52653810702509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8.1284210526315785</v>
      </c>
      <c r="N20" s="14">
        <f>IF('Données projet'!$A$36&gt;35,N19+M20-V19,IF(A20&lt;'Données projet'!$A$36,$K$205^A20,IF(A20='Données projet'!$A$36,'Données projet'!$B$36,N19+M20-V19)))</f>
        <v>90.858178358655039</v>
      </c>
      <c r="O20" s="14">
        <f>N20*VLOOKUP('Données projet'!$B$9,Paramètres!$A$1:$I$89,3,0)*VLOOKUP('Données projet'!$B$9,Paramètres!$A$1:$I$89,5,0)</f>
        <v>50.789721702488166</v>
      </c>
      <c r="P20" s="14">
        <f t="shared" si="33"/>
        <v>14.817522352379566</v>
      </c>
      <c r="Q20" s="22">
        <f t="shared" si="2"/>
        <v>114.26595006222796</v>
      </c>
      <c r="R20" s="62">
        <f t="shared" si="0"/>
        <v>407.59928339556126</v>
      </c>
      <c r="S20" s="62">
        <f ca="1">AVERAGE(OFFSET($R$3,0,0,'Données projet'!$E$9+1,1))-AVERAGE(OFFSET($H$3,0,0,'Données projet'!$E$9+1,1))</f>
        <v>321.56347025977988</v>
      </c>
      <c r="T20" s="62">
        <f t="shared" si="34"/>
        <v>285.79375360040717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11.6</v>
      </c>
      <c r="AI20" s="14">
        <f>IF('Données projet'!$A$62&gt;35,AI19+AH20-AQ19,IF(A20&lt;'Données projet'!$A$62,$AF$205^A20,IF(A20='Données projet'!$A$62,'Données projet'!$B$62,AI19+AH20-AQ19)))</f>
        <v>81.199999999999989</v>
      </c>
      <c r="AJ20" s="14">
        <f>AI20*VLOOKUP('Données projet'!$B$10,Paramètres!$A$1:$I$89,3,0)*VLOOKUP('Données projet'!$B$10,Paramètres!$A$1:$I$89,5,0)</f>
        <v>50.66879999999999</v>
      </c>
      <c r="AK20" s="14">
        <f t="shared" si="35"/>
        <v>14.786346384516113</v>
      </c>
      <c r="AL20" s="22">
        <f t="shared" si="4"/>
        <v>114.00104661969885</v>
      </c>
      <c r="AM20" s="62">
        <f t="shared" si="5"/>
        <v>407.33437995303217</v>
      </c>
      <c r="AN20" s="62">
        <f ca="1">AVERAGE(OFFSET($AM$3,0,0,'Données projet'!$E$10+1,1))-AVERAGE(OFFSET($H$3,0,0,'Données projet'!$E$10+1,1))</f>
        <v>272.2908884671595</v>
      </c>
      <c r="AO20" s="62">
        <f t="shared" si="36"/>
        <v>220.74777226152867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0.19095123597785263</v>
      </c>
      <c r="AV20" s="23">
        <f>EXP(-LN(2)/25)*AV19+(1-EXP(-LN(2)/25))/(LN(2)/25)*Calculateur!AQ20*Calculateur!AS20*VLOOKUP('Données projet'!$B$10,Paramètres!$A$1:$I$89,3,0)*0.475*44/12</f>
        <v>0.4212219052191396</v>
      </c>
      <c r="AW20" s="23">
        <f>EXP(-LN(2)/2)*AW19+(1-EXP(-LN(2)/2))/(LN(2)/2)*AQ20*AT20*VLOOKUP('Données projet'!$B$10,Paramètres!$A$1:$I$89,3,0)*0.475*44/12</f>
        <v>0.24727953377978013</v>
      </c>
      <c r="AX20" s="23">
        <f t="shared" si="6"/>
        <v>0.85945267497677236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4.3352272727272725</v>
      </c>
      <c r="BD20" s="13">
        <f>IF('Données projet'!$A$88&gt;35,BD19+BC20-BL19,IF(A20&lt;'Données projet'!$A$88,$BA$205^A20,IF(A20='Données projet'!$A$88,'Données projet'!$B$88,BD19+BC20-BL19)))</f>
        <v>73.698863636363626</v>
      </c>
      <c r="BE20" s="14">
        <f>BD20*VLOOKUP('Données projet'!$B$11,Paramètres!$A$1:$I$89,3,0)*VLOOKUP('Données projet'!$B$11,Paramètres!$A$1:$I$89,5,0)</f>
        <v>66.682731818181807</v>
      </c>
      <c r="BF20" s="14">
        <f t="shared" si="37"/>
        <v>18.847349778068896</v>
      </c>
      <c r="BG20" s="22">
        <f t="shared" si="7"/>
        <v>148.96489211346997</v>
      </c>
      <c r="BH20" s="62">
        <f t="shared" si="8"/>
        <v>442.29822544680326</v>
      </c>
      <c r="BI20" s="62">
        <f ca="1">AVERAGE(OFFSET($BH$3,0,0,'Données projet'!$E$11+1,1))-AVERAGE(OFFSET($H$3,0,0,'Données projet'!$E$11+1,1))</f>
        <v>320.80580551060069</v>
      </c>
      <c r="BJ20" s="62">
        <f t="shared" si="38"/>
        <v>225.55225019382294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13.8</v>
      </c>
      <c r="BY20" s="13">
        <f>IF('Données projet'!$A$114&gt;35,BY19+BX20-CG19,IF(A20&lt;'Données projet'!$A$114,$BV$205^A20,IF(A20='Données projet'!$A$114,'Données projet'!$B$114,BY19+BX20-CG19)))</f>
        <v>60.599999999999994</v>
      </c>
      <c r="BZ20" s="14">
        <f>BY20*VLOOKUP('Données projet'!$B$12,Paramètres!$A$1:$I$89,3,0)*VLOOKUP('Données projet'!$B$12,Paramètres!$A$1:$I$89,5,0)</f>
        <v>44.431919999999998</v>
      </c>
      <c r="CA20" s="14">
        <f t="shared" si="39"/>
        <v>13.166048117528</v>
      </c>
      <c r="CB20" s="22">
        <f t="shared" si="10"/>
        <v>100.31646113802792</v>
      </c>
      <c r="CC20" s="62">
        <f t="shared" si="11"/>
        <v>393.64979447136125</v>
      </c>
      <c r="CD20" s="62">
        <f ca="1">AVERAGE(OFFSET($CC$3,0,0,'Données projet'!$E$12+1,1))-AVERAGE(OFFSET($H$3,0,0,'Données projet'!$E$12+1,1))</f>
        <v>254.67898541152096</v>
      </c>
      <c r="CE20" s="62">
        <f t="shared" si="40"/>
        <v>251.52653810702509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8.1284210526315785</v>
      </c>
      <c r="N21" s="14">
        <f>IF('Données projet'!$A$36&gt;35,N20+M21-V20,IF(A21&lt;'Données projet'!$A$36,$K$205^A21,IF(A21='Données projet'!$A$36,'Données projet'!$B$36,N20+M21-V20)))</f>
        <v>118.45732170579704</v>
      </c>
      <c r="O21" s="14">
        <f>N21*VLOOKUP('Données projet'!$B$9,Paramètres!$A$1:$I$89,3,0)*VLOOKUP('Données projet'!$B$9,Paramètres!$A$1:$I$89,5,0)</f>
        <v>66.217642833540552</v>
      </c>
      <c r="P21" s="14">
        <f t="shared" si="33"/>
        <v>18.731149977658681</v>
      </c>
      <c r="Q21" s="22">
        <f t="shared" si="2"/>
        <v>147.95248081283867</v>
      </c>
      <c r="R21" s="62">
        <f t="shared" si="0"/>
        <v>441.28581414617202</v>
      </c>
      <c r="S21" s="62">
        <f ca="1">AVERAGE(OFFSET($R$3,0,0,'Données projet'!$E$9+1,1))-AVERAGE(OFFSET($H$3,0,0,'Données projet'!$E$9+1,1))</f>
        <v>321.56347025977988</v>
      </c>
      <c r="T21" s="62">
        <f t="shared" si="34"/>
        <v>285.79375360040717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11.6</v>
      </c>
      <c r="AI21" s="14">
        <f>IF('Données projet'!$A$62&gt;35,AI20+AH21-AQ20,IF(A21&lt;'Données projet'!$A$62,$AF$205^A21,IF(A21='Données projet'!$A$62,'Données projet'!$B$62,AI20+AH21-AQ20)))</f>
        <v>92.799999999999983</v>
      </c>
      <c r="AJ21" s="14">
        <f>AI21*VLOOKUP('Données projet'!$B$10,Paramètres!$A$1:$I$89,3,0)*VLOOKUP('Données projet'!$B$10,Paramètres!$A$1:$I$89,5,0)</f>
        <v>57.907199999999989</v>
      </c>
      <c r="AK21" s="14">
        <f t="shared" si="35"/>
        <v>16.638055172385986</v>
      </c>
      <c r="AL21" s="22">
        <f t="shared" si="4"/>
        <v>129.83298609190555</v>
      </c>
      <c r="AM21" s="62">
        <f t="shared" si="5"/>
        <v>423.16631942523884</v>
      </c>
      <c r="AN21" s="62">
        <f ca="1">AVERAGE(OFFSET($AM$3,0,0,'Données projet'!$E$10+1,1))-AVERAGE(OFFSET($H$3,0,0,'Données projet'!$E$10+1,1))</f>
        <v>272.2908884671595</v>
      </c>
      <c r="AO21" s="62">
        <f t="shared" si="36"/>
        <v>220.74777226152867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0.18720679870908055</v>
      </c>
      <c r="AV21" s="23">
        <f>EXP(-LN(2)/25)*AV20+(1-EXP(-LN(2)/25))/(LN(2)/25)*Calculateur!AQ21*Calculateur!AS21*VLOOKUP('Données projet'!$B$10,Paramètres!$A$1:$I$89,3,0)*0.475*44/12</f>
        <v>0.40970357006982494</v>
      </c>
      <c r="AW21" s="23">
        <f>EXP(-LN(2)/2)*AW20+(1-EXP(-LN(2)/2))/(LN(2)/2)*AQ21*AT21*VLOOKUP('Données projet'!$B$10,Paramètres!$A$1:$I$89,3,0)*0.475*44/12</f>
        <v>0.17485303518433049</v>
      </c>
      <c r="AX21" s="23">
        <f t="shared" si="6"/>
        <v>0.77176340396323595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4.3352272727272725</v>
      </c>
      <c r="BD21" s="13">
        <f>IF('Données projet'!$A$88&gt;35,BD20+BC21-BL20,IF(A21&lt;'Données projet'!$A$88,$BA$205^A21,IF(A21='Données projet'!$A$88,'Données projet'!$B$88,BD20+BC21-BL20)))</f>
        <v>78.034090909090892</v>
      </c>
      <c r="BE21" s="14">
        <f>BD21*VLOOKUP('Données projet'!$B$11,Paramètres!$A$1:$I$89,3,0)*VLOOKUP('Données projet'!$B$11,Paramètres!$A$1:$I$89,5,0)</f>
        <v>70.605245454545425</v>
      </c>
      <c r="BF21" s="14">
        <f t="shared" si="37"/>
        <v>19.823685955910104</v>
      </c>
      <c r="BG21" s="22">
        <f t="shared" si="7"/>
        <v>157.4970555398767</v>
      </c>
      <c r="BH21" s="62">
        <f t="shared" si="8"/>
        <v>450.83038887321004</v>
      </c>
      <c r="BI21" s="62">
        <f ca="1">AVERAGE(OFFSET($BH$3,0,0,'Données projet'!$E$11+1,1))-AVERAGE(OFFSET($H$3,0,0,'Données projet'!$E$11+1,1))</f>
        <v>320.80580551060069</v>
      </c>
      <c r="BJ21" s="62">
        <f t="shared" si="38"/>
        <v>225.55225019382294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13.8</v>
      </c>
      <c r="BY21" s="13">
        <f>IF('Données projet'!$A$114&gt;35,BY20+BX21-CG20,IF(A21&lt;'Données projet'!$A$114,$BV$205^A21,IF(A21='Données projet'!$A$114,'Données projet'!$B$114,BY20+BX21-CG20)))</f>
        <v>74.399999999999991</v>
      </c>
      <c r="BZ21" s="14">
        <f>BY21*VLOOKUP('Données projet'!$B$12,Paramètres!$A$1:$I$89,3,0)*VLOOKUP('Données projet'!$B$12,Paramètres!$A$1:$I$89,5,0)</f>
        <v>54.550079999999994</v>
      </c>
      <c r="CA21" s="14">
        <f t="shared" si="39"/>
        <v>15.782815260920117</v>
      </c>
      <c r="CB21" s="22">
        <f t="shared" si="10"/>
        <v>122.49645924610253</v>
      </c>
      <c r="CC21" s="62">
        <f t="shared" si="11"/>
        <v>415.82979257943583</v>
      </c>
      <c r="CD21" s="62">
        <f ca="1">AVERAGE(OFFSET($CC$3,0,0,'Données projet'!$E$12+1,1))-AVERAGE(OFFSET($H$3,0,0,'Données projet'!$E$12+1,1))</f>
        <v>254.67898541152096</v>
      </c>
      <c r="CE21" s="62">
        <f t="shared" si="40"/>
        <v>251.52653810702509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154.44</v>
      </c>
      <c r="L22" s="13">
        <f>VLOOKUP(A22,'Données projet'!$A$35:$I$55,9,0)</f>
        <v>8.1284210526315785</v>
      </c>
      <c r="M22" s="13">
        <f t="array" ref="M22">INDEX(L:L,MIN(IF(ISNUMBER(L22:L218),ROW(L22:L218),"")))</f>
        <v>8.1284210526315785</v>
      </c>
      <c r="N22" s="14">
        <f>IF('Données projet'!$A$36&gt;35,N21+M22-V21,IF(A22&lt;'Données projet'!$A$36,$K$205^A22,IF(A22='Données projet'!$A$36,'Données projet'!$B$36,N21+M22-V21)))</f>
        <v>154.44</v>
      </c>
      <c r="O22" s="14">
        <f>N22*VLOOKUP('Données projet'!$B$9,Paramètres!$A$1:$I$89,3,0)*VLOOKUP('Données projet'!$B$9,Paramètres!$A$1:$I$89,5,0)</f>
        <v>86.331959999999995</v>
      </c>
      <c r="P22" s="14">
        <f t="shared" si="33"/>
        <v>23.67845117029286</v>
      </c>
      <c r="Q22" s="22">
        <f t="shared" si="2"/>
        <v>191.60146612159338</v>
      </c>
      <c r="R22" s="62">
        <f t="shared" si="0"/>
        <v>484.93479945492669</v>
      </c>
      <c r="S22" s="62">
        <f ca="1">AVERAGE(OFFSET($R$3,0,0,'Données projet'!$E$9+1,1))-AVERAGE(OFFSET($H$3,0,0,'Données projet'!$E$9+1,1))</f>
        <v>321.56347025977988</v>
      </c>
      <c r="T22" s="62">
        <f t="shared" si="34"/>
        <v>285.79375360040717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11.6</v>
      </c>
      <c r="AI22" s="14">
        <f>IF('Données projet'!$A$62&gt;35,AI21+AH22-AQ21,IF(A22&lt;'Données projet'!$A$62,$AF$205^A22,IF(A22='Données projet'!$A$62,'Données projet'!$B$62,AI21+AH22-AQ21)))</f>
        <v>104.39999999999998</v>
      </c>
      <c r="AJ22" s="14">
        <f>AI22*VLOOKUP('Données projet'!$B$10,Paramètres!$A$1:$I$89,3,0)*VLOOKUP('Données projet'!$B$10,Paramètres!$A$1:$I$89,5,0)</f>
        <v>65.145599999999988</v>
      </c>
      <c r="AK22" s="14">
        <f t="shared" si="35"/>
        <v>18.462943001028204</v>
      </c>
      <c r="AL22" s="22">
        <f t="shared" si="4"/>
        <v>145.61821239345741</v>
      </c>
      <c r="AM22" s="62">
        <f t="shared" si="5"/>
        <v>438.95154572679075</v>
      </c>
      <c r="AN22" s="62">
        <f ca="1">AVERAGE(OFFSET($AM$3,0,0,'Données projet'!$E$10+1,1))-AVERAGE(OFFSET($H$3,0,0,'Données projet'!$E$10+1,1))</f>
        <v>272.2908884671595</v>
      </c>
      <c r="AO22" s="62">
        <f t="shared" si="36"/>
        <v>220.74777226152867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0.18353578757126787</v>
      </c>
      <c r="AV22" s="23">
        <f>EXP(-LN(2)/25)*AV21+(1-EXP(-LN(2)/25))/(LN(2)/25)*Calculateur!AQ22*Calculateur!AS22*VLOOKUP('Données projet'!$B$10,Paramètres!$A$1:$I$89,3,0)*0.475*44/12</f>
        <v>0.39850020440089123</v>
      </c>
      <c r="AW22" s="23">
        <f>EXP(-LN(2)/2)*AW21+(1-EXP(-LN(2)/2))/(LN(2)/2)*AQ22*AT22*VLOOKUP('Données projet'!$B$10,Paramètres!$A$1:$I$89,3,0)*0.475*44/12</f>
        <v>0.12363976688989008</v>
      </c>
      <c r="AX22" s="23">
        <f t="shared" si="6"/>
        <v>0.70567575886204925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4.3352272727272725</v>
      </c>
      <c r="BD22" s="13">
        <f>IF('Données projet'!$A$88&gt;35,BD21+BC22-BL21,IF(A22&lt;'Données projet'!$A$88,$BA$205^A22,IF(A22='Données projet'!$A$88,'Données projet'!$B$88,BD21+BC22-BL21)))</f>
        <v>82.369318181818159</v>
      </c>
      <c r="BE22" s="14">
        <f>BD22*VLOOKUP('Données projet'!$B$11,Paramètres!$A$1:$I$89,3,0)*VLOOKUP('Données projet'!$B$11,Paramètres!$A$1:$I$89,5,0)</f>
        <v>74.527759090909072</v>
      </c>
      <c r="BF22" s="14">
        <f t="shared" si="37"/>
        <v>20.793725444267654</v>
      </c>
      <c r="BG22" s="22">
        <f t="shared" si="7"/>
        <v>166.01825223209946</v>
      </c>
      <c r="BH22" s="62">
        <f t="shared" si="8"/>
        <v>459.35158556543274</v>
      </c>
      <c r="BI22" s="62">
        <f ca="1">AVERAGE(OFFSET($BH$3,0,0,'Données projet'!$E$11+1,1))-AVERAGE(OFFSET($H$3,0,0,'Données projet'!$E$11+1,1))</f>
        <v>320.80580551060069</v>
      </c>
      <c r="BJ22" s="62">
        <f t="shared" si="38"/>
        <v>225.55225019382294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13.8</v>
      </c>
      <c r="BY22" s="13">
        <f>IF('Données projet'!$A$114&gt;35,BY21+BX22-CG21,IF(A22&lt;'Données projet'!$A$114,$BV$205^A22,IF(A22='Données projet'!$A$114,'Données projet'!$B$114,BY21+BX22-CG21)))</f>
        <v>88.199999999999989</v>
      </c>
      <c r="BZ22" s="14">
        <f>BY22*VLOOKUP('Données projet'!$B$12,Paramètres!$A$1:$I$89,3,0)*VLOOKUP('Données projet'!$B$12,Paramètres!$A$1:$I$89,5,0)</f>
        <v>64.668239999999997</v>
      </c>
      <c r="CA22" s="14">
        <f t="shared" si="39"/>
        <v>18.34335069187722</v>
      </c>
      <c r="CB22" s="22">
        <f t="shared" si="10"/>
        <v>144.57852045501949</v>
      </c>
      <c r="CC22" s="62">
        <f t="shared" si="11"/>
        <v>437.9118537883528</v>
      </c>
      <c r="CD22" s="62">
        <f ca="1">AVERAGE(OFFSET($CC$3,0,0,'Données projet'!$E$12+1,1))-AVERAGE(OFFSET($H$3,0,0,'Données projet'!$E$12+1,1))</f>
        <v>254.67898541152096</v>
      </c>
      <c r="CE22" s="62">
        <f t="shared" si="40"/>
        <v>251.52653810702509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20.355000000000004</v>
      </c>
      <c r="N23" s="14">
        <f>IF('Données projet'!$A$36&gt;35,N22+M23-V22,IF(A23&lt;'Données projet'!$A$36,$K$205^A23,IF(A23='Données projet'!$A$36,'Données projet'!$B$36,N22+M23-V22)))</f>
        <v>174.79500000000002</v>
      </c>
      <c r="O23" s="14">
        <f>N23*VLOOKUP('Données projet'!$B$9,Paramètres!$A$1:$I$89,3,0)*VLOOKUP('Données projet'!$B$9,Paramètres!$A$1:$I$89,5,0)</f>
        <v>97.710405000000009</v>
      </c>
      <c r="P23" s="14">
        <f t="shared" si="33"/>
        <v>26.41579998765167</v>
      </c>
      <c r="Q23" s="22">
        <f t="shared" si="2"/>
        <v>216.18647368682664</v>
      </c>
      <c r="R23" s="62">
        <f t="shared" si="0"/>
        <v>509.51980702015999</v>
      </c>
      <c r="S23" s="62">
        <f ca="1">AVERAGE(OFFSET($R$3,0,0,'Données projet'!$E$9+1,1))-AVERAGE(OFFSET($H$3,0,0,'Données projet'!$E$9+1,1))</f>
        <v>321.56347025977988</v>
      </c>
      <c r="T23" s="62">
        <f t="shared" si="34"/>
        <v>285.79375360040717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116</v>
      </c>
      <c r="AG23" s="13">
        <f>VLOOKUP(A23,'Données projet'!$A$61:$I$81,9,0)</f>
        <v>11.6</v>
      </c>
      <c r="AH23" s="13">
        <f t="array" ref="AH23">INDEX(AG:AG,MIN(IF(ISNUMBER(AG23:AG219),ROW(AG23:AG219),"")))</f>
        <v>11.6</v>
      </c>
      <c r="AI23" s="14">
        <f>IF('Données projet'!$A$62&gt;35,AI22+AH23-AQ22,IF(A23&lt;'Données projet'!$A$62,$AF$205^A23,IF(A23='Données projet'!$A$62,'Données projet'!$B$62,AI22+AH23-AQ22)))</f>
        <v>115.99999999999997</v>
      </c>
      <c r="AJ23" s="14">
        <f>AI23*VLOOKUP('Données projet'!$B$10,Paramètres!$A$1:$I$89,3,0)*VLOOKUP('Données projet'!$B$10,Paramètres!$A$1:$I$89,5,0)</f>
        <v>72.383999999999986</v>
      </c>
      <c r="AK23" s="14">
        <f t="shared" si="35"/>
        <v>20.264329923804379</v>
      </c>
      <c r="AL23" s="22">
        <f t="shared" si="4"/>
        <v>161.36250795062594</v>
      </c>
      <c r="AM23" s="62">
        <f t="shared" si="5"/>
        <v>454.69584128395923</v>
      </c>
      <c r="AN23" s="62">
        <f ca="1">AVERAGE(OFFSET($AM$3,0,0,'Données projet'!$E$10+1,1))-AVERAGE(OFFSET($H$3,0,0,'Données projet'!$E$10+1,1))</f>
        <v>272.2908884671595</v>
      </c>
      <c r="AO23" s="62">
        <f t="shared" si="36"/>
        <v>220.74777226152867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35</v>
      </c>
      <c r="AR23" s="17">
        <f>IF(ISNA(VLOOKUP(A23,'Données projet'!$A$61:$I$81,5,0)),0%,VLOOKUP(A23,'Données projet'!$A$61:$I$81,5,0)*VLOOKUP('Données projet'!$B$10,Paramètres!$A$1:$I$89,7,0))</f>
        <v>0.18</v>
      </c>
      <c r="AS23" s="17">
        <f>IF(ISNA(VLOOKUP(A23,'Données projet'!$A$61:$I$81,6,0)),0%,VLOOKUP(A23,'Données projet'!$A$61:$I$81,6,0)*VLOOKUP('Données projet'!$B$10,Paramètres!$A$1:$I$89,7,0))</f>
        <v>0.23399999999999999</v>
      </c>
      <c r="AT23" s="17">
        <f>IF(ISNA(VLOOKUP(A23,'Données projet'!$A$61:$I$81,7,0)),0%,VLOOKUP(A23,'Données projet'!$A$61:$I$81,7,0))</f>
        <v>0.31</v>
      </c>
      <c r="AU23" s="23">
        <f>EXP(-LN(2)/35)*AU22+(1-EXP(-LN(2)/35))/(LN(2)/35)*AQ23*AR23*VLOOKUP('Données projet'!$B$10,Paramètres!$A$1:$I$89,3,0)*0.475*44/12</f>
        <v>5.3949269499466919</v>
      </c>
      <c r="AV23" s="23">
        <f>EXP(-LN(2)/25)*AV22+(1-EXP(-LN(2)/25))/(LN(2)/25)*Calculateur!AQ23*Calculateur!AS23*VLOOKUP('Données projet'!$B$10,Paramètres!$A$1:$I$89,3,0)*0.475*44/12</f>
        <v>7.1403970142820397</v>
      </c>
      <c r="AW23" s="23">
        <f>EXP(-LN(2)/2)*AW22+(1-EXP(-LN(2)/2))/(LN(2)/2)*AQ23*AT23*VLOOKUP('Données projet'!$B$10,Paramètres!$A$1:$I$89,3,0)*0.475*44/12</f>
        <v>7.7530920647653483</v>
      </c>
      <c r="AX23" s="23">
        <f t="shared" si="6"/>
        <v>20.288416028994078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4.3352272727272725</v>
      </c>
      <c r="BD23" s="13">
        <f>IF('Données projet'!$A$88&gt;35,BD22+BC23-BL22,IF(A23&lt;'Données projet'!$A$88,$BA$205^A23,IF(A23='Données projet'!$A$88,'Données projet'!$B$88,BD22+BC23-BL22)))</f>
        <v>86.704545454545425</v>
      </c>
      <c r="BE23" s="14">
        <f>BD23*VLOOKUP('Données projet'!$B$11,Paramètres!$A$1:$I$89,3,0)*VLOOKUP('Données projet'!$B$11,Paramètres!$A$1:$I$89,5,0)</f>
        <v>78.450272727272704</v>
      </c>
      <c r="BF23" s="14">
        <f t="shared" si="37"/>
        <v>21.757837441954852</v>
      </c>
      <c r="BG23" s="22">
        <f t="shared" si="7"/>
        <v>174.52912521140465</v>
      </c>
      <c r="BH23" s="62">
        <f t="shared" si="8"/>
        <v>467.86245854473793</v>
      </c>
      <c r="BI23" s="62">
        <f ca="1">AVERAGE(OFFSET($BH$3,0,0,'Données projet'!$E$11+1,1))-AVERAGE(OFFSET($H$3,0,0,'Données projet'!$E$11+1,1))</f>
        <v>320.80580551060069</v>
      </c>
      <c r="BJ23" s="62">
        <f t="shared" si="38"/>
        <v>225.55225019382294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102</v>
      </c>
      <c r="BW23" s="13">
        <f>VLOOKUP(A23,'Données projet'!$A$113:$I$133,9,0)</f>
        <v>13.8</v>
      </c>
      <c r="BX23" s="13">
        <f t="array" ref="BX23">INDEX(BW:BW,MIN(IF(ISNUMBER(BW23:BW219),ROW(BW23:BW219),"")))</f>
        <v>13.8</v>
      </c>
      <c r="BY23" s="13">
        <f>IF('Données projet'!$A$114&gt;35,BY22+BX23-CG22,IF(A23&lt;'Données projet'!$A$114,$BV$205^A23,IF(A23='Données projet'!$A$114,'Données projet'!$B$114,BY22+BX23-CG22)))</f>
        <v>101.99999999999999</v>
      </c>
      <c r="BZ23" s="14">
        <f>BY23*VLOOKUP('Données projet'!$B$12,Paramètres!$A$1:$I$89,3,0)*VLOOKUP('Données projet'!$B$12,Paramètres!$A$1:$I$89,5,0)</f>
        <v>74.786399999999986</v>
      </c>
      <c r="CA23" s="14">
        <f t="shared" si="39"/>
        <v>20.857475351088951</v>
      </c>
      <c r="CB23" s="22">
        <f t="shared" si="10"/>
        <v>166.57974956981323</v>
      </c>
      <c r="CC23" s="62">
        <f t="shared" si="11"/>
        <v>459.91308290314657</v>
      </c>
      <c r="CD23" s="62">
        <f ca="1">AVERAGE(OFFSET($CC$3,0,0,'Données projet'!$E$12+1,1))-AVERAGE(OFFSET($H$3,0,0,'Données projet'!$E$12+1,1))</f>
        <v>254.67898541152096</v>
      </c>
      <c r="CE23" s="62">
        <f t="shared" si="40"/>
        <v>251.52653810702509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35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195.15</v>
      </c>
      <c r="L24" s="13">
        <f>VLOOKUP(A24,'Données projet'!$A$35:$I$55,9,0)</f>
        <v>20.355000000000004</v>
      </c>
      <c r="M24" s="13">
        <f t="array" ref="M24">INDEX(L:L,MIN(IF(ISNUMBER(L24:L220),ROW(L24:L220),"")))</f>
        <v>20.355000000000004</v>
      </c>
      <c r="N24" s="14">
        <f>IF('Données projet'!$A$36&gt;35,N23+M24-V23,IF(A24&lt;'Données projet'!$A$36,$K$205^A24,IF(A24='Données projet'!$A$36,'Données projet'!$B$36,N23+M24-V23)))</f>
        <v>195.15000000000003</v>
      </c>
      <c r="O24" s="14">
        <f>N24*VLOOKUP('Données projet'!$B$9,Paramètres!$A$1:$I$89,3,0)*VLOOKUP('Données projet'!$B$9,Paramètres!$A$1:$I$89,5,0)</f>
        <v>109.08885000000002</v>
      </c>
      <c r="P24" s="14">
        <f t="shared" si="33"/>
        <v>29.116206715124498</v>
      </c>
      <c r="Q24" s="22">
        <f t="shared" si="2"/>
        <v>240.70714044550854</v>
      </c>
      <c r="R24" s="62">
        <f t="shared" si="0"/>
        <v>534.04047377884183</v>
      </c>
      <c r="S24" s="62">
        <f ca="1">AVERAGE(OFFSET($R$3,0,0,'Données projet'!$E$9+1,1))-AVERAGE(OFFSET($H$3,0,0,'Données projet'!$E$9+1,1))</f>
        <v>321.56347025977988</v>
      </c>
      <c r="T24" s="62">
        <f t="shared" si="34"/>
        <v>285.79375360040717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64.58</v>
      </c>
      <c r="W24" s="17">
        <f>IF(ISNA(VLOOKUP(A24,'Données projet'!$A$35:$I$55,5,0)),0%,VLOOKUP(A24,'Données projet'!$A$35:$I$55,5,0)*VLOOKUP('Données projet'!$B$9,Paramètres!$A$1:$I$89,7,0))</f>
        <v>0.11000000000000001</v>
      </c>
      <c r="X24" s="17">
        <f>IF(ISNA(VLOOKUP(A24,'Données projet'!$A$35:$I$55,6,0)),0%,VLOOKUP(A24,'Données projet'!$A$35:$I$55,6,0)*VLOOKUP('Données projet'!$B$9,Paramètres!$A$1:$I$89,7,0))</f>
        <v>0.24750000000000003</v>
      </c>
      <c r="Y24" s="17">
        <f>IF(ISNA(VLOOKUP(A24,'Données projet'!$A$35:$I$55,7,0)),0%,VLOOKUP(A24,'Données projet'!$A$35:$I$55,7,0))</f>
        <v>0.35</v>
      </c>
      <c r="Z24" s="23">
        <f>EXP(-LN(2)/35)*Z23+(1-EXP(-LN(2)/35))/(LN(2)/35)*V24*W24*VLOOKUP('Données projet'!$B$9,Paramètres!$A$1:$I$89,3,0)*0.475*44/12</f>
        <v>5.2678195554102354</v>
      </c>
      <c r="AA24" s="23">
        <f>EXP(-LN(2)/25)*AA23+(1-EXP(-LN(2)/25))/(LN(2)/25)*Calculateur!V24*Calculateur!X24*VLOOKUP('Données projet'!$B$9,Paramètres!$A$1:$I$89,3,0)*0.475*44/12</f>
        <v>11.805925820903942</v>
      </c>
      <c r="AB24" s="23">
        <f>EXP(-LN(2)/2)*AB23+(1-EXP(-LN(2)/2))/(LN(2)/2)*V24*Y24*VLOOKUP('Données projet'!$B$9,Paramètres!$A$1:$I$89,3,0)*0.475*44/12</f>
        <v>14.305842261133805</v>
      </c>
      <c r="AC24" s="24">
        <f t="shared" si="3"/>
        <v>31.379587637447983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13.6</v>
      </c>
      <c r="AI24" s="14">
        <f>IF('Données projet'!$A$62&gt;35,AI23+AH24-AQ23,IF(A24&lt;'Données projet'!$A$62,$AF$205^A24,IF(A24='Données projet'!$A$62,'Données projet'!$B$62,AI23+AH24-AQ23)))</f>
        <v>94.599999999999966</v>
      </c>
      <c r="AJ24" s="14">
        <f>AI24*VLOOKUP('Données projet'!$B$10,Paramètres!$A$1:$I$89,3,0)*VLOOKUP('Données projet'!$B$10,Paramètres!$A$1:$I$89,5,0)</f>
        <v>59.030399999999979</v>
      </c>
      <c r="AK24" s="14">
        <f t="shared" si="35"/>
        <v>16.922891750707464</v>
      </c>
      <c r="AL24" s="22">
        <f t="shared" si="4"/>
        <v>132.28531646581547</v>
      </c>
      <c r="AM24" s="62">
        <f t="shared" si="5"/>
        <v>425.61864979914878</v>
      </c>
      <c r="AN24" s="62">
        <f ca="1">AVERAGE(OFFSET($AM$3,0,0,'Données projet'!$E$10+1,1))-AVERAGE(OFFSET($H$3,0,0,'Données projet'!$E$10+1,1))</f>
        <v>272.2908884671595</v>
      </c>
      <c r="AO24" s="62">
        <f t="shared" si="36"/>
        <v>220.74777226152867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5.2891357230387586</v>
      </c>
      <c r="AV24" s="23">
        <f>EXP(-LN(2)/25)*AV23+(1-EXP(-LN(2)/25))/(LN(2)/25)*Calculateur!AQ24*Calculateur!AS24*VLOOKUP('Données projet'!$B$10,Paramètres!$A$1:$I$89,3,0)*0.475*44/12</f>
        <v>6.945142482429338</v>
      </c>
      <c r="AW24" s="23">
        <f>EXP(-LN(2)/2)*AW23+(1-EXP(-LN(2)/2))/(LN(2)/2)*AQ24*AT24*VLOOKUP('Données projet'!$B$10,Paramètres!$A$1:$I$89,3,0)*0.475*44/12</f>
        <v>5.4822639741591894</v>
      </c>
      <c r="AX24" s="23">
        <f t="shared" si="6"/>
        <v>17.716542179627286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4.3352272727272725</v>
      </c>
      <c r="BD24" s="13">
        <f>IF('Données projet'!$A$88&gt;35,BD23+BC24-BL23,IF(A24&lt;'Données projet'!$A$88,$BA$205^A24,IF(A24='Données projet'!$A$88,'Données projet'!$B$88,BD23+BC24-BL23)))</f>
        <v>91.039772727272691</v>
      </c>
      <c r="BE24" s="14">
        <f>BD24*VLOOKUP('Données projet'!$B$11,Paramètres!$A$1:$I$89,3,0)*VLOOKUP('Données projet'!$B$11,Paramètres!$A$1:$I$89,5,0)</f>
        <v>82.372786363636322</v>
      </c>
      <c r="BF24" s="14">
        <f t="shared" si="37"/>
        <v>22.716352142318268</v>
      </c>
      <c r="BG24" s="22">
        <f t="shared" si="7"/>
        <v>183.0302495645376</v>
      </c>
      <c r="BH24" s="62">
        <f t="shared" si="8"/>
        <v>476.36358289787091</v>
      </c>
      <c r="BI24" s="62">
        <f ca="1">AVERAGE(OFFSET($BH$3,0,0,'Données projet'!$E$11+1,1))-AVERAGE(OFFSET($H$3,0,0,'Données projet'!$E$11+1,1))</f>
        <v>320.80580551060069</v>
      </c>
      <c r="BJ24" s="62">
        <f t="shared" si="38"/>
        <v>225.55225019382294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14.8</v>
      </c>
      <c r="BY24" s="13">
        <f>IF('Données projet'!$A$114&gt;35,BY23+BX24-CG23,IF(A24&lt;'Données projet'!$A$114,$BV$205^A24,IF(A24='Données projet'!$A$114,'Données projet'!$B$114,BY23+BX24-CG23)))</f>
        <v>81.799999999999983</v>
      </c>
      <c r="BZ24" s="14">
        <f>BY24*VLOOKUP('Données projet'!$B$12,Paramètres!$A$1:$I$89,3,0)*VLOOKUP('Données projet'!$B$12,Paramètres!$A$1:$I$89,5,0)</f>
        <v>59.975759999999987</v>
      </c>
      <c r="CA24" s="14">
        <f t="shared" si="39"/>
        <v>17.162140235844557</v>
      </c>
      <c r="CB24" s="22">
        <f t="shared" si="10"/>
        <v>134.34850957742924</v>
      </c>
      <c r="CC24" s="62">
        <f t="shared" si="11"/>
        <v>427.68184291076255</v>
      </c>
      <c r="CD24" s="62">
        <f ca="1">AVERAGE(OFFSET($CC$3,0,0,'Données projet'!$E$12+1,1))-AVERAGE(OFFSET($H$3,0,0,'Données projet'!$E$12+1,1))</f>
        <v>254.67898541152096</v>
      </c>
      <c r="CE24" s="62">
        <f t="shared" si="40"/>
        <v>251.52653810702509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21.612857142857145</v>
      </c>
      <c r="N25" s="14">
        <f>IF('Données projet'!$A$36&gt;35,N24+M25-V24,IF(A25&lt;'Données projet'!$A$36,$K$205^A25,IF(A25='Données projet'!$A$36,'Données projet'!$B$36,N24+M25-V24)))</f>
        <v>152.18285714285719</v>
      </c>
      <c r="O25" s="14">
        <f>N25*VLOOKUP('Données projet'!$B$9,Paramètres!$A$1:$I$89,3,0)*VLOOKUP('Données projet'!$B$9,Paramètres!$A$1:$I$89,5,0)</f>
        <v>85.070217142857175</v>
      </c>
      <c r="P25" s="14">
        <f t="shared" si="33"/>
        <v>23.372410230575955</v>
      </c>
      <c r="Q25" s="22">
        <f t="shared" si="2"/>
        <v>188.87090934206267</v>
      </c>
      <c r="R25" s="62">
        <f t="shared" si="0"/>
        <v>482.20424267539602</v>
      </c>
      <c r="S25" s="62">
        <f ca="1">AVERAGE(OFFSET($R$3,0,0,'Données projet'!$E$9+1,1))-AVERAGE(OFFSET($H$3,0,0,'Données projet'!$E$9+1,1))</f>
        <v>321.56347025977988</v>
      </c>
      <c r="T25" s="62">
        <f t="shared" si="34"/>
        <v>285.79375360040717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5.164520826981307</v>
      </c>
      <c r="AA25" s="23">
        <f>EXP(-LN(2)/25)*AA24+(1-EXP(-LN(2)/25))/(LN(2)/25)*Calculateur!V25*Calculateur!X25*VLOOKUP('Données projet'!$B$9,Paramètres!$A$1:$I$89,3,0)*0.475*44/12</f>
        <v>11.483092158484668</v>
      </c>
      <c r="AB25" s="23">
        <f>EXP(-LN(2)/2)*AB24+(1-EXP(-LN(2)/2))/(LN(2)/2)*V25*Y25*VLOOKUP('Données projet'!$B$9,Paramètres!$A$1:$I$89,3,0)*0.475*44/12</f>
        <v>10.115758073432806</v>
      </c>
      <c r="AC25" s="24">
        <f t="shared" si="3"/>
        <v>26.763371058898784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13.6</v>
      </c>
      <c r="AI25" s="14">
        <f>IF('Données projet'!$A$62&gt;35,AI24+AH25-AQ24,IF(A25&lt;'Données projet'!$A$62,$AF$205^A25,IF(A25='Données projet'!$A$62,'Données projet'!$B$62,AI24+AH25-AQ24)))</f>
        <v>108.19999999999996</v>
      </c>
      <c r="AJ25" s="14">
        <f>AI25*VLOOKUP('Données projet'!$B$10,Paramètres!$A$1:$I$89,3,0)*VLOOKUP('Données projet'!$B$10,Paramètres!$A$1:$I$89,5,0)</f>
        <v>67.516799999999975</v>
      </c>
      <c r="AK25" s="14">
        <f t="shared" si="35"/>
        <v>19.05550119155874</v>
      </c>
      <c r="AL25" s="22">
        <f t="shared" si="4"/>
        <v>150.78009124196475</v>
      </c>
      <c r="AM25" s="62">
        <f t="shared" si="5"/>
        <v>444.11342457529804</v>
      </c>
      <c r="AN25" s="62">
        <f ca="1">AVERAGE(OFFSET($AM$3,0,0,'Données projet'!$E$10+1,1))-AVERAGE(OFFSET($H$3,0,0,'Données projet'!$E$10+1,1))</f>
        <v>272.2908884671595</v>
      </c>
      <c r="AO25" s="62">
        <f t="shared" si="36"/>
        <v>220.74777226152867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5.1854189975642129</v>
      </c>
      <c r="AV25" s="23">
        <f>EXP(-LN(2)/25)*AV24+(1-EXP(-LN(2)/25))/(LN(2)/25)*Calculateur!AQ25*Calculateur!AS25*VLOOKUP('Données projet'!$B$10,Paramètres!$A$1:$I$89,3,0)*0.475*44/12</f>
        <v>6.7552271960181383</v>
      </c>
      <c r="AW25" s="23">
        <f>EXP(-LN(2)/2)*AW24+(1-EXP(-LN(2)/2))/(LN(2)/2)*AQ25*AT25*VLOOKUP('Données projet'!$B$10,Paramètres!$A$1:$I$89,3,0)*0.475*44/12</f>
        <v>3.8765460323826746</v>
      </c>
      <c r="AX25" s="23">
        <f t="shared" si="6"/>
        <v>15.817192225965027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4.3352272727272725</v>
      </c>
      <c r="BD25" s="13">
        <f>IF('Données projet'!$A$88&gt;35,BD24+BC25-BL24,IF(A25&lt;'Données projet'!$A$88,$BA$205^A25,IF(A25='Données projet'!$A$88,'Données projet'!$B$88,BD24+BC25-BL24)))</f>
        <v>95.374999999999957</v>
      </c>
      <c r="BE25" s="14">
        <f>BD25*VLOOKUP('Données projet'!$B$11,Paramètres!$A$1:$I$89,3,0)*VLOOKUP('Données projet'!$B$11,Paramètres!$A$1:$I$89,5,0)</f>
        <v>86.295299999999969</v>
      </c>
      <c r="BF25" s="14">
        <f t="shared" si="37"/>
        <v>23.66956651478727</v>
      </c>
      <c r="BG25" s="22">
        <f t="shared" si="7"/>
        <v>191.52214251325447</v>
      </c>
      <c r="BH25" s="62">
        <f t="shared" si="8"/>
        <v>484.85547584658775</v>
      </c>
      <c r="BI25" s="62">
        <f ca="1">AVERAGE(OFFSET($BH$3,0,0,'Données projet'!$E$11+1,1))-AVERAGE(OFFSET($H$3,0,0,'Données projet'!$E$11+1,1))</f>
        <v>320.80580551060069</v>
      </c>
      <c r="BJ25" s="62">
        <f t="shared" si="38"/>
        <v>225.55225019382294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14.8</v>
      </c>
      <c r="BY25" s="13">
        <f>IF('Données projet'!$A$114&gt;35,BY24+BX25-CG24,IF(A25&lt;'Données projet'!$A$114,$BV$205^A25,IF(A25='Données projet'!$A$114,'Données projet'!$B$114,BY24+BX25-CG24)))</f>
        <v>96.59999999999998</v>
      </c>
      <c r="BZ25" s="14">
        <f>BY25*VLOOKUP('Données projet'!$B$12,Paramètres!$A$1:$I$89,3,0)*VLOOKUP('Données projet'!$B$12,Paramètres!$A$1:$I$89,5,0)</f>
        <v>70.827119999999979</v>
      </c>
      <c r="CA25" s="14">
        <f t="shared" si="39"/>
        <v>19.878719982140016</v>
      </c>
      <c r="CB25" s="22">
        <f t="shared" si="10"/>
        <v>157.97933796889382</v>
      </c>
      <c r="CC25" s="62">
        <f t="shared" si="11"/>
        <v>451.31267130222716</v>
      </c>
      <c r="CD25" s="62">
        <f ca="1">AVERAGE(OFFSET($CC$3,0,0,'Données projet'!$E$12+1,1))-AVERAGE(OFFSET($H$3,0,0,'Données projet'!$E$12+1,1))</f>
        <v>254.67898541152096</v>
      </c>
      <c r="CE25" s="62">
        <f t="shared" si="40"/>
        <v>251.52653810702509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21.612857142857145</v>
      </c>
      <c r="N26" s="14">
        <f>IF('Données projet'!$A$36&gt;35,N25+M26-V25,IF(A26&lt;'Données projet'!$A$36,$K$205^A26,IF(A26='Données projet'!$A$36,'Données projet'!$B$36,N25+M26-V25)))</f>
        <v>173.79571428571433</v>
      </c>
      <c r="O26" s="14">
        <f>N26*VLOOKUP('Données projet'!$B$9,Paramètres!$A$1:$I$89,3,0)*VLOOKUP('Données projet'!$B$9,Paramètres!$A$1:$I$89,5,0)</f>
        <v>97.15180428571432</v>
      </c>
      <c r="P26" s="14">
        <f t="shared" si="33"/>
        <v>26.282317303127122</v>
      </c>
      <c r="Q26" s="22">
        <f t="shared" si="2"/>
        <v>214.98109510056551</v>
      </c>
      <c r="R26" s="62">
        <f t="shared" si="0"/>
        <v>508.3144284338988</v>
      </c>
      <c r="S26" s="62">
        <f ca="1">AVERAGE(OFFSET($R$3,0,0,'Données projet'!$E$9+1,1))-AVERAGE(OFFSET($H$3,0,0,'Données projet'!$E$9+1,1))</f>
        <v>321.56347025977988</v>
      </c>
      <c r="T26" s="62">
        <f t="shared" si="34"/>
        <v>285.79375360040717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5.0632477236108668</v>
      </c>
      <c r="AA26" s="23">
        <f>EXP(-LN(2)/25)*AA25+(1-EXP(-LN(2)/25))/(LN(2)/25)*Calculateur!V26*Calculateur!X26*VLOOKUP('Données projet'!$B$9,Paramètres!$A$1:$I$89,3,0)*0.475*44/12</f>
        <v>11.169086399541333</v>
      </c>
      <c r="AB26" s="23">
        <f>EXP(-LN(2)/2)*AB25+(1-EXP(-LN(2)/2))/(LN(2)/2)*V26*Y26*VLOOKUP('Données projet'!$B$9,Paramètres!$A$1:$I$89,3,0)*0.475*44/12</f>
        <v>7.1529211305669032</v>
      </c>
      <c r="AC26" s="24">
        <f t="shared" si="3"/>
        <v>23.385255253719102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13.6</v>
      </c>
      <c r="AI26" s="14">
        <f>IF('Données projet'!$A$62&gt;35,AI25+AH26-AQ25,IF(A26&lt;'Données projet'!$A$62,$AF$205^A26,IF(A26='Données projet'!$A$62,'Données projet'!$B$62,AI25+AH26-AQ25)))</f>
        <v>121.79999999999995</v>
      </c>
      <c r="AJ26" s="14">
        <f>AI26*VLOOKUP('Données projet'!$B$10,Paramètres!$A$1:$I$89,3,0)*VLOOKUP('Données projet'!$B$10,Paramètres!$A$1:$I$89,5,0)</f>
        <v>76.003199999999978</v>
      </c>
      <c r="AK26" s="14">
        <f t="shared" si="35"/>
        <v>21.157049992000438</v>
      </c>
      <c r="AL26" s="22">
        <f t="shared" si="4"/>
        <v>169.22076873606738</v>
      </c>
      <c r="AM26" s="62">
        <f t="shared" si="5"/>
        <v>462.5541020694007</v>
      </c>
      <c r="AN26" s="62">
        <f ca="1">AVERAGE(OFFSET($AM$3,0,0,'Données projet'!$E$10+1,1))-AVERAGE(OFFSET($H$3,0,0,'Données projet'!$E$10+1,1))</f>
        <v>272.2908884671595</v>
      </c>
      <c r="AO26" s="62">
        <f t="shared" si="36"/>
        <v>220.74777226152867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5.0837360938152676</v>
      </c>
      <c r="AV26" s="23">
        <f>EXP(-LN(2)/25)*AV25+(1-EXP(-LN(2)/25))/(LN(2)/25)*Calculateur!AQ26*Calculateur!AS26*VLOOKUP('Données projet'!$B$10,Paramètres!$A$1:$I$89,3,0)*0.475*44/12</f>
        <v>6.5705051531010632</v>
      </c>
      <c r="AW26" s="23">
        <f>EXP(-LN(2)/2)*AW25+(1-EXP(-LN(2)/2))/(LN(2)/2)*AQ26*AT26*VLOOKUP('Données projet'!$B$10,Paramètres!$A$1:$I$89,3,0)*0.475*44/12</f>
        <v>2.7411319870795952</v>
      </c>
      <c r="AX26" s="23">
        <f t="shared" si="6"/>
        <v>14.395373233995926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4.3352272727272725</v>
      </c>
      <c r="BD26" s="13">
        <f>IF('Données projet'!$A$88&gt;35,BD25+BC26-BL25,IF(A26&lt;'Données projet'!$A$88,$BA$205^A26,IF(A26='Données projet'!$A$88,'Données projet'!$B$88,BD25+BC26-BL25)))</f>
        <v>99.710227272727224</v>
      </c>
      <c r="BE26" s="14">
        <f>BD26*VLOOKUP('Données projet'!$B$11,Paramètres!$A$1:$I$89,3,0)*VLOOKUP('Données projet'!$B$11,Paramètres!$A$1:$I$89,5,0)</f>
        <v>90.217813636363587</v>
      </c>
      <c r="BF26" s="14">
        <f t="shared" si="37"/>
        <v>24.61774900551816</v>
      </c>
      <c r="BG26" s="22">
        <f t="shared" si="7"/>
        <v>200.00527160127737</v>
      </c>
      <c r="BH26" s="62">
        <f t="shared" si="8"/>
        <v>493.33860493461066</v>
      </c>
      <c r="BI26" s="62">
        <f ca="1">AVERAGE(OFFSET($BH$3,0,0,'Données projet'!$E$11+1,1))-AVERAGE(OFFSET($H$3,0,0,'Données projet'!$E$11+1,1))</f>
        <v>320.80580551060069</v>
      </c>
      <c r="BJ26" s="62">
        <f t="shared" si="38"/>
        <v>225.55225019382294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14.8</v>
      </c>
      <c r="BY26" s="13">
        <f>IF('Données projet'!$A$114&gt;35,BY25+BX26-CG25,IF(A26&lt;'Données projet'!$A$114,$BV$205^A26,IF(A26='Données projet'!$A$114,'Données projet'!$B$114,BY25+BX26-CG25)))</f>
        <v>111.39999999999998</v>
      </c>
      <c r="BZ26" s="14">
        <f>BY26*VLOOKUP('Données projet'!$B$12,Paramètres!$A$1:$I$89,3,0)*VLOOKUP('Données projet'!$B$12,Paramètres!$A$1:$I$89,5,0)</f>
        <v>81.678479999999993</v>
      </c>
      <c r="CA26" s="14">
        <f t="shared" si="39"/>
        <v>22.547083950915322</v>
      </c>
      <c r="CB26" s="22">
        <f t="shared" si="10"/>
        <v>181.52619054784418</v>
      </c>
      <c r="CC26" s="62">
        <f t="shared" si="11"/>
        <v>474.85952388117749</v>
      </c>
      <c r="CD26" s="62">
        <f ca="1">AVERAGE(OFFSET($CC$3,0,0,'Données projet'!$E$12+1,1))-AVERAGE(OFFSET($H$3,0,0,'Données projet'!$E$12+1,1))</f>
        <v>254.67898541152096</v>
      </c>
      <c r="CE26" s="62">
        <f t="shared" si="40"/>
        <v>251.52653810702509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21.612857142857145</v>
      </c>
      <c r="N27" s="14">
        <f>IF('Données projet'!$A$36&gt;35,N26+M27-V26,IF(A27&lt;'Données projet'!$A$36,$K$205^A27,IF(A27='Données projet'!$A$36,'Données projet'!$B$36,N26+M27-V26)))</f>
        <v>195.40857142857146</v>
      </c>
      <c r="O27" s="14">
        <f>N27*VLOOKUP('Données projet'!$B$9,Paramètres!$A$1:$I$89,3,0)*VLOOKUP('Données projet'!$B$9,Paramètres!$A$1:$I$89,5,0)</f>
        <v>109.23339142857145</v>
      </c>
      <c r="P27" s="14">
        <f t="shared" si="33"/>
        <v>29.150292163037918</v>
      </c>
      <c r="Q27" s="22">
        <f t="shared" si="2"/>
        <v>241.018248922053</v>
      </c>
      <c r="R27" s="62">
        <f t="shared" si="0"/>
        <v>534.35158225538635</v>
      </c>
      <c r="S27" s="62">
        <f ca="1">AVERAGE(OFFSET($R$3,0,0,'Données projet'!$E$9+1,1))-AVERAGE(OFFSET($H$3,0,0,'Données projet'!$E$9+1,1))</f>
        <v>321.56347025977988</v>
      </c>
      <c r="T27" s="62">
        <f t="shared" si="34"/>
        <v>285.79375360040717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4.9639605240270273</v>
      </c>
      <c r="AA27" s="23">
        <f>EXP(-LN(2)/25)*AA26+(1-EXP(-LN(2)/25))/(LN(2)/25)*Calculateur!V27*Calculateur!X27*VLOOKUP('Données projet'!$B$9,Paramètres!$A$1:$I$89,3,0)*0.475*44/12</f>
        <v>10.863667144589149</v>
      </c>
      <c r="AB27" s="23">
        <f>EXP(-LN(2)/2)*AB26+(1-EXP(-LN(2)/2))/(LN(2)/2)*V27*Y27*VLOOKUP('Données projet'!$B$9,Paramètres!$A$1:$I$89,3,0)*0.475*44/12</f>
        <v>5.0578790367164039</v>
      </c>
      <c r="AC27" s="24">
        <f t="shared" si="3"/>
        <v>20.885506705332581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13.6</v>
      </c>
      <c r="AI27" s="14">
        <f>IF('Données projet'!$A$62&gt;35,AI26+AH27-AQ26,IF(A27&lt;'Données projet'!$A$62,$AF$205^A27,IF(A27='Données projet'!$A$62,'Données projet'!$B$62,AI26+AH27-AQ26)))</f>
        <v>135.39999999999995</v>
      </c>
      <c r="AJ27" s="14">
        <f>AI27*VLOOKUP('Données projet'!$B$10,Paramètres!$A$1:$I$89,3,0)*VLOOKUP('Données projet'!$B$10,Paramètres!$A$1:$I$89,5,0)</f>
        <v>84.489599999999967</v>
      </c>
      <c r="AK27" s="14">
        <f t="shared" si="35"/>
        <v>23.231402008088111</v>
      </c>
      <c r="AL27" s="22">
        <f t="shared" si="4"/>
        <v>187.61407849742008</v>
      </c>
      <c r="AM27" s="62">
        <f t="shared" si="5"/>
        <v>480.94741183075337</v>
      </c>
      <c r="AN27" s="62">
        <f ca="1">AVERAGE(OFFSET($AM$3,0,0,'Données projet'!$E$10+1,1))-AVERAGE(OFFSET($H$3,0,0,'Données projet'!$E$10+1,1))</f>
        <v>272.2908884671595</v>
      </c>
      <c r="AO27" s="62">
        <f t="shared" si="36"/>
        <v>220.74777226152867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4.9840471297883919</v>
      </c>
      <c r="AV27" s="23">
        <f>EXP(-LN(2)/25)*AV26+(1-EXP(-LN(2)/25))/(LN(2)/25)*Calculateur!AQ27*Calculateur!AS27*VLOOKUP('Données projet'!$B$10,Paramètres!$A$1:$I$89,3,0)*0.475*44/12</f>
        <v>6.3908343441616653</v>
      </c>
      <c r="AW27" s="23">
        <f>EXP(-LN(2)/2)*AW26+(1-EXP(-LN(2)/2))/(LN(2)/2)*AQ27*AT27*VLOOKUP('Données projet'!$B$10,Paramètres!$A$1:$I$89,3,0)*0.475*44/12</f>
        <v>1.9382730161913377</v>
      </c>
      <c r="AX27" s="23">
        <f t="shared" si="6"/>
        <v>13.313154490141397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4.3352272727272725</v>
      </c>
      <c r="BD27" s="13">
        <f>IF('Données projet'!$A$88&gt;35,BD26+BC27-BL26,IF(A27&lt;'Données projet'!$A$88,$BA$205^A27,IF(A27='Données projet'!$A$88,'Données projet'!$B$88,BD26+BC27-BL26)))</f>
        <v>104.04545454545449</v>
      </c>
      <c r="BE27" s="14">
        <f>BD27*VLOOKUP('Données projet'!$B$11,Paramètres!$A$1:$I$89,3,0)*VLOOKUP('Données projet'!$B$11,Paramètres!$A$1:$I$89,5,0)</f>
        <v>94.14032727272722</v>
      </c>
      <c r="BF27" s="14">
        <f t="shared" si="37"/>
        <v>25.561143397467401</v>
      </c>
      <c r="BG27" s="22">
        <f t="shared" si="7"/>
        <v>208.48006141725565</v>
      </c>
      <c r="BH27" s="62">
        <f t="shared" si="8"/>
        <v>501.81339475058894</v>
      </c>
      <c r="BI27" s="62">
        <f ca="1">AVERAGE(OFFSET($BH$3,0,0,'Données projet'!$E$11+1,1))-AVERAGE(OFFSET($H$3,0,0,'Données projet'!$E$11+1,1))</f>
        <v>320.80580551060069</v>
      </c>
      <c r="BJ27" s="62">
        <f t="shared" si="38"/>
        <v>225.55225019382294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14.8</v>
      </c>
      <c r="BY27" s="13">
        <f>IF('Données projet'!$A$114&gt;35,BY26+BX27-CG26,IF(A27&lt;'Données projet'!$A$114,$BV$205^A27,IF(A27='Données projet'!$A$114,'Données projet'!$B$114,BY26+BX27-CG26)))</f>
        <v>126.19999999999997</v>
      </c>
      <c r="BZ27" s="14">
        <f>BY27*VLOOKUP('Données projet'!$B$12,Paramètres!$A$1:$I$89,3,0)*VLOOKUP('Données projet'!$B$12,Paramètres!$A$1:$I$89,5,0)</f>
        <v>92.529839999999979</v>
      </c>
      <c r="CA27" s="14">
        <f t="shared" si="39"/>
        <v>25.174373611210889</v>
      </c>
      <c r="CB27" s="22">
        <f t="shared" si="10"/>
        <v>205.0015053728589</v>
      </c>
      <c r="CC27" s="62">
        <f t="shared" si="11"/>
        <v>498.33483870619222</v>
      </c>
      <c r="CD27" s="62">
        <f ca="1">AVERAGE(OFFSET($CC$3,0,0,'Données projet'!$E$12+1,1))-AVERAGE(OFFSET($H$3,0,0,'Données projet'!$E$12+1,1))</f>
        <v>254.67898541152096</v>
      </c>
      <c r="CE27" s="62">
        <f t="shared" si="40"/>
        <v>251.52653810702509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21.612857142857145</v>
      </c>
      <c r="N28" s="14">
        <f>IF('Données projet'!$A$36&gt;35,N27+M28-V27,IF(A28&lt;'Données projet'!$A$36,$K$205^A28,IF(A28='Données projet'!$A$36,'Données projet'!$B$36,N27+M28-V27)))</f>
        <v>217.0214285714286</v>
      </c>
      <c r="O28" s="14">
        <f>N28*VLOOKUP('Données projet'!$B$9,Paramètres!$A$1:$I$89,3,0)*VLOOKUP('Données projet'!$B$9,Paramètres!$A$1:$I$89,5,0)</f>
        <v>121.31497857142858</v>
      </c>
      <c r="P28" s="14">
        <f t="shared" si="33"/>
        <v>31.981501643962339</v>
      </c>
      <c r="Q28" s="22">
        <f t="shared" si="2"/>
        <v>266.99136970847246</v>
      </c>
      <c r="R28" s="62">
        <f t="shared" si="0"/>
        <v>560.32470304180583</v>
      </c>
      <c r="S28" s="62">
        <f ca="1">AVERAGE(OFFSET($R$3,0,0,'Données projet'!$E$9+1,1))-AVERAGE(OFFSET($H$3,0,0,'Données projet'!$E$9+1,1))</f>
        <v>321.56347025977988</v>
      </c>
      <c r="T28" s="62">
        <f t="shared" si="34"/>
        <v>285.79375360040717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4.8666202858678149</v>
      </c>
      <c r="AA28" s="23">
        <f>EXP(-LN(2)/25)*AA27+(1-EXP(-LN(2)/25))/(LN(2)/25)*Calculateur!V28*Calculateur!X28*VLOOKUP('Données projet'!$B$9,Paramètres!$A$1:$I$89,3,0)*0.475*44/12</f>
        <v>10.566599595224933</v>
      </c>
      <c r="AB28" s="23">
        <f>EXP(-LN(2)/2)*AB27+(1-EXP(-LN(2)/2))/(LN(2)/2)*V28*Y28*VLOOKUP('Données projet'!$B$9,Paramètres!$A$1:$I$89,3,0)*0.475*44/12</f>
        <v>3.5764605652834525</v>
      </c>
      <c r="AC28" s="24">
        <f t="shared" si="3"/>
        <v>19.009680446376198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149</v>
      </c>
      <c r="AG28" s="13">
        <f>VLOOKUP(A28,'Données projet'!$A$61:$I$81,9,0)</f>
        <v>13.6</v>
      </c>
      <c r="AH28" s="13">
        <f t="array" ref="AH28">INDEX(AG:AG,MIN(IF(ISNUMBER(AG28:AG224),ROW(AG28:AG224),"")))</f>
        <v>13.6</v>
      </c>
      <c r="AI28" s="14">
        <f>IF('Données projet'!$A$62&gt;35,AI27+AH28-AQ27,IF(A28&lt;'Données projet'!$A$62,$AF$205^A28,IF(A28='Données projet'!$A$62,'Données projet'!$B$62,AI27+AH28-AQ27)))</f>
        <v>148.99999999999994</v>
      </c>
      <c r="AJ28" s="14">
        <f>AI28*VLOOKUP('Données projet'!$B$10,Paramètres!$A$1:$I$89,3,0)*VLOOKUP('Données projet'!$B$10,Paramètres!$A$1:$I$89,5,0)</f>
        <v>92.975999999999956</v>
      </c>
      <c r="AK28" s="14">
        <f t="shared" si="35"/>
        <v>25.281599962100863</v>
      </c>
      <c r="AL28" s="22">
        <f t="shared" si="4"/>
        <v>205.96531993399222</v>
      </c>
      <c r="AM28" s="62">
        <f t="shared" si="5"/>
        <v>499.29865326732556</v>
      </c>
      <c r="AN28" s="62">
        <f ca="1">AVERAGE(OFFSET($AM$3,0,0,'Données projet'!$E$10+1,1))-AVERAGE(OFFSET($H$3,0,0,'Données projet'!$E$10+1,1))</f>
        <v>272.2908884671595</v>
      </c>
      <c r="AO28" s="62">
        <f t="shared" si="36"/>
        <v>220.74777226152867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35</v>
      </c>
      <c r="AR28" s="17">
        <f>IF(ISNA(VLOOKUP(A28,'Données projet'!$A$61:$I$81,5,0)),0%,VLOOKUP(A28,'Données projet'!$A$61:$I$81,5,0)*VLOOKUP('Données projet'!$B$10,Paramètres!$A$1:$I$89,7,0))</f>
        <v>0.18</v>
      </c>
      <c r="AS28" s="17">
        <f>IF(ISNA(VLOOKUP(A28,'Données projet'!$A$61:$I$81,6,0)),0%,VLOOKUP(A28,'Données projet'!$A$61:$I$81,6,0)*VLOOKUP('Données projet'!$B$10,Paramètres!$A$1:$I$89,7,0))</f>
        <v>0.23399999999999999</v>
      </c>
      <c r="AT28" s="17">
        <f>IF(ISNA(VLOOKUP(A28,'Données projet'!$A$61:$I$81,7,0)),0%,VLOOKUP(A28,'Données projet'!$A$61:$I$81,7,0))</f>
        <v>0.31</v>
      </c>
      <c r="AU28" s="23">
        <f>EXP(-LN(2)/35)*AU27+(1-EXP(-LN(2)/35))/(LN(2)/35)*AQ28*AR28*VLOOKUP('Données projet'!$B$10,Paramètres!$A$1:$I$89,3,0)*0.475*44/12</f>
        <v>10.101303192765739</v>
      </c>
      <c r="AV28" s="23">
        <f>EXP(-LN(2)/25)*AV27+(1-EXP(-LN(2)/25))/(LN(2)/25)*Calculateur!AQ28*Calculateur!AS28*VLOOKUP('Données projet'!$B$10,Paramètres!$A$1:$I$89,3,0)*0.475*44/12</f>
        <v>12.968870461867898</v>
      </c>
      <c r="AW28" s="23">
        <f>EXP(-LN(2)/2)*AW27+(1-EXP(-LN(2)/2))/(LN(2)/2)*AQ28*AT28*VLOOKUP('Données projet'!$B$10,Paramètres!$A$1:$I$89,3,0)*0.475*44/12</f>
        <v>9.036231540712981</v>
      </c>
      <c r="AX28" s="23">
        <f t="shared" si="6"/>
        <v>32.106405195346618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4.3352272727272725</v>
      </c>
      <c r="BD28" s="13">
        <f>IF('Données projet'!$A$88&gt;35,BD27+BC28-BL27,IF(A28&lt;'Données projet'!$A$88,$BA$205^A28,IF(A28='Données projet'!$A$88,'Données projet'!$B$88,BD27+BC28-BL27)))</f>
        <v>108.38068181818176</v>
      </c>
      <c r="BE28" s="14">
        <f>BD28*VLOOKUP('Données projet'!$B$11,Paramètres!$A$1:$I$89,3,0)*VLOOKUP('Données projet'!$B$11,Paramètres!$A$1:$I$89,5,0)</f>
        <v>98.062840909090852</v>
      </c>
      <c r="BF28" s="14">
        <f t="shared" si="37"/>
        <v>26.499972008991026</v>
      </c>
      <c r="BG28" s="22">
        <f t="shared" si="7"/>
        <v>216.94689916565926</v>
      </c>
      <c r="BH28" s="62">
        <f t="shared" si="8"/>
        <v>510.28023249899258</v>
      </c>
      <c r="BI28" s="62">
        <f ca="1">AVERAGE(OFFSET($BH$3,0,0,'Données projet'!$E$11+1,1))-AVERAGE(OFFSET($H$3,0,0,'Données projet'!$E$11+1,1))</f>
        <v>320.80580551060069</v>
      </c>
      <c r="BJ28" s="62">
        <f t="shared" si="38"/>
        <v>225.55225019382294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141</v>
      </c>
      <c r="BW28" s="13">
        <f>VLOOKUP(A28,'Données projet'!$A$113:$I$133,9,0)</f>
        <v>14.8</v>
      </c>
      <c r="BX28" s="13">
        <f t="array" ref="BX28">INDEX(BW:BW,MIN(IF(ISNUMBER(BW28:BW224),ROW(BW28:BW224),"")))</f>
        <v>14.8</v>
      </c>
      <c r="BY28" s="13">
        <f>IF('Données projet'!$A$114&gt;35,BY27+BX28-CG27,IF(A28&lt;'Données projet'!$A$114,$BV$205^A28,IF(A28='Données projet'!$A$114,'Données projet'!$B$114,BY27+BX28-CG27)))</f>
        <v>140.99999999999997</v>
      </c>
      <c r="BZ28" s="14">
        <f>BY28*VLOOKUP('Données projet'!$B$12,Paramètres!$A$1:$I$89,3,0)*VLOOKUP('Données projet'!$B$12,Paramètres!$A$1:$I$89,5,0)</f>
        <v>103.38119999999998</v>
      </c>
      <c r="CA28" s="14">
        <f t="shared" si="39"/>
        <v>27.765956260923325</v>
      </c>
      <c r="CB28" s="22">
        <f t="shared" si="10"/>
        <v>228.41463048777476</v>
      </c>
      <c r="CC28" s="62">
        <f t="shared" si="11"/>
        <v>521.7479638211081</v>
      </c>
      <c r="CD28" s="62">
        <f ca="1">AVERAGE(OFFSET($CC$3,0,0,'Données projet'!$E$12+1,1))-AVERAGE(OFFSET($H$3,0,0,'Données projet'!$E$12+1,1))</f>
        <v>254.67898541152096</v>
      </c>
      <c r="CE28" s="62">
        <f t="shared" si="40"/>
        <v>251.52653810702509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35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21.612857142857145</v>
      </c>
      <c r="N29" s="14">
        <f>IF('Données projet'!$A$36&gt;35,N28+M29-V28,IF(A29&lt;'Données projet'!$A$36,$K$205^A29,IF(A29='Données projet'!$A$36,'Données projet'!$B$36,N28+M29-V28)))</f>
        <v>238.63428571428574</v>
      </c>
      <c r="O29" s="14">
        <f>N29*VLOOKUP('Données projet'!$B$9,Paramètres!$A$1:$I$89,3,0)*VLOOKUP('Données projet'!$B$9,Paramètres!$A$1:$I$89,5,0)</f>
        <v>133.39656571428571</v>
      </c>
      <c r="P29" s="14">
        <f t="shared" si="33"/>
        <v>34.780023938654864</v>
      </c>
      <c r="Q29" s="22">
        <f t="shared" si="2"/>
        <v>292.90756031220479</v>
      </c>
      <c r="R29" s="62">
        <f t="shared" si="0"/>
        <v>586.24089364553811</v>
      </c>
      <c r="S29" s="62">
        <f ca="1">AVERAGE(OFFSET($R$3,0,0,'Données projet'!$E$9+1,1))-AVERAGE(OFFSET($H$3,0,0,'Données projet'!$E$9+1,1))</f>
        <v>321.56347025977988</v>
      </c>
      <c r="T29" s="62">
        <f t="shared" si="34"/>
        <v>285.79375360040717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4.7711888304072216</v>
      </c>
      <c r="AA29" s="23">
        <f>EXP(-LN(2)/25)*AA28+(1-EXP(-LN(2)/25))/(LN(2)/25)*Calculateur!V29*Calculateur!X29*VLOOKUP('Données projet'!$B$9,Paramètres!$A$1:$I$89,3,0)*0.475*44/12</f>
        <v>10.277655373620185</v>
      </c>
      <c r="AB29" s="23">
        <f>EXP(-LN(2)/2)*AB28+(1-EXP(-LN(2)/2))/(LN(2)/2)*V29*Y29*VLOOKUP('Données projet'!$B$9,Paramètres!$A$1:$I$89,3,0)*0.475*44/12</f>
        <v>2.5289395183582024</v>
      </c>
      <c r="AC29" s="24">
        <f t="shared" si="3"/>
        <v>17.577783722385611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14.2</v>
      </c>
      <c r="AI29" s="14">
        <f>IF('Données projet'!$A$62&gt;35,AI28+AH29-AQ28,IF(A29&lt;'Données projet'!$A$62,$AF$205^A29,IF(A29='Données projet'!$A$62,'Données projet'!$B$62,AI28+AH29-AQ28)))</f>
        <v>128.19999999999993</v>
      </c>
      <c r="AJ29" s="14">
        <f>AI29*VLOOKUP('Données projet'!$B$10,Paramètres!$A$1:$I$89,3,0)*VLOOKUP('Données projet'!$B$10,Paramètres!$A$1:$I$89,5,0)</f>
        <v>79.996799999999965</v>
      </c>
      <c r="AK29" s="14">
        <f t="shared" si="35"/>
        <v>22.136401710203991</v>
      </c>
      <c r="AL29" s="22">
        <f t="shared" si="4"/>
        <v>177.88199297860524</v>
      </c>
      <c r="AM29" s="62">
        <f t="shared" si="5"/>
        <v>471.21532631193855</v>
      </c>
      <c r="AN29" s="62">
        <f ca="1">AVERAGE(OFFSET($AM$3,0,0,'Données projet'!$E$10+1,1))-AVERAGE(OFFSET($H$3,0,0,'Données projet'!$E$10+1,1))</f>
        <v>272.2908884671595</v>
      </c>
      <c r="AO29" s="62">
        <f t="shared" si="36"/>
        <v>220.74777226152867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9.903222798342183</v>
      </c>
      <c r="AV29" s="23">
        <f>EXP(-LN(2)/25)*AV28+(1-EXP(-LN(2)/25))/(LN(2)/25)*Calculateur!AQ29*Calculateur!AS29*VLOOKUP('Données projet'!$B$10,Paramètres!$A$1:$I$89,3,0)*0.475*44/12</f>
        <v>12.614236017084863</v>
      </c>
      <c r="AW29" s="23">
        <f>EXP(-LN(2)/2)*AW28+(1-EXP(-LN(2)/2))/(LN(2)/2)*AQ29*AT29*VLOOKUP('Données projet'!$B$10,Paramètres!$A$1:$I$89,3,0)*0.475*44/12</f>
        <v>6.3895805988099132</v>
      </c>
      <c r="AX29" s="23">
        <f t="shared" si="6"/>
        <v>28.907039414236962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4.3352272727272725</v>
      </c>
      <c r="BD29" s="13">
        <f>IF('Données projet'!$A$88&gt;35,BD28+BC29-BL28,IF(A29&lt;'Données projet'!$A$88,$BA$205^A29,IF(A29='Données projet'!$A$88,'Données projet'!$B$88,BD28+BC29-BL28)))</f>
        <v>112.71590909090902</v>
      </c>
      <c r="BE29" s="14">
        <f>BD29*VLOOKUP('Données projet'!$B$11,Paramètres!$A$1:$I$89,3,0)*VLOOKUP('Données projet'!$B$11,Paramètres!$A$1:$I$89,5,0)</f>
        <v>101.98535454545448</v>
      </c>
      <c r="BF29" s="14">
        <f t="shared" si="37"/>
        <v>27.43443836626232</v>
      </c>
      <c r="BG29" s="22">
        <f t="shared" si="7"/>
        <v>225.40613932124006</v>
      </c>
      <c r="BH29" s="62">
        <f t="shared" si="8"/>
        <v>518.73947265457332</v>
      </c>
      <c r="BI29" s="62">
        <f ca="1">AVERAGE(OFFSET($BH$3,0,0,'Données projet'!$E$11+1,1))-AVERAGE(OFFSET($H$3,0,0,'Données projet'!$E$11+1,1))</f>
        <v>320.80580551060069</v>
      </c>
      <c r="BJ29" s="62">
        <f t="shared" si="38"/>
        <v>225.55225019382294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</v>
      </c>
      <c r="BY29" s="13">
        <f>IF('Données projet'!$A$114&gt;35,BY28+BX29-CG28,IF(A29&lt;'Données projet'!$A$114,$BV$205^A29,IF(A29='Données projet'!$A$114,'Données projet'!$B$114,BY28+BX29-CG28)))</f>
        <v>120.19999999999996</v>
      </c>
      <c r="BZ29" s="14">
        <f>BY29*VLOOKUP('Données projet'!$B$12,Paramètres!$A$1:$I$89,3,0)*VLOOKUP('Données projet'!$B$12,Paramètres!$A$1:$I$89,5,0)</f>
        <v>88.130639999999971</v>
      </c>
      <c r="CA29" s="14">
        <f t="shared" si="39"/>
        <v>24.113831111728981</v>
      </c>
      <c r="CB29" s="22">
        <f t="shared" si="10"/>
        <v>195.49245385292792</v>
      </c>
      <c r="CC29" s="62">
        <f t="shared" si="11"/>
        <v>488.82578718626121</v>
      </c>
      <c r="CD29" s="62">
        <f ca="1">AVERAGE(OFFSET($CC$3,0,0,'Données projet'!$E$12+1,1))-AVERAGE(OFFSET($H$3,0,0,'Données projet'!$E$12+1,1))</f>
        <v>254.67898541152096</v>
      </c>
      <c r="CE29" s="62">
        <f t="shared" si="40"/>
        <v>251.52653810702509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21.612857142857145</v>
      </c>
      <c r="N30" s="14">
        <f>IF('Données projet'!$A$36&gt;35,N29+M30-V29,IF(A30&lt;'Données projet'!$A$36,$K$205^A30,IF(A30='Données projet'!$A$36,'Données projet'!$B$36,N29+M30-V29)))</f>
        <v>260.24714285714288</v>
      </c>
      <c r="O30" s="14">
        <f>N30*VLOOKUP('Données projet'!$B$9,Paramètres!$A$1:$I$89,3,0)*VLOOKUP('Données projet'!$B$9,Paramètres!$A$1:$I$89,5,0)</f>
        <v>145.47815285714287</v>
      </c>
      <c r="P30" s="14">
        <f t="shared" si="33"/>
        <v>37.54915616665005</v>
      </c>
      <c r="Q30" s="22">
        <f t="shared" si="2"/>
        <v>318.77256321643932</v>
      </c>
      <c r="R30" s="62">
        <f t="shared" si="0"/>
        <v>612.10589654977264</v>
      </c>
      <c r="S30" s="62">
        <f ca="1">AVERAGE(OFFSET($R$3,0,0,'Données projet'!$E$9+1,1))-AVERAGE(OFFSET($H$3,0,0,'Données projet'!$E$9+1,1))</f>
        <v>321.56347025977988</v>
      </c>
      <c r="T30" s="62">
        <f t="shared" si="34"/>
        <v>285.79375360040717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4.6776287275807702</v>
      </c>
      <c r="AA30" s="23">
        <f>EXP(-LN(2)/25)*AA29+(1-EXP(-LN(2)/25))/(LN(2)/25)*Calculateur!V30*Calculateur!X30*VLOOKUP('Données projet'!$B$9,Paramètres!$A$1:$I$89,3,0)*0.475*44/12</f>
        <v>9.9966123469501351</v>
      </c>
      <c r="AB30" s="23">
        <f>EXP(-LN(2)/2)*AB29+(1-EXP(-LN(2)/2))/(LN(2)/2)*V30*Y30*VLOOKUP('Données projet'!$B$9,Paramètres!$A$1:$I$89,3,0)*0.475*44/12</f>
        <v>1.7882302826417265</v>
      </c>
      <c r="AC30" s="24">
        <f t="shared" si="3"/>
        <v>16.462471357172632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14.2</v>
      </c>
      <c r="AI30" s="14">
        <f>IF('Données projet'!$A$62&gt;35,AI29+AH30-AQ29,IF(A30&lt;'Données projet'!$A$62,$AF$205^A30,IF(A30='Données projet'!$A$62,'Données projet'!$B$62,AI29+AH30-AQ29)))</f>
        <v>142.39999999999992</v>
      </c>
      <c r="AJ30" s="14">
        <f>AI30*VLOOKUP('Données projet'!$B$10,Paramètres!$A$1:$I$89,3,0)*VLOOKUP('Données projet'!$B$10,Paramètres!$A$1:$I$89,5,0)</f>
        <v>88.857599999999948</v>
      </c>
      <c r="AK30" s="14">
        <f t="shared" si="35"/>
        <v>24.289501114401368</v>
      </c>
      <c r="AL30" s="22">
        <f t="shared" si="4"/>
        <v>197.06453444091562</v>
      </c>
      <c r="AM30" s="62">
        <f t="shared" si="5"/>
        <v>490.39786777424894</v>
      </c>
      <c r="AN30" s="62">
        <f ca="1">AVERAGE(OFFSET($AM$3,0,0,'Données projet'!$E$10+1,1))-AVERAGE(OFFSET($H$3,0,0,'Données projet'!$E$10+1,1))</f>
        <v>272.2908884671595</v>
      </c>
      <c r="AO30" s="62">
        <f t="shared" si="36"/>
        <v>220.74777226152867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9.7090266396361624</v>
      </c>
      <c r="AV30" s="23">
        <f>EXP(-LN(2)/25)*AV29+(1-EXP(-LN(2)/25))/(LN(2)/25)*Calculateur!AQ30*Calculateur!AS30*VLOOKUP('Données projet'!$B$10,Paramètres!$A$1:$I$89,3,0)*0.475*44/12</f>
        <v>12.269299069843836</v>
      </c>
      <c r="AW30" s="23">
        <f>EXP(-LN(2)/2)*AW29+(1-EXP(-LN(2)/2))/(LN(2)/2)*AQ30*AT30*VLOOKUP('Données projet'!$B$10,Paramètres!$A$1:$I$89,3,0)*0.475*44/12</f>
        <v>4.5181157703564914</v>
      </c>
      <c r="AX30" s="23">
        <f t="shared" si="6"/>
        <v>26.496441479836488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4.3352272727272725</v>
      </c>
      <c r="BD30" s="13">
        <f>IF('Données projet'!$A$88&gt;35,BD29+BC30-BL29,IF(A30&lt;'Données projet'!$A$88,$BA$205^A30,IF(A30='Données projet'!$A$88,'Données projet'!$B$88,BD29+BC30-BL29)))</f>
        <v>117.05113636363629</v>
      </c>
      <c r="BE30" s="14">
        <f>BD30*VLOOKUP('Données projet'!$B$11,Paramètres!$A$1:$I$89,3,0)*VLOOKUP('Données projet'!$B$11,Paramètres!$A$1:$I$89,5,0)</f>
        <v>105.90786818181812</v>
      </c>
      <c r="BF30" s="14">
        <f t="shared" si="37"/>
        <v>28.364729452983948</v>
      </c>
      <c r="BG30" s="22">
        <f t="shared" si="7"/>
        <v>233.85810754728024</v>
      </c>
      <c r="BH30" s="62">
        <f t="shared" si="8"/>
        <v>527.19144088061353</v>
      </c>
      <c r="BI30" s="62">
        <f ca="1">AVERAGE(OFFSET($BH$3,0,0,'Données projet'!$E$11+1,1))-AVERAGE(OFFSET($H$3,0,0,'Données projet'!$E$11+1,1))</f>
        <v>320.80580551060069</v>
      </c>
      <c r="BJ30" s="62">
        <f t="shared" si="38"/>
        <v>225.55225019382294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</v>
      </c>
      <c r="BY30" s="13">
        <f>IF('Données projet'!$A$114&gt;35,BY29+BX30-CG29,IF(A30&lt;'Données projet'!$A$114,$BV$205^A30,IF(A30='Données projet'!$A$114,'Données projet'!$B$114,BY29+BX30-CG29)))</f>
        <v>134.39999999999995</v>
      </c>
      <c r="BZ30" s="14">
        <f>BY30*VLOOKUP('Données projet'!$B$12,Paramètres!$A$1:$I$89,3,0)*VLOOKUP('Données projet'!$B$12,Paramètres!$A$1:$I$89,5,0)</f>
        <v>98.542079999999956</v>
      </c>
      <c r="CA30" s="14">
        <f t="shared" si="39"/>
        <v>26.614371888975242</v>
      </c>
      <c r="CB30" s="22">
        <f t="shared" si="10"/>
        <v>217.98082037329846</v>
      </c>
      <c r="CC30" s="62">
        <f t="shared" si="11"/>
        <v>511.31415370663177</v>
      </c>
      <c r="CD30" s="62">
        <f ca="1">AVERAGE(OFFSET($CC$3,0,0,'Données projet'!$E$12+1,1))-AVERAGE(OFFSET($H$3,0,0,'Données projet'!$E$12+1,1))</f>
        <v>254.67898541152096</v>
      </c>
      <c r="CE30" s="62">
        <f t="shared" si="40"/>
        <v>251.52653810702509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281.86</v>
      </c>
      <c r="L31" s="13">
        <f>VLOOKUP(A31,'Données projet'!$A$35:$I$55,9,0)</f>
        <v>21.612857142857145</v>
      </c>
      <c r="M31" s="13">
        <f t="array" ref="M31">INDEX(L:L,MIN(IF(ISNUMBER(L31:L227),ROW(L31:L227),"")))</f>
        <v>21.612857142857145</v>
      </c>
      <c r="N31" s="14">
        <f>IF('Données projet'!$A$36&gt;35,N30+M31-V30,IF(A31&lt;'Données projet'!$A$36,$K$205^A31,IF(A31='Données projet'!$A$36,'Données projet'!$B$36,N30+M31-V30)))</f>
        <v>281.86</v>
      </c>
      <c r="O31" s="14">
        <f>N31*VLOOKUP('Données projet'!$B$9,Paramètres!$A$1:$I$89,3,0)*VLOOKUP('Données projet'!$B$9,Paramètres!$A$1:$I$89,5,0)</f>
        <v>157.55974000000001</v>
      </c>
      <c r="P31" s="14">
        <f t="shared" si="33"/>
        <v>40.291616590408985</v>
      </c>
      <c r="Q31" s="22">
        <f t="shared" si="2"/>
        <v>344.59111272829563</v>
      </c>
      <c r="R31" s="62">
        <f t="shared" si="0"/>
        <v>637.92444606162894</v>
      </c>
      <c r="S31" s="62">
        <f ca="1">AVERAGE(OFFSET($R$3,0,0,'Données projet'!$E$9+1,1))-AVERAGE(OFFSET($H$3,0,0,'Données projet'!$E$9+1,1))</f>
        <v>321.56347025977988</v>
      </c>
      <c r="T31" s="62">
        <f t="shared" si="34"/>
        <v>285.79375360040717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67.61</v>
      </c>
      <c r="W31" s="17">
        <f>IF(ISNA(VLOOKUP(A31,'Données projet'!$A$35:$I$55,5,0)),0%,VLOOKUP(A31,'Données projet'!$A$35:$I$55,5,0)*VLOOKUP('Données projet'!$B$9,Paramètres!$A$1:$I$89,7,0))</f>
        <v>0.16500000000000001</v>
      </c>
      <c r="X31" s="17">
        <f>IF(ISNA(VLOOKUP(A31,'Données projet'!$A$35:$I$55,6,0)),0%,VLOOKUP(A31,'Données projet'!$A$35:$I$55,6,0)*VLOOKUP('Données projet'!$B$9,Paramètres!$A$1:$I$89,7,0))</f>
        <v>0.21450000000000002</v>
      </c>
      <c r="Y31" s="17">
        <f>IF(ISNA(VLOOKUP(A31,'Données projet'!$A$35:$I$55,7,0)),0%,VLOOKUP(A31,'Données projet'!$A$35:$I$55,7,0))</f>
        <v>0.31</v>
      </c>
      <c r="Z31" s="23">
        <f>EXP(-LN(2)/35)*Z30+(1-EXP(-LN(2)/35))/(LN(2)/35)*V31*W31*VLOOKUP('Données projet'!$B$9,Paramètres!$A$1:$I$89,3,0)*0.475*44/12</f>
        <v>12.858370302238892</v>
      </c>
      <c r="AA31" s="23">
        <f>EXP(-LN(2)/25)*AA30+(1-EXP(-LN(2)/25))/(LN(2)/25)*Calculateur!V31*Calculateur!X31*VLOOKUP('Données projet'!$B$9,Paramètres!$A$1:$I$89,3,0)*0.475*44/12</f>
        <v>20.435118172704207</v>
      </c>
      <c r="AB31" s="23">
        <f>EXP(-LN(2)/2)*AB30+(1-EXP(-LN(2)/2))/(LN(2)/2)*V31*Y31*VLOOKUP('Données projet'!$B$9,Paramètres!$A$1:$I$89,3,0)*0.475*44/12</f>
        <v>14.529858359600706</v>
      </c>
      <c r="AC31" s="24">
        <f t="shared" si="3"/>
        <v>47.823346834543813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14.2</v>
      </c>
      <c r="AI31" s="14">
        <f>IF('Données projet'!$A$62&gt;35,AI30+AH31-AQ30,IF(A31&lt;'Données projet'!$A$62,$AF$205^A31,IF(A31='Données projet'!$A$62,'Données projet'!$B$62,AI30+AH31-AQ30)))</f>
        <v>156.59999999999991</v>
      </c>
      <c r="AJ31" s="14">
        <f>AI31*VLOOKUP('Données projet'!$B$10,Paramètres!$A$1:$I$89,3,0)*VLOOKUP('Données projet'!$B$10,Paramètres!$A$1:$I$89,5,0)</f>
        <v>97.718399999999932</v>
      </c>
      <c r="AK31" s="14">
        <f t="shared" si="35"/>
        <v>26.417709819192172</v>
      </c>
      <c r="AL31" s="22">
        <f t="shared" si="4"/>
        <v>216.20372460175955</v>
      </c>
      <c r="AM31" s="62">
        <f t="shared" si="5"/>
        <v>509.53705793509289</v>
      </c>
      <c r="AN31" s="62">
        <f ca="1">AVERAGE(OFFSET($AM$3,0,0,'Données projet'!$E$10+1,1))-AVERAGE(OFFSET($H$3,0,0,'Données projet'!$E$10+1,1))</f>
        <v>272.2908884671595</v>
      </c>
      <c r="AO31" s="62">
        <f t="shared" si="36"/>
        <v>220.74777226152867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9.5186385491544065</v>
      </c>
      <c r="AV31" s="23">
        <f>EXP(-LN(2)/25)*AV30+(1-EXP(-LN(2)/25))/(LN(2)/25)*Calculateur!AQ31*Calculateur!AS31*VLOOKUP('Données projet'!$B$10,Paramètres!$A$1:$I$89,3,0)*0.475*44/12</f>
        <v>11.93379444156456</v>
      </c>
      <c r="AW31" s="23">
        <f>EXP(-LN(2)/2)*AW30+(1-EXP(-LN(2)/2))/(LN(2)/2)*AQ31*AT31*VLOOKUP('Données projet'!$B$10,Paramètres!$A$1:$I$89,3,0)*0.475*44/12</f>
        <v>3.1947902994049575</v>
      </c>
      <c r="AX31" s="23">
        <f t="shared" si="6"/>
        <v>24.647223290123925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4.3352272727272725</v>
      </c>
      <c r="BD31" s="13">
        <f>IF('Données projet'!$A$88&gt;35,BD30+BC31-BL30,IF(A31&lt;'Données projet'!$A$88,$BA$205^A31,IF(A31='Données projet'!$A$88,'Données projet'!$B$88,BD30+BC31-BL30)))</f>
        <v>121.38636363636355</v>
      </c>
      <c r="BE31" s="14">
        <f>BD31*VLOOKUP('Données projet'!$B$11,Paramètres!$A$1:$I$89,3,0)*VLOOKUP('Données projet'!$B$11,Paramètres!$A$1:$I$89,5,0)</f>
        <v>109.83038181818173</v>
      </c>
      <c r="BF31" s="14">
        <f t="shared" si="37"/>
        <v>29.291017617440126</v>
      </c>
      <c r="BG31" s="22">
        <f t="shared" si="7"/>
        <v>242.30310401704142</v>
      </c>
      <c r="BH31" s="62">
        <f t="shared" si="8"/>
        <v>535.63643735037476</v>
      </c>
      <c r="BI31" s="62">
        <f ca="1">AVERAGE(OFFSET($BH$3,0,0,'Données projet'!$E$11+1,1))-AVERAGE(OFFSET($H$3,0,0,'Données projet'!$E$11+1,1))</f>
        <v>320.80580551060069</v>
      </c>
      <c r="BJ31" s="62">
        <f t="shared" si="38"/>
        <v>225.55225019382294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</v>
      </c>
      <c r="BY31" s="13">
        <f>IF('Données projet'!$A$114&gt;35,BY30+BX31-CG30,IF(A31&lt;'Données projet'!$A$114,$BV$205^A31,IF(A31='Données projet'!$A$114,'Données projet'!$B$114,BY30+BX31-CG30)))</f>
        <v>148.59999999999994</v>
      </c>
      <c r="BZ31" s="14">
        <f>BY31*VLOOKUP('Données projet'!$B$12,Paramètres!$A$1:$I$89,3,0)*VLOOKUP('Données projet'!$B$12,Paramètres!$A$1:$I$89,5,0)</f>
        <v>108.95351999999995</v>
      </c>
      <c r="CA31" s="14">
        <f t="shared" si="39"/>
        <v>29.084288721109843</v>
      </c>
      <c r="CB31" s="22">
        <f t="shared" si="10"/>
        <v>240.41585018926619</v>
      </c>
      <c r="CC31" s="62">
        <f t="shared" si="11"/>
        <v>533.74918352259954</v>
      </c>
      <c r="CD31" s="62">
        <f ca="1">AVERAGE(OFFSET($CC$3,0,0,'Données projet'!$E$12+1,1))-AVERAGE(OFFSET($H$3,0,0,'Données projet'!$E$12+1,1))</f>
        <v>254.67898541152096</v>
      </c>
      <c r="CE31" s="62">
        <f t="shared" si="40"/>
        <v>251.52653810702509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23.267142857142858</v>
      </c>
      <c r="N32" s="14">
        <f>IF('Données projet'!$A$36&gt;35,N31+M32-V31,IF(A32&lt;'Données projet'!$A$36,$K$205^A32,IF(A32='Données projet'!$A$36,'Données projet'!$B$36,N31+M32-V31)))</f>
        <v>237.51714285714286</v>
      </c>
      <c r="O32" s="14">
        <f>N32*VLOOKUP('Données projet'!$B$9,Paramètres!$A$1:$I$89,3,0)*VLOOKUP('Données projet'!$B$9,Paramètres!$A$1:$I$89,5,0)</f>
        <v>132.77208285714286</v>
      </c>
      <c r="P32" s="14">
        <f t="shared" si="33"/>
        <v>34.636117583630444</v>
      </c>
      <c r="Q32" s="22">
        <f t="shared" si="2"/>
        <v>291.5692824343468</v>
      </c>
      <c r="R32" s="62">
        <f t="shared" si="0"/>
        <v>584.90261576768012</v>
      </c>
      <c r="S32" s="62">
        <f ca="1">AVERAGE(OFFSET($R$3,0,0,'Données projet'!$E$9+1,1))-AVERAGE(OFFSET($H$3,0,0,'Données projet'!$E$9+1,1))</f>
        <v>321.56347025977988</v>
      </c>
      <c r="T32" s="62">
        <f t="shared" si="34"/>
        <v>285.79375360040717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12.606225503443456</v>
      </c>
      <c r="AA32" s="23">
        <f>EXP(-LN(2)/25)*AA31+(1-EXP(-LN(2)/25))/(LN(2)/25)*Calculateur!V32*Calculateur!X32*VLOOKUP('Données projet'!$B$9,Paramètres!$A$1:$I$89,3,0)*0.475*44/12</f>
        <v>19.876318791635452</v>
      </c>
      <c r="AB32" s="23">
        <f>EXP(-LN(2)/2)*AB31+(1-EXP(-LN(2)/2))/(LN(2)/2)*V32*Y32*VLOOKUP('Données projet'!$B$9,Paramètres!$A$1:$I$89,3,0)*0.475*44/12</f>
        <v>10.274161375753705</v>
      </c>
      <c r="AC32" s="24">
        <f t="shared" si="3"/>
        <v>42.756705670832616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14.2</v>
      </c>
      <c r="AI32" s="14">
        <f>IF('Données projet'!$A$62&gt;35,AI31+AH32-AQ31,IF(A32&lt;'Données projet'!$A$62,$AF$205^A32,IF(A32='Données projet'!$A$62,'Données projet'!$B$62,AI31+AH32-AQ31)))</f>
        <v>170.7999999999999</v>
      </c>
      <c r="AJ32" s="14">
        <f>AI32*VLOOKUP('Données projet'!$B$10,Paramètres!$A$1:$I$89,3,0)*VLOOKUP('Données projet'!$B$10,Paramètres!$A$1:$I$89,5,0)</f>
        <v>106.57919999999994</v>
      </c>
      <c r="AK32" s="14">
        <f t="shared" si="35"/>
        <v>28.523541515222938</v>
      </c>
      <c r="AL32" s="22">
        <f t="shared" si="4"/>
        <v>235.30394147234651</v>
      </c>
      <c r="AM32" s="62">
        <f t="shared" si="5"/>
        <v>528.63727480567979</v>
      </c>
      <c r="AN32" s="62">
        <f ca="1">AVERAGE(OFFSET($AM$3,0,0,'Données projet'!$E$10+1,1))-AVERAGE(OFFSET($H$3,0,0,'Données projet'!$E$10+1,1))</f>
        <v>272.2908884671595</v>
      </c>
      <c r="AO32" s="62">
        <f t="shared" si="36"/>
        <v>220.74777226152867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9.3319838530017289</v>
      </c>
      <c r="AV32" s="23">
        <f>EXP(-LN(2)/25)*AV31+(1-EXP(-LN(2)/25))/(LN(2)/25)*Calculateur!AQ32*Calculateur!AS32*VLOOKUP('Données projet'!$B$10,Paramètres!$A$1:$I$89,3,0)*0.475*44/12</f>
        <v>11.607464204989002</v>
      </c>
      <c r="AW32" s="23">
        <f>EXP(-LN(2)/2)*AW31+(1-EXP(-LN(2)/2))/(LN(2)/2)*AQ32*AT32*VLOOKUP('Données projet'!$B$10,Paramètres!$A$1:$I$89,3,0)*0.475*44/12</f>
        <v>2.2590578851782461</v>
      </c>
      <c r="AX32" s="23">
        <f t="shared" si="6"/>
        <v>23.198505943168978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4.3352272727272725</v>
      </c>
      <c r="BD32" s="13">
        <f>IF('Données projet'!$A$88&gt;35,BD31+BC32-BL31,IF(A32&lt;'Données projet'!$A$88,$BA$205^A32,IF(A32='Données projet'!$A$88,'Données projet'!$B$88,BD31+BC32-BL31)))</f>
        <v>125.72159090909082</v>
      </c>
      <c r="BE32" s="14">
        <f>BD32*VLOOKUP('Données projet'!$B$11,Paramètres!$A$1:$I$89,3,0)*VLOOKUP('Données projet'!$B$11,Paramètres!$A$1:$I$89,5,0)</f>
        <v>113.75289545454538</v>
      </c>
      <c r="BF32" s="14">
        <f t="shared" si="37"/>
        <v>30.213462199456867</v>
      </c>
      <c r="BG32" s="22">
        <f t="shared" si="7"/>
        <v>250.74140624738729</v>
      </c>
      <c r="BH32" s="62">
        <f t="shared" si="8"/>
        <v>544.07473958072057</v>
      </c>
      <c r="BI32" s="62">
        <f ca="1">AVERAGE(OFFSET($BH$3,0,0,'Données projet'!$E$11+1,1))-AVERAGE(OFFSET($H$3,0,0,'Données projet'!$E$11+1,1))</f>
        <v>320.80580551060069</v>
      </c>
      <c r="BJ32" s="62">
        <f t="shared" si="38"/>
        <v>225.55225019382294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</v>
      </c>
      <c r="BY32" s="13">
        <f>IF('Données projet'!$A$114&gt;35,BY31+BX32-CG31,IF(A32&lt;'Données projet'!$A$114,$BV$205^A32,IF(A32='Données projet'!$A$114,'Données projet'!$B$114,BY31+BX32-CG31)))</f>
        <v>162.79999999999993</v>
      </c>
      <c r="BZ32" s="14">
        <f>BY32*VLOOKUP('Données projet'!$B$12,Paramètres!$A$1:$I$89,3,0)*VLOOKUP('Données projet'!$B$12,Paramètres!$A$1:$I$89,5,0)</f>
        <v>119.36495999999994</v>
      </c>
      <c r="CA32" s="14">
        <f t="shared" si="39"/>
        <v>31.526840934707504</v>
      </c>
      <c r="CB32" s="22">
        <f t="shared" si="10"/>
        <v>262.80321996128214</v>
      </c>
      <c r="CC32" s="62">
        <f t="shared" si="11"/>
        <v>556.1365532946154</v>
      </c>
      <c r="CD32" s="62">
        <f ca="1">AVERAGE(OFFSET($CC$3,0,0,'Données projet'!$E$12+1,1))-AVERAGE(OFFSET($H$3,0,0,'Données projet'!$E$12+1,1))</f>
        <v>254.67898541152096</v>
      </c>
      <c r="CE32" s="62">
        <f t="shared" si="40"/>
        <v>251.52653810702509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23.267142857142858</v>
      </c>
      <c r="N33" s="14">
        <f>IF('Données projet'!$A$36&gt;35,N32+M33-V32,IF(A33&lt;'Données projet'!$A$36,$K$205^A33,IF(A33='Données projet'!$A$36,'Données projet'!$B$36,N32+M33-V32)))</f>
        <v>260.78428571428572</v>
      </c>
      <c r="O33" s="14">
        <f>N33*VLOOKUP('Données projet'!$B$9,Paramètres!$A$1:$I$89,3,0)*VLOOKUP('Données projet'!$B$9,Paramètres!$A$1:$I$89,5,0)</f>
        <v>145.7784157142857</v>
      </c>
      <c r="P33" s="14">
        <f t="shared" si="33"/>
        <v>37.617627311837914</v>
      </c>
      <c r="Q33" s="22">
        <f t="shared" si="2"/>
        <v>319.4147749371653</v>
      </c>
      <c r="R33" s="62">
        <f t="shared" si="0"/>
        <v>612.74810827049862</v>
      </c>
      <c r="S33" s="62">
        <f ca="1">AVERAGE(OFFSET($R$3,0,0,'Données projet'!$E$9+1,1))-AVERAGE(OFFSET($H$3,0,0,'Données projet'!$E$9+1,1))</f>
        <v>321.56347025977988</v>
      </c>
      <c r="T33" s="62">
        <f t="shared" si="34"/>
        <v>285.79375360040717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12.359025110359257</v>
      </c>
      <c r="AA33" s="23">
        <f>EXP(-LN(2)/25)*AA32+(1-EXP(-LN(2)/25))/(LN(2)/25)*Calculateur!V33*Calculateur!X33*VLOOKUP('Données projet'!$B$9,Paramètres!$A$1:$I$89,3,0)*0.475*44/12</f>
        <v>19.332799809028003</v>
      </c>
      <c r="AB33" s="23">
        <f>EXP(-LN(2)/2)*AB32+(1-EXP(-LN(2)/2))/(LN(2)/2)*V33*Y33*VLOOKUP('Données projet'!$B$9,Paramètres!$A$1:$I$89,3,0)*0.475*44/12</f>
        <v>7.2649291798003537</v>
      </c>
      <c r="AC33" s="24">
        <f t="shared" si="3"/>
        <v>38.956754099187613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185</v>
      </c>
      <c r="AG33" s="13">
        <f>VLOOKUP(A33,'Données projet'!$A$61:$I$81,9,0)</f>
        <v>14.2</v>
      </c>
      <c r="AH33" s="13">
        <f t="array" ref="AH33">INDEX(AG:AG,MIN(IF(ISNUMBER(AG33:AG229),ROW(AG33:AG229),"")))</f>
        <v>14.2</v>
      </c>
      <c r="AI33" s="14">
        <f>IF('Données projet'!$A$62&gt;35,AI32+AH33-AQ32,IF(A33&lt;'Données projet'!$A$62,$AF$205^A33,IF(A33='Données projet'!$A$62,'Données projet'!$B$62,AI32+AH33-AQ32)))</f>
        <v>184.99999999999989</v>
      </c>
      <c r="AJ33" s="14">
        <f>AI33*VLOOKUP('Données projet'!$B$10,Paramètres!$A$1:$I$89,3,0)*VLOOKUP('Données projet'!$B$10,Paramètres!$A$1:$I$89,5,0)</f>
        <v>115.43999999999993</v>
      </c>
      <c r="AK33" s="14">
        <f t="shared" si="35"/>
        <v>30.609068094710185</v>
      </c>
      <c r="AL33" s="22">
        <f t="shared" si="4"/>
        <v>254.36879359828683</v>
      </c>
      <c r="AM33" s="62">
        <f t="shared" si="5"/>
        <v>547.70212693162011</v>
      </c>
      <c r="AN33" s="62">
        <f ca="1">AVERAGE(OFFSET($AM$3,0,0,'Données projet'!$E$10+1,1))-AVERAGE(OFFSET($H$3,0,0,'Données projet'!$E$10+1,1))</f>
        <v>272.2908884671595</v>
      </c>
      <c r="AO33" s="62">
        <f t="shared" si="36"/>
        <v>220.74777226152867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35</v>
      </c>
      <c r="AR33" s="17">
        <f>IF(ISNA(VLOOKUP(A33,'Données projet'!$A$61:$I$81,5,0)),0%,VLOOKUP(A33,'Données projet'!$A$61:$I$81,5,0)*VLOOKUP('Données projet'!$B$10,Paramètres!$A$1:$I$89,7,0))</f>
        <v>0.24</v>
      </c>
      <c r="AS33" s="17">
        <f>IF(ISNA(VLOOKUP(A33,'Données projet'!$A$61:$I$81,6,0)),0%,VLOOKUP(A33,'Données projet'!$A$61:$I$81,6,0)*VLOOKUP('Données projet'!$B$10,Paramètres!$A$1:$I$89,7,0))</f>
        <v>0.20400000000000001</v>
      </c>
      <c r="AT33" s="17">
        <f>IF(ISNA(VLOOKUP(A33,'Données projet'!$A$61:$I$81,7,0)),0%,VLOOKUP(A33,'Données projet'!$A$61:$I$81,7,0))</f>
        <v>0.26</v>
      </c>
      <c r="AU33" s="23">
        <f>EXP(-LN(2)/35)*AU32+(1-EXP(-LN(2)/35))/(LN(2)/35)*AQ33*AR33*VLOOKUP('Données projet'!$B$10,Paramètres!$A$1:$I$89,3,0)*0.475*44/12</f>
        <v>16.102309591224376</v>
      </c>
      <c r="AV33" s="23">
        <f>EXP(-LN(2)/25)*AV32+(1-EXP(-LN(2)/25))/(LN(2)/25)*Calculateur!AQ33*Calculateur!AS33*VLOOKUP('Données projet'!$B$10,Paramètres!$A$1:$I$89,3,0)*0.475*44/12</f>
        <v>17.177108507521979</v>
      </c>
      <c r="AW33" s="23">
        <f>EXP(-LN(2)/2)*AW32+(1-EXP(-LN(2)/2))/(LN(2)/2)*AQ33*AT33*VLOOKUP('Données projet'!$B$10,Paramètres!$A$1:$I$89,3,0)*0.475*44/12</f>
        <v>8.0266630279767632</v>
      </c>
      <c r="AX33" s="23">
        <f t="shared" si="6"/>
        <v>41.306081126723114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4.3352272727272725</v>
      </c>
      <c r="BD33" s="13">
        <f>IF('Données projet'!$A$88&gt;35,BD32+BC33-BL32,IF(A33&lt;'Données projet'!$A$88,$BA$205^A33,IF(A33='Données projet'!$A$88,'Données projet'!$B$88,BD32+BC33-BL32)))</f>
        <v>130.0568181818181</v>
      </c>
      <c r="BE33" s="14">
        <f>BD33*VLOOKUP('Données projet'!$B$11,Paramètres!$A$1:$I$89,3,0)*VLOOKUP('Données projet'!$B$11,Paramètres!$A$1:$I$89,5,0)</f>
        <v>117.67540909090901</v>
      </c>
      <c r="BF33" s="14">
        <f t="shared" si="37"/>
        <v>31.13221092664957</v>
      </c>
      <c r="BG33" s="22">
        <f t="shared" si="7"/>
        <v>259.17327153058113</v>
      </c>
      <c r="BH33" s="62">
        <f t="shared" si="8"/>
        <v>552.50660486391439</v>
      </c>
      <c r="BI33" s="62">
        <f ca="1">AVERAGE(OFFSET($BH$3,0,0,'Données projet'!$E$11+1,1))-AVERAGE(OFFSET($H$3,0,0,'Données projet'!$E$11+1,1))</f>
        <v>320.80580551060069</v>
      </c>
      <c r="BJ33" s="62">
        <f t="shared" si="38"/>
        <v>225.55225019382294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177</v>
      </c>
      <c r="BW33" s="13">
        <f>VLOOKUP(A33,'Données projet'!$A$113:$I$133,9,0)</f>
        <v>14.2</v>
      </c>
      <c r="BX33" s="13">
        <f t="array" ref="BX33">INDEX(BW:BW,MIN(IF(ISNUMBER(BW33:BW229),ROW(BW33:BW229),"")))</f>
        <v>14.2</v>
      </c>
      <c r="BY33" s="13">
        <f>IF('Données projet'!$A$114&gt;35,BY32+BX33-CG32,IF(A33&lt;'Données projet'!$A$114,$BV$205^A33,IF(A33='Données projet'!$A$114,'Données projet'!$B$114,BY32+BX33-CG32)))</f>
        <v>176.99999999999991</v>
      </c>
      <c r="BZ33" s="14">
        <f>BY33*VLOOKUP('Données projet'!$B$12,Paramètres!$A$1:$I$89,3,0)*VLOOKUP('Données projet'!$B$12,Paramètres!$A$1:$I$89,5,0)</f>
        <v>129.77639999999994</v>
      </c>
      <c r="CA33" s="14">
        <f t="shared" si="39"/>
        <v>33.94468676198089</v>
      </c>
      <c r="CB33" s="22">
        <f t="shared" si="10"/>
        <v>285.14755944378322</v>
      </c>
      <c r="CC33" s="62">
        <f t="shared" si="11"/>
        <v>578.48089277711654</v>
      </c>
      <c r="CD33" s="62">
        <f ca="1">AVERAGE(OFFSET($CC$3,0,0,'Données projet'!$E$12+1,1))-AVERAGE(OFFSET($H$3,0,0,'Données projet'!$E$12+1,1))</f>
        <v>254.67898541152096</v>
      </c>
      <c r="CE33" s="62">
        <f t="shared" si="40"/>
        <v>251.52653810702509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35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23.267142857142858</v>
      </c>
      <c r="N34" s="14">
        <f>IF('Données projet'!$A$36&gt;35,N33+M34-V33,IF(A34&lt;'Données projet'!$A$36,$K$205^A34,IF(A34='Données projet'!$A$36,'Données projet'!$B$36,N33+M34-V33)))</f>
        <v>284.05142857142857</v>
      </c>
      <c r="O34" s="14">
        <f>N34*VLOOKUP('Données projet'!$B$9,Paramètres!$A$1:$I$89,3,0)*VLOOKUP('Données projet'!$B$9,Paramètres!$A$1:$I$89,5,0)</f>
        <v>158.78474857142857</v>
      </c>
      <c r="P34" s="14">
        <f t="shared" si="33"/>
        <v>40.568290544193985</v>
      </c>
      <c r="Q34" s="22">
        <f t="shared" si="2"/>
        <v>347.20654312637589</v>
      </c>
      <c r="R34" s="62">
        <f t="shared" si="0"/>
        <v>640.53987645970915</v>
      </c>
      <c r="S34" s="62">
        <f ca="1">AVERAGE(OFFSET($R$3,0,0,'Données projet'!$E$9+1,1))-AVERAGE(OFFSET($H$3,0,0,'Données projet'!$E$9+1,1))</f>
        <v>321.56347025977988</v>
      </c>
      <c r="T34" s="62">
        <f t="shared" si="34"/>
        <v>285.79375360040717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12.116672166206088</v>
      </c>
      <c r="AA34" s="23">
        <f>EXP(-LN(2)/25)*AA33+(1-EXP(-LN(2)/25))/(LN(2)/25)*Calculateur!V34*Calculateur!X34*VLOOKUP('Données projet'!$B$9,Paramètres!$A$1:$I$89,3,0)*0.475*44/12</f>
        <v>18.804143381582378</v>
      </c>
      <c r="AB34" s="23">
        <f>EXP(-LN(2)/2)*AB33+(1-EXP(-LN(2)/2))/(LN(2)/2)*V34*Y34*VLOOKUP('Données projet'!$B$9,Paramètres!$A$1:$I$89,3,0)*0.475*44/12</f>
        <v>5.1370806878768533</v>
      </c>
      <c r="AC34" s="24">
        <f t="shared" si="3"/>
        <v>36.057896235665318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13.8</v>
      </c>
      <c r="AI34" s="14">
        <f>IF('Données projet'!$A$62&gt;35,AI33+AH34-AQ33,IF(A34&lt;'Données projet'!$A$62,$AF$205^A34,IF(A34='Données projet'!$A$62,'Données projet'!$B$62,AI33+AH34-AQ33)))</f>
        <v>163.7999999999999</v>
      </c>
      <c r="AJ34" s="14">
        <f>AI34*VLOOKUP('Données projet'!$B$10,Paramètres!$A$1:$I$89,3,0)*VLOOKUP('Données projet'!$B$10,Paramètres!$A$1:$I$89,5,0)</f>
        <v>102.21119999999995</v>
      </c>
      <c r="AK34" s="14">
        <f t="shared" si="35"/>
        <v>27.488113037666018</v>
      </c>
      <c r="AL34" s="22">
        <f t="shared" si="4"/>
        <v>225.89297020726823</v>
      </c>
      <c r="AM34" s="62">
        <f t="shared" si="5"/>
        <v>519.22630354060152</v>
      </c>
      <c r="AN34" s="62">
        <f ca="1">AVERAGE(OFFSET($AM$3,0,0,'Données projet'!$E$10+1,1))-AVERAGE(OFFSET($H$3,0,0,'Données projet'!$E$10+1,1))</f>
        <v>272.2908884671595</v>
      </c>
      <c r="AO34" s="62">
        <f t="shared" si="36"/>
        <v>220.74777226152867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15.78655312157953</v>
      </c>
      <c r="AV34" s="23">
        <f>EXP(-LN(2)/25)*AV33+(1-EXP(-LN(2)/25))/(LN(2)/25)*Calculateur!AQ34*Calculateur!AS34*VLOOKUP('Données projet'!$B$10,Paramètres!$A$1:$I$89,3,0)*0.475*44/12</f>
        <v>16.707399572078913</v>
      </c>
      <c r="AW34" s="23">
        <f>EXP(-LN(2)/2)*AW33+(1-EXP(-LN(2)/2))/(LN(2)/2)*AQ34*AT34*VLOOKUP('Données projet'!$B$10,Paramètres!$A$1:$I$89,3,0)*0.475*44/12</f>
        <v>5.6757078573817168</v>
      </c>
      <c r="AX34" s="23">
        <f t="shared" si="6"/>
        <v>38.16966055104016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4.3352272727272725</v>
      </c>
      <c r="BD34" s="13">
        <f>IF('Données projet'!$A$88&gt;35,BD33+BC34-BL33,IF(A34&lt;'Données projet'!$A$88,$BA$205^A34,IF(A34='Données projet'!$A$88,'Données projet'!$B$88,BD33+BC34-BL33)))</f>
        <v>134.39204545454538</v>
      </c>
      <c r="BE34" s="14">
        <f>BD34*VLOOKUP('Données projet'!$B$11,Paramètres!$A$1:$I$89,3,0)*VLOOKUP('Données projet'!$B$11,Paramètres!$A$1:$I$89,5,0)</f>
        <v>121.59792272727265</v>
      </c>
      <c r="BF34" s="14">
        <f t="shared" si="37"/>
        <v>32.047401119274099</v>
      </c>
      <c r="BG34" s="22">
        <f t="shared" si="7"/>
        <v>267.59893903273559</v>
      </c>
      <c r="BH34" s="62">
        <f t="shared" si="8"/>
        <v>560.9322723660689</v>
      </c>
      <c r="BI34" s="62">
        <f ca="1">AVERAGE(OFFSET($BH$3,0,0,'Données projet'!$E$11+1,1))-AVERAGE(OFFSET($H$3,0,0,'Données projet'!$E$11+1,1))</f>
        <v>320.80580551060069</v>
      </c>
      <c r="BJ34" s="62">
        <f t="shared" si="38"/>
        <v>225.55225019382294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12.8</v>
      </c>
      <c r="BY34" s="13">
        <f>IF('Données projet'!$A$114&gt;35,BY33+BX34-CG33,IF(A34&lt;'Données projet'!$A$114,$BV$205^A34,IF(A34='Données projet'!$A$114,'Données projet'!$B$114,BY33+BX34-CG33)))</f>
        <v>154.79999999999993</v>
      </c>
      <c r="BZ34" s="14">
        <f>BY34*VLOOKUP('Données projet'!$B$12,Paramètres!$A$1:$I$89,3,0)*VLOOKUP('Données projet'!$B$12,Paramètres!$A$1:$I$89,5,0)</f>
        <v>113.49935999999994</v>
      </c>
      <c r="CA34" s="14">
        <f t="shared" si="39"/>
        <v>30.153952354272999</v>
      </c>
      <c r="CB34" s="22">
        <f t="shared" si="10"/>
        <v>250.19618568369199</v>
      </c>
      <c r="CC34" s="62">
        <f t="shared" si="11"/>
        <v>543.52951901702534</v>
      </c>
      <c r="CD34" s="62">
        <f ca="1">AVERAGE(OFFSET($CC$3,0,0,'Données projet'!$E$12+1,1))-AVERAGE(OFFSET($H$3,0,0,'Données projet'!$E$12+1,1))</f>
        <v>254.67898541152096</v>
      </c>
      <c r="CE34" s="62">
        <f t="shared" si="40"/>
        <v>251.52653810702509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23.267142857142858</v>
      </c>
      <c r="N35" s="14">
        <f>IF('Données projet'!$A$36&gt;35,N34+M35-V34,IF(A35&lt;'Données projet'!$A$36,$K$205^A35,IF(A35='Données projet'!$A$36,'Données projet'!$B$36,N34+M35-V34)))</f>
        <v>307.31857142857143</v>
      </c>
      <c r="O35" s="14">
        <f>N35*VLOOKUP('Données projet'!$B$9,Paramètres!$A$1:$I$89,3,0)*VLOOKUP('Données projet'!$B$9,Paramètres!$A$1:$I$89,5,0)</f>
        <v>171.79108142857143</v>
      </c>
      <c r="P35" s="14">
        <f t="shared" si="33"/>
        <v>43.490921229423932</v>
      </c>
      <c r="Q35" s="22">
        <f t="shared" ref="Q35:Q66" si="53">(O35+P35)*0.475*44/12</f>
        <v>374.94948796267522</v>
      </c>
      <c r="R35" s="62">
        <f t="shared" si="0"/>
        <v>668.28282129600848</v>
      </c>
      <c r="S35" s="62">
        <f ca="1">AVERAGE(OFFSET($R$3,0,0,'Données projet'!$E$9+1,1))-AVERAGE(OFFSET($H$3,0,0,'Données projet'!$E$9+1,1))</f>
        <v>321.56347025977988</v>
      </c>
      <c r="T35" s="62">
        <f t="shared" si="34"/>
        <v>285.79375360040717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11.879071615467064</v>
      </c>
      <c r="AA35" s="23">
        <f>EXP(-LN(2)/25)*AA34+(1-EXP(-LN(2)/25))/(LN(2)/25)*Calculateur!V35*Calculateur!X35*VLOOKUP('Données projet'!$B$9,Paramètres!$A$1:$I$89,3,0)*0.475*44/12</f>
        <v>18.289943091946085</v>
      </c>
      <c r="AB35" s="23">
        <f>EXP(-LN(2)/2)*AB34+(1-EXP(-LN(2)/2))/(LN(2)/2)*V35*Y35*VLOOKUP('Données projet'!$B$9,Paramètres!$A$1:$I$89,3,0)*0.475*44/12</f>
        <v>3.6324645899001773</v>
      </c>
      <c r="AC35" s="24">
        <f t="shared" si="3"/>
        <v>33.801479297313321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13.8</v>
      </c>
      <c r="AI35" s="14">
        <f>IF('Données projet'!$A$62&gt;35,AI34+AH35-AQ34,IF(A35&lt;'Données projet'!$A$62,$AF$205^A35,IF(A35='Données projet'!$A$62,'Données projet'!$B$62,AI34+AH35-AQ34)))</f>
        <v>177.59999999999991</v>
      </c>
      <c r="AJ35" s="14">
        <f>AI35*VLOOKUP('Données projet'!$B$10,Paramètres!$A$1:$I$89,3,0)*VLOOKUP('Données projet'!$B$10,Paramètres!$A$1:$I$89,5,0)</f>
        <v>110.82239999999993</v>
      </c>
      <c r="AK35" s="14">
        <f t="shared" si="35"/>
        <v>29.524664349316105</v>
      </c>
      <c r="AL35" s="22">
        <f t="shared" si="4"/>
        <v>244.43780374172545</v>
      </c>
      <c r="AM35" s="62">
        <f t="shared" si="5"/>
        <v>537.77113707505873</v>
      </c>
      <c r="AN35" s="62">
        <f ca="1">AVERAGE(OFFSET($AM$3,0,0,'Données projet'!$E$10+1,1))-AVERAGE(OFFSET($H$3,0,0,'Données projet'!$E$10+1,1))</f>
        <v>272.2908884671595</v>
      </c>
      <c r="AO35" s="62">
        <f t="shared" si="36"/>
        <v>220.74777226152867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15.47698844371199</v>
      </c>
      <c r="AV35" s="23">
        <f>EXP(-LN(2)/25)*AV34+(1-EXP(-LN(2)/25))/(LN(2)/25)*Calculateur!AQ35*Calculateur!AS35*VLOOKUP('Données projet'!$B$10,Paramètres!$A$1:$I$89,3,0)*0.475*44/12</f>
        <v>16.250534852176457</v>
      </c>
      <c r="AW35" s="23">
        <f>EXP(-LN(2)/2)*AW34+(1-EXP(-LN(2)/2))/(LN(2)/2)*AQ35*AT35*VLOOKUP('Données projet'!$B$10,Paramètres!$A$1:$I$89,3,0)*0.475*44/12</f>
        <v>4.0133315139883825</v>
      </c>
      <c r="AX35" s="23">
        <f t="shared" si="6"/>
        <v>35.740854809876829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4.3352272727272725</v>
      </c>
      <c r="BD35" s="13">
        <f>IF('Données projet'!$A$88&gt;35,BD34+BC35-BL34,IF(A35&lt;'Données projet'!$A$88,$BA$205^A35,IF(A35='Données projet'!$A$88,'Données projet'!$B$88,BD34+BC35-BL34)))</f>
        <v>138.72727272727266</v>
      </c>
      <c r="BE35" s="14">
        <f>BD35*VLOOKUP('Données projet'!$B$11,Paramètres!$A$1:$I$89,3,0)*VLOOKUP('Données projet'!$B$11,Paramètres!$A$1:$I$89,5,0)</f>
        <v>125.52043636363631</v>
      </c>
      <c r="BF35" s="14">
        <f t="shared" si="37"/>
        <v>32.959160735246577</v>
      </c>
      <c r="BG35" s="22">
        <f t="shared" si="7"/>
        <v>276.01863161388769</v>
      </c>
      <c r="BH35" s="62">
        <f t="shared" si="8"/>
        <v>569.35196494722095</v>
      </c>
      <c r="BI35" s="62">
        <f ca="1">AVERAGE(OFFSET($BH$3,0,0,'Données projet'!$E$11+1,1))-AVERAGE(OFFSET($H$3,0,0,'Données projet'!$E$11+1,1))</f>
        <v>320.80580551060069</v>
      </c>
      <c r="BJ35" s="62">
        <f t="shared" si="38"/>
        <v>225.55225019382294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12.8</v>
      </c>
      <c r="BY35" s="13">
        <f>IF('Données projet'!$A$114&gt;35,BY34+BX35-CG34,IF(A35&lt;'Données projet'!$A$114,$BV$205^A35,IF(A35='Données projet'!$A$114,'Données projet'!$B$114,BY34+BX35-CG34)))</f>
        <v>167.59999999999994</v>
      </c>
      <c r="BZ35" s="14">
        <f>BY35*VLOOKUP('Données projet'!$B$12,Paramètres!$A$1:$I$89,3,0)*VLOOKUP('Données projet'!$B$12,Paramètres!$A$1:$I$89,5,0)</f>
        <v>122.88431999999995</v>
      </c>
      <c r="CA35" s="14">
        <f t="shared" si="39"/>
        <v>32.346786815026803</v>
      </c>
      <c r="CB35" s="22">
        <f t="shared" si="10"/>
        <v>270.36084436950489</v>
      </c>
      <c r="CC35" s="62">
        <f t="shared" si="11"/>
        <v>563.69417770283826</v>
      </c>
      <c r="CD35" s="62">
        <f ca="1">AVERAGE(OFFSET($CC$3,0,0,'Données projet'!$E$12+1,1))-AVERAGE(OFFSET($H$3,0,0,'Données projet'!$E$12+1,1))</f>
        <v>254.67898541152096</v>
      </c>
      <c r="CE35" s="62">
        <f t="shared" si="40"/>
        <v>251.52653810702509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23.267142857142858</v>
      </c>
      <c r="N36" s="14">
        <f>IF('Données projet'!$A$36&gt;35,N35+M36-V35,IF(A36&lt;'Données projet'!$A$36,$K$205^A36,IF(A36='Données projet'!$A$36,'Données projet'!$B$36,N35+M36-V35)))</f>
        <v>330.58571428571429</v>
      </c>
      <c r="O36" s="14">
        <f>N36*VLOOKUP('Données projet'!$B$9,Paramètres!$A$1:$I$89,3,0)*VLOOKUP('Données projet'!$B$9,Paramètres!$A$1:$I$89,5,0)</f>
        <v>184.7974142857143</v>
      </c>
      <c r="P36" s="14">
        <f t="shared" si="33"/>
        <v>46.387883037381307</v>
      </c>
      <c r="Q36" s="22">
        <f t="shared" si="53"/>
        <v>402.64772617105814</v>
      </c>
      <c r="R36" s="62">
        <f t="shared" si="0"/>
        <v>695.9810595043914</v>
      </c>
      <c r="S36" s="62">
        <f ca="1">AVERAGE(OFFSET($R$3,0,0,'Données projet'!$E$9+1,1))-AVERAGE(OFFSET($H$3,0,0,'Données projet'!$E$9+1,1))</f>
        <v>321.56347025977988</v>
      </c>
      <c r="T36" s="62">
        <f t="shared" si="34"/>
        <v>285.79375360040717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11.646130266606004</v>
      </c>
      <c r="AA36" s="23">
        <f>EXP(-LN(2)/25)*AA35+(1-EXP(-LN(2)/25))/(LN(2)/25)*Calculateur!V36*Calculateur!X36*VLOOKUP('Données projet'!$B$9,Paramètres!$A$1:$I$89,3,0)*0.475*44/12</f>
        <v>17.789803636270516</v>
      </c>
      <c r="AB36" s="23">
        <f>EXP(-LN(2)/2)*AB35+(1-EXP(-LN(2)/2))/(LN(2)/2)*V36*Y36*VLOOKUP('Données projet'!$B$9,Paramètres!$A$1:$I$89,3,0)*0.475*44/12</f>
        <v>2.5685403439384271</v>
      </c>
      <c r="AC36" s="24">
        <f t="shared" si="3"/>
        <v>32.004474246814951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13.8</v>
      </c>
      <c r="AI36" s="14">
        <f>IF('Données projet'!$A$62&gt;35,AI35+AH36-AQ35,IF(A36&lt;'Données projet'!$A$62,$AF$205^A36,IF(A36='Données projet'!$A$62,'Données projet'!$B$62,AI35+AH36-AQ35)))</f>
        <v>191.39999999999992</v>
      </c>
      <c r="AJ36" s="14">
        <f>AI36*VLOOKUP('Données projet'!$B$10,Paramètres!$A$1:$I$89,3,0)*VLOOKUP('Données projet'!$B$10,Paramètres!$A$1:$I$89,5,0)</f>
        <v>119.43359999999994</v>
      </c>
      <c r="AK36" s="14">
        <f t="shared" si="35"/>
        <v>31.54285944220668</v>
      </c>
      <c r="AL36" s="22">
        <f t="shared" si="4"/>
        <v>262.95066686184316</v>
      </c>
      <c r="AM36" s="62">
        <f t="shared" si="5"/>
        <v>556.28400019517653</v>
      </c>
      <c r="AN36" s="62">
        <f ca="1">AVERAGE(OFFSET($AM$3,0,0,'Données projet'!$E$10+1,1))-AVERAGE(OFFSET($H$3,0,0,'Données projet'!$E$10+1,1))</f>
        <v>272.2908884671595</v>
      </c>
      <c r="AO36" s="62">
        <f t="shared" si="36"/>
        <v>220.74777226152867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15.173494140361623</v>
      </c>
      <c r="AV36" s="23">
        <f>EXP(-LN(2)/25)*AV35+(1-EXP(-LN(2)/25))/(LN(2)/25)*Calculateur!AQ36*Calculateur!AS36*VLOOKUP('Données projet'!$B$10,Paramètres!$A$1:$I$89,3,0)*0.475*44/12</f>
        <v>15.806163122065206</v>
      </c>
      <c r="AW36" s="23">
        <f>EXP(-LN(2)/2)*AW35+(1-EXP(-LN(2)/2))/(LN(2)/2)*AQ36*AT36*VLOOKUP('Données projet'!$B$10,Paramètres!$A$1:$I$89,3,0)*0.475*44/12</f>
        <v>2.8378539286908588</v>
      </c>
      <c r="AX36" s="23">
        <f t="shared" si="6"/>
        <v>33.817511191117688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4.3352272727272725</v>
      </c>
      <c r="BD36" s="13">
        <f>IF('Données projet'!$A$88&gt;35,BD35+BC36-BL35,IF(A36&lt;'Données projet'!$A$88,$BA$205^A36,IF(A36='Données projet'!$A$88,'Données projet'!$B$88,BD35+BC36-BL35)))</f>
        <v>143.06249999999994</v>
      </c>
      <c r="BE36" s="14">
        <f>BD36*VLOOKUP('Données projet'!$B$11,Paramètres!$A$1:$I$89,3,0)*VLOOKUP('Données projet'!$B$11,Paramètres!$A$1:$I$89,5,0)</f>
        <v>129.44294999999994</v>
      </c>
      <c r="BF36" s="14">
        <f t="shared" si="37"/>
        <v>33.867609280865778</v>
      </c>
      <c r="BG36" s="22">
        <f t="shared" si="7"/>
        <v>284.43255741417448</v>
      </c>
      <c r="BH36" s="62">
        <f t="shared" si="8"/>
        <v>577.7658907475078</v>
      </c>
      <c r="BI36" s="62">
        <f ca="1">AVERAGE(OFFSET($BH$3,0,0,'Données projet'!$E$11+1,1))-AVERAGE(OFFSET($H$3,0,0,'Données projet'!$E$11+1,1))</f>
        <v>320.80580551060069</v>
      </c>
      <c r="BJ36" s="62">
        <f t="shared" si="38"/>
        <v>225.55225019382294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12.8</v>
      </c>
      <c r="BY36" s="13">
        <f>IF('Données projet'!$A$114&gt;35,BY35+BX36-CG35,IF(A36&lt;'Données projet'!$A$114,$BV$205^A36,IF(A36='Données projet'!$A$114,'Données projet'!$B$114,BY35+BX36-CG35)))</f>
        <v>180.39999999999995</v>
      </c>
      <c r="BZ36" s="14">
        <f>BY36*VLOOKUP('Données projet'!$B$12,Paramètres!$A$1:$I$89,3,0)*VLOOKUP('Données projet'!$B$12,Paramètres!$A$1:$I$89,5,0)</f>
        <v>132.26927999999995</v>
      </c>
      <c r="CA36" s="14">
        <f t="shared" si="39"/>
        <v>34.520194019648734</v>
      </c>
      <c r="CB36" s="22">
        <f t="shared" si="10"/>
        <v>290.4916672508881</v>
      </c>
      <c r="CC36" s="62">
        <f t="shared" si="11"/>
        <v>583.82500058422147</v>
      </c>
      <c r="CD36" s="62">
        <f ca="1">AVERAGE(OFFSET($CC$3,0,0,'Données projet'!$E$12+1,1))-AVERAGE(OFFSET($H$3,0,0,'Données projet'!$E$12+1,1))</f>
        <v>254.67898541152096</v>
      </c>
      <c r="CE36" s="62">
        <f t="shared" si="40"/>
        <v>251.52653810702509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23.267142857142858</v>
      </c>
      <c r="N37" s="14">
        <f>IF('Données projet'!$A$36&gt;35,N36+M37-V36,IF(A37&lt;'Données projet'!$A$36,$K$205^A37,IF(A37='Données projet'!$A$36,'Données projet'!$B$36,N36+M37-V36)))</f>
        <v>353.85285714285715</v>
      </c>
      <c r="O37" s="14">
        <f>N37*VLOOKUP('Données projet'!$B$9,Paramètres!$A$1:$I$89,3,0)*VLOOKUP('Données projet'!$B$9,Paramètres!$A$1:$I$89,5,0)</f>
        <v>197.80374714285716</v>
      </c>
      <c r="P37" s="14">
        <f t="shared" si="33"/>
        <v>49.26118807441209</v>
      </c>
      <c r="Q37" s="22">
        <f t="shared" si="53"/>
        <v>430.30476217007725</v>
      </c>
      <c r="R37" s="62">
        <f t="shared" si="0"/>
        <v>723.63809550341057</v>
      </c>
      <c r="S37" s="62">
        <f ca="1">AVERAGE(OFFSET($R$3,0,0,'Données projet'!$E$9+1,1))-AVERAGE(OFFSET($H$3,0,0,'Données projet'!$E$9+1,1))</f>
        <v>321.56347025977988</v>
      </c>
      <c r="T37" s="62">
        <f t="shared" si="34"/>
        <v>285.79375360040717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11.417756755515917</v>
      </c>
      <c r="AA37" s="23">
        <f>EXP(-LN(2)/25)*AA36+(1-EXP(-LN(2)/25))/(LN(2)/25)*Calculateur!V37*Calculateur!X37*VLOOKUP('Données projet'!$B$9,Paramètres!$A$1:$I$89,3,0)*0.475*44/12</f>
        <v>17.303340520311586</v>
      </c>
      <c r="AB37" s="23">
        <f>EXP(-LN(2)/2)*AB36+(1-EXP(-LN(2)/2))/(LN(2)/2)*V37*Y37*VLOOKUP('Données projet'!$B$9,Paramètres!$A$1:$I$89,3,0)*0.475*44/12</f>
        <v>1.8162322949500891</v>
      </c>
      <c r="AC37" s="24">
        <f t="shared" si="3"/>
        <v>30.537329570777594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13.8</v>
      </c>
      <c r="AI37" s="14">
        <f>IF('Données projet'!$A$62&gt;35,AI36+AH37-AQ36,IF(A37&lt;'Données projet'!$A$62,$AF$205^A37,IF(A37='Données projet'!$A$62,'Données projet'!$B$62,AI36+AH37-AQ36)))</f>
        <v>205.19999999999993</v>
      </c>
      <c r="AJ37" s="14">
        <f>AI37*VLOOKUP('Données projet'!$B$10,Paramètres!$A$1:$I$89,3,0)*VLOOKUP('Données projet'!$B$10,Paramètres!$A$1:$I$89,5,0)</f>
        <v>128.04479999999995</v>
      </c>
      <c r="AK37" s="14">
        <f t="shared" si="35"/>
        <v>33.54417232345218</v>
      </c>
      <c r="AL37" s="22">
        <f t="shared" si="4"/>
        <v>281.4341267966791</v>
      </c>
      <c r="AM37" s="62">
        <f t="shared" si="5"/>
        <v>574.76746013001241</v>
      </c>
      <c r="AN37" s="62">
        <f ca="1">AVERAGE(OFFSET($AM$3,0,0,'Données projet'!$E$10+1,1))-AVERAGE(OFFSET($H$3,0,0,'Données projet'!$E$10+1,1))</f>
        <v>272.2908884671595</v>
      </c>
      <c r="AO37" s="62">
        <f t="shared" si="36"/>
        <v>220.74777226152867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14.87595117518671</v>
      </c>
      <c r="AV37" s="23">
        <f>EXP(-LN(2)/25)*AV36+(1-EXP(-LN(2)/25))/(LN(2)/25)*Calculateur!AQ37*Calculateur!AS37*VLOOKUP('Données projet'!$B$10,Paramètres!$A$1:$I$89,3,0)*0.475*44/12</f>
        <v>15.37394276028234</v>
      </c>
      <c r="AW37" s="23">
        <f>EXP(-LN(2)/2)*AW36+(1-EXP(-LN(2)/2))/(LN(2)/2)*AQ37*AT37*VLOOKUP('Données projet'!$B$10,Paramètres!$A$1:$I$89,3,0)*0.475*44/12</f>
        <v>2.0066657569941917</v>
      </c>
      <c r="AX37" s="23">
        <f t="shared" si="6"/>
        <v>32.256559692463242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4.3352272727272725</v>
      </c>
      <c r="BD37" s="13">
        <f>IF('Données projet'!$A$88&gt;35,BD36+BC37-BL36,IF(A37&lt;'Données projet'!$A$88,$BA$205^A37,IF(A37='Données projet'!$A$88,'Données projet'!$B$88,BD36+BC37-BL36)))</f>
        <v>147.39772727272722</v>
      </c>
      <c r="BE37" s="14">
        <f>BD37*VLOOKUP('Données projet'!$B$11,Paramètres!$A$1:$I$89,3,0)*VLOOKUP('Données projet'!$B$11,Paramètres!$A$1:$I$89,5,0)</f>
        <v>133.36546363636359</v>
      </c>
      <c r="BF37" s="14">
        <f t="shared" si="37"/>
        <v>34.772858608043407</v>
      </c>
      <c r="BG37" s="22">
        <f t="shared" si="7"/>
        <v>292.84091124234214</v>
      </c>
      <c r="BH37" s="62">
        <f t="shared" si="8"/>
        <v>586.1742445756754</v>
      </c>
      <c r="BI37" s="62">
        <f ca="1">AVERAGE(OFFSET($BH$3,0,0,'Données projet'!$E$11+1,1))-AVERAGE(OFFSET($H$3,0,0,'Données projet'!$E$11+1,1))</f>
        <v>320.80580551060069</v>
      </c>
      <c r="BJ37" s="62">
        <f t="shared" si="38"/>
        <v>225.55225019382294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12.8</v>
      </c>
      <c r="BY37" s="13">
        <f>IF('Données projet'!$A$114&gt;35,BY36+BX37-CG36,IF(A37&lt;'Données projet'!$A$114,$BV$205^A37,IF(A37='Données projet'!$A$114,'Données projet'!$B$114,BY36+BX37-CG36)))</f>
        <v>193.19999999999996</v>
      </c>
      <c r="BZ37" s="14">
        <f>BY37*VLOOKUP('Données projet'!$B$12,Paramètres!$A$1:$I$89,3,0)*VLOOKUP('Données projet'!$B$12,Paramètres!$A$1:$I$89,5,0)</f>
        <v>141.65423999999996</v>
      </c>
      <c r="CA37" s="14">
        <f t="shared" si="39"/>
        <v>36.675709178601934</v>
      </c>
      <c r="CB37" s="22">
        <f t="shared" si="10"/>
        <v>310.59132815273165</v>
      </c>
      <c r="CC37" s="62">
        <f t="shared" si="11"/>
        <v>603.92466148606491</v>
      </c>
      <c r="CD37" s="62">
        <f ca="1">AVERAGE(OFFSET($CC$3,0,0,'Données projet'!$E$12+1,1))-AVERAGE(OFFSET($H$3,0,0,'Données projet'!$E$12+1,1))</f>
        <v>254.67898541152096</v>
      </c>
      <c r="CE37" s="62">
        <f t="shared" si="40"/>
        <v>251.52653810702509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377.12</v>
      </c>
      <c r="L38" s="13">
        <f>VLOOKUP(A38,'Données projet'!$A$35:$I$55,9,0)</f>
        <v>23.267142857142858</v>
      </c>
      <c r="M38" s="13">
        <f t="array" ref="M38">INDEX(L:L,MIN(IF(ISNUMBER(L38:L234),ROW(L38:L234),"")))</f>
        <v>23.267142857142858</v>
      </c>
      <c r="N38" s="14">
        <f>IF('Données projet'!$A$36&gt;35,N37+M38-V37,IF(A38&lt;'Données projet'!$A$36,$K$205^A38,IF(A38='Données projet'!$A$36,'Données projet'!$B$36,N37+M38-V37)))</f>
        <v>377.12</v>
      </c>
      <c r="O38" s="14">
        <f>N38*VLOOKUP('Données projet'!$B$9,Paramètres!$A$1:$I$89,3,0)*VLOOKUP('Données projet'!$B$9,Paramètres!$A$1:$I$89,5,0)</f>
        <v>210.81008</v>
      </c>
      <c r="P38" s="14">
        <f t="shared" si="33"/>
        <v>52.112568873523912</v>
      </c>
      <c r="Q38" s="22">
        <f t="shared" si="53"/>
        <v>457.92361345472085</v>
      </c>
      <c r="R38" s="62">
        <f t="shared" si="0"/>
        <v>751.25694678805417</v>
      </c>
      <c r="S38" s="62">
        <f ca="1">AVERAGE(OFFSET($R$3,0,0,'Données projet'!$E$9+1,1))-AVERAGE(OFFSET($H$3,0,0,'Données projet'!$E$9+1,1))</f>
        <v>321.56347025977988</v>
      </c>
      <c r="T38" s="62">
        <f t="shared" si="34"/>
        <v>285.79375360040717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86.68</v>
      </c>
      <c r="W38" s="17">
        <f>IF(ISNA(VLOOKUP(A38,'Données projet'!$A$35:$I$55,5,0)),0%,VLOOKUP(A38,'Données projet'!$A$35:$I$55,5,0)*VLOOKUP('Données projet'!$B$9,Paramètres!$A$1:$I$89,7,0))</f>
        <v>0.22000000000000003</v>
      </c>
      <c r="X38" s="17">
        <f>IF(ISNA(VLOOKUP(A38,'Données projet'!$A$35:$I$55,6,0)),0%,VLOOKUP(A38,'Données projet'!$A$35:$I$55,6,0)*VLOOKUP('Données projet'!$B$9,Paramètres!$A$1:$I$89,7,0))</f>
        <v>0.18700000000000003</v>
      </c>
      <c r="Y38" s="17">
        <f>IF(ISNA(VLOOKUP(A38,'Données projet'!$A$35:$I$55,7,0)),0%,VLOOKUP(A38,'Données projet'!$A$35:$I$55,7,0))</f>
        <v>0.26</v>
      </c>
      <c r="Z38" s="23">
        <f>EXP(-LN(2)/35)*Z37+(1-EXP(-LN(2)/35))/(LN(2)/35)*V38*W38*VLOOKUP('Données projet'!$B$9,Paramètres!$A$1:$I$89,3,0)*0.475*44/12</f>
        <v>25.334914438236694</v>
      </c>
      <c r="AA38" s="23">
        <f>EXP(-LN(2)/25)*AA37+(1-EXP(-LN(2)/25))/(LN(2)/25)*Calculateur!V38*Calculateur!X38*VLOOKUP('Données projet'!$B$9,Paramètres!$A$1:$I$89,3,0)*0.475*44/12</f>
        <v>28.802747846598329</v>
      </c>
      <c r="AB38" s="23">
        <f>EXP(-LN(2)/2)*AB37+(1-EXP(-LN(2)/2))/(LN(2)/2)*V38*Y38*VLOOKUP('Données projet'!$B$9,Paramètres!$A$1:$I$89,3,0)*0.475*44/12</f>
        <v>15.548213271147214</v>
      </c>
      <c r="AC38" s="24">
        <f t="shared" si="3"/>
        <v>69.685875555982236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219</v>
      </c>
      <c r="AG38" s="13">
        <f>VLOOKUP(A38,'Données projet'!$A$61:$I$81,9,0)</f>
        <v>13.8</v>
      </c>
      <c r="AH38" s="13">
        <f t="array" ref="AH38">INDEX(AG:AG,MIN(IF(ISNUMBER(AG38:AG234),ROW(AG38:AG234),"")))</f>
        <v>13.8</v>
      </c>
      <c r="AI38" s="14">
        <f>IF('Données projet'!$A$62&gt;35,AI37+AH38-AQ37,IF(A38&lt;'Données projet'!$A$62,$AF$205^A38,IF(A38='Données projet'!$A$62,'Données projet'!$B$62,AI37+AH38-AQ37)))</f>
        <v>218.99999999999994</v>
      </c>
      <c r="AJ38" s="14">
        <f>AI38*VLOOKUP('Données projet'!$B$10,Paramètres!$A$1:$I$89,3,0)*VLOOKUP('Données projet'!$B$10,Paramètres!$A$1:$I$89,5,0)</f>
        <v>136.65599999999995</v>
      </c>
      <c r="AK38" s="14">
        <f t="shared" si="35"/>
        <v>35.52986752364091</v>
      </c>
      <c r="AL38" s="22">
        <f t="shared" si="4"/>
        <v>299.89038593700781</v>
      </c>
      <c r="AM38" s="62">
        <f t="shared" si="5"/>
        <v>593.22371927034112</v>
      </c>
      <c r="AN38" s="62">
        <f ca="1">AVERAGE(OFFSET($AM$3,0,0,'Données projet'!$E$10+1,1))-AVERAGE(OFFSET($H$3,0,0,'Données projet'!$E$10+1,1))</f>
        <v>272.2908884671595</v>
      </c>
      <c r="AO38" s="62">
        <f t="shared" si="36"/>
        <v>220.74777226152867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35</v>
      </c>
      <c r="AR38" s="17">
        <f>IF(ISNA(VLOOKUP(A38,'Données projet'!$A$61:$I$81,5,0)),0%,VLOOKUP(A38,'Données projet'!$A$61:$I$81,5,0)*VLOOKUP('Données projet'!$B$10,Paramètres!$A$1:$I$89,7,0))</f>
        <v>0.24</v>
      </c>
      <c r="AS38" s="17">
        <f>IF(ISNA(VLOOKUP(A38,'Données projet'!$A$61:$I$81,6,0)),0%,VLOOKUP(A38,'Données projet'!$A$61:$I$81,6,0)*VLOOKUP('Données projet'!$B$10,Paramètres!$A$1:$I$89,7,0))</f>
        <v>0.20400000000000001</v>
      </c>
      <c r="AT38" s="17">
        <f>IF(ISNA(VLOOKUP(A38,'Données projet'!$A$61:$I$81,7,0)),0%,VLOOKUP(A38,'Données projet'!$A$61:$I$81,7,0))</f>
        <v>0.26</v>
      </c>
      <c r="AU38" s="23">
        <f>EXP(-LN(2)/35)*AU37+(1-EXP(-LN(2)/35))/(LN(2)/35)*AQ38*AR38*VLOOKUP('Données projet'!$B$10,Paramètres!$A$1:$I$89,3,0)*0.475*44/12</f>
        <v>21.537563095707483</v>
      </c>
      <c r="AV38" s="23">
        <f>EXP(-LN(2)/25)*AV37+(1-EXP(-LN(2)/25))/(LN(2)/25)*Calculateur!AQ38*Calculateur!AS38*VLOOKUP('Données projet'!$B$10,Paramètres!$A$1:$I$89,3,0)*0.475*44/12</f>
        <v>20.840592508650317</v>
      </c>
      <c r="AW38" s="23">
        <f>EXP(-LN(2)/2)*AW37+(1-EXP(-LN(2)/2))/(LN(2)/2)*AQ38*AT38*VLOOKUP('Données projet'!$B$10,Paramètres!$A$1:$I$89,3,0)*0.475*44/12</f>
        <v>7.8481948426197139</v>
      </c>
      <c r="AX38" s="23">
        <f t="shared" si="6"/>
        <v>50.226350446977513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4.3352272727272725</v>
      </c>
      <c r="BD38" s="13">
        <f>IF('Données projet'!$A$88&gt;35,BD37+BC38-BL37,IF(A38&lt;'Données projet'!$A$88,$BA$205^A38,IF(A38='Données projet'!$A$88,'Données projet'!$B$88,BD37+BC38-BL37)))</f>
        <v>151.7329545454545</v>
      </c>
      <c r="BE38" s="14">
        <f>BD38*VLOOKUP('Données projet'!$B$11,Paramètres!$A$1:$I$89,3,0)*VLOOKUP('Données projet'!$B$11,Paramètres!$A$1:$I$89,5,0)</f>
        <v>137.28797727272723</v>
      </c>
      <c r="BF38" s="14">
        <f t="shared" si="37"/>
        <v>35.675013615107098</v>
      </c>
      <c r="BG38" s="22">
        <f t="shared" si="7"/>
        <v>301.24387579631144</v>
      </c>
      <c r="BH38" s="62">
        <f t="shared" si="8"/>
        <v>594.57720912964476</v>
      </c>
      <c r="BI38" s="62">
        <f ca="1">AVERAGE(OFFSET($BH$3,0,0,'Données projet'!$E$11+1,1))-AVERAGE(OFFSET($H$3,0,0,'Données projet'!$E$11+1,1))</f>
        <v>320.80580551060069</v>
      </c>
      <c r="BJ38" s="62">
        <f t="shared" si="38"/>
        <v>225.55225019382294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206</v>
      </c>
      <c r="BW38" s="13">
        <f>VLOOKUP(A38,'Données projet'!$A$113:$I$133,9,0)</f>
        <v>12.8</v>
      </c>
      <c r="BX38" s="13">
        <f t="array" ref="BX38">INDEX(BW:BW,MIN(IF(ISNUMBER(BW38:BW234),ROW(BW38:BW234),"")))</f>
        <v>12.8</v>
      </c>
      <c r="BY38" s="13">
        <f>IF('Données projet'!$A$114&gt;35,BY37+BX38-CG37,IF(A38&lt;'Données projet'!$A$114,$BV$205^A38,IF(A38='Données projet'!$A$114,'Données projet'!$B$114,BY37+BX38-CG37)))</f>
        <v>205.99999999999997</v>
      </c>
      <c r="BZ38" s="14">
        <f>BY38*VLOOKUP('Données projet'!$B$12,Paramètres!$A$1:$I$89,3,0)*VLOOKUP('Données projet'!$B$12,Paramètres!$A$1:$I$89,5,0)</f>
        <v>151.03919999999997</v>
      </c>
      <c r="CA38" s="14">
        <f t="shared" si="39"/>
        <v>38.814652571726079</v>
      </c>
      <c r="CB38" s="22">
        <f t="shared" si="10"/>
        <v>330.66212656242288</v>
      </c>
      <c r="CC38" s="62">
        <f t="shared" si="11"/>
        <v>623.9954598957562</v>
      </c>
      <c r="CD38" s="62">
        <f ca="1">AVERAGE(OFFSET($CC$3,0,0,'Données projet'!$E$12+1,1))-AVERAGE(OFFSET($H$3,0,0,'Données projet'!$E$12+1,1))</f>
        <v>254.67898541152096</v>
      </c>
      <c r="CE38" s="62">
        <f t="shared" si="40"/>
        <v>251.52653810702509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35</v>
      </c>
      <c r="CH38" s="17">
        <f>IF(ISNA(VLOOKUP(A38,'Données projet'!$A$113:$I$133,5,0)),0%,VLOOKUP(A38,'Données projet'!$A$113:$I$133,5,0)*VLOOKUP('Données projet'!$B$12,Paramètres!$A$1:$I$89,7,0))</f>
        <v>0.129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3.6595469334651192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3.6595469334651192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22.82714285714286</v>
      </c>
      <c r="N39" s="14">
        <f>IF('Données projet'!$A$36&gt;35,N38+M39-V38,IF(A39&lt;'Données projet'!$A$36,$K$205^A39,IF(A39='Données projet'!$A$36,'Données projet'!$B$36,N38+M39-V38)))</f>
        <v>313.26714285714286</v>
      </c>
      <c r="O39" s="14">
        <f>N39*VLOOKUP('Données projet'!$B$9,Paramètres!$A$1:$I$89,3,0)*VLOOKUP('Données projet'!$B$9,Paramètres!$A$1:$I$89,5,0)</f>
        <v>175.11633285714288</v>
      </c>
      <c r="P39" s="14">
        <f t="shared" si="33"/>
        <v>44.233926946721667</v>
      </c>
      <c r="Q39" s="22">
        <f t="shared" si="53"/>
        <v>382.03503582506414</v>
      </c>
      <c r="R39" s="62">
        <f t="shared" si="0"/>
        <v>675.3683691583974</v>
      </c>
      <c r="S39" s="62">
        <f ca="1">AVERAGE(OFFSET($R$3,0,0,'Données projet'!$E$9+1,1))-AVERAGE(OFFSET($H$3,0,0,'Données projet'!$E$9+1,1))</f>
        <v>321.56347025977988</v>
      </c>
      <c r="T39" s="62">
        <f t="shared" si="34"/>
        <v>285.79375360040717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24.838112218874844</v>
      </c>
      <c r="AA39" s="23">
        <f>EXP(-LN(2)/25)*AA38+(1-EXP(-LN(2)/25))/(LN(2)/25)*Calculateur!V39*Calculateur!X39*VLOOKUP('Données projet'!$B$9,Paramètres!$A$1:$I$89,3,0)*0.475*44/12</f>
        <v>28.01513519206242</v>
      </c>
      <c r="AB39" s="23">
        <f>EXP(-LN(2)/2)*AB38+(1-EXP(-LN(2)/2))/(LN(2)/2)*V39*Y39*VLOOKUP('Données projet'!$B$9,Paramètres!$A$1:$I$89,3,0)*0.475*44/12</f>
        <v>10.994247039362868</v>
      </c>
      <c r="AC39" s="24">
        <f t="shared" si="3"/>
        <v>63.847494450300132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12.8</v>
      </c>
      <c r="AI39" s="14">
        <f>IF('Données projet'!$A$62&gt;35,AI38+AH39-AQ38,IF(A39&lt;'Données projet'!$A$62,$AF$205^A39,IF(A39='Données projet'!$A$62,'Données projet'!$B$62,AI38+AH39-AQ38)))</f>
        <v>196.79999999999995</v>
      </c>
      <c r="AJ39" s="14">
        <f>AI39*VLOOKUP('Données projet'!$B$10,Paramètres!$A$1:$I$89,3,0)*VLOOKUP('Données projet'!$B$10,Paramètres!$A$1:$I$89,5,0)</f>
        <v>122.80319999999996</v>
      </c>
      <c r="AK39" s="14">
        <f t="shared" si="35"/>
        <v>32.327918417648263</v>
      </c>
      <c r="AL39" s="22">
        <f t="shared" si="4"/>
        <v>270.18669791073734</v>
      </c>
      <c r="AM39" s="62">
        <f t="shared" si="5"/>
        <v>563.52003124407065</v>
      </c>
      <c r="AN39" s="62">
        <f ca="1">AVERAGE(OFFSET($AM$3,0,0,'Données projet'!$E$10+1,1))-AVERAGE(OFFSET($H$3,0,0,'Données projet'!$E$10+1,1))</f>
        <v>272.2908884671595</v>
      </c>
      <c r="AO39" s="62">
        <f t="shared" si="36"/>
        <v>220.74777226152867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21.115224620017013</v>
      </c>
      <c r="AV39" s="23">
        <f>EXP(-LN(2)/25)*AV38+(1-EXP(-LN(2)/25))/(LN(2)/25)*Calculateur!AQ39*Calculateur!AS39*VLOOKUP('Données projet'!$B$10,Paramètres!$A$1:$I$89,3,0)*0.475*44/12</f>
        <v>20.270705410542146</v>
      </c>
      <c r="AW39" s="23">
        <f>EXP(-LN(2)/2)*AW38+(1-EXP(-LN(2)/2))/(LN(2)/2)*AQ39*AT39*VLOOKUP('Données projet'!$B$10,Paramètres!$A$1:$I$89,3,0)*0.475*44/12</f>
        <v>5.5495117932896889</v>
      </c>
      <c r="AX39" s="23">
        <f t="shared" si="6"/>
        <v>46.935441823848848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4.3352272727272725</v>
      </c>
      <c r="BD39" s="13">
        <f>IF('Données projet'!$A$88&gt;35,BD38+BC39-BL38,IF(A39&lt;'Données projet'!$A$88,$BA$205^A39,IF(A39='Données projet'!$A$88,'Données projet'!$B$88,BD38+BC39-BL38)))</f>
        <v>156.06818181818178</v>
      </c>
      <c r="BE39" s="14">
        <f>BD39*VLOOKUP('Données projet'!$B$11,Paramètres!$A$1:$I$89,3,0)*VLOOKUP('Données projet'!$B$11,Paramètres!$A$1:$I$89,5,0)</f>
        <v>141.21049090909085</v>
      </c>
      <c r="BF39" s="14">
        <f t="shared" si="37"/>
        <v>36.574172865260337</v>
      </c>
      <c r="BG39" s="22">
        <f t="shared" si="7"/>
        <v>309.64162274032839</v>
      </c>
      <c r="BH39" s="62">
        <f t="shared" si="8"/>
        <v>602.9749560736617</v>
      </c>
      <c r="BI39" s="62">
        <f ca="1">AVERAGE(OFFSET($BH$3,0,0,'Données projet'!$E$11+1,1))-AVERAGE(OFFSET($H$3,0,0,'Données projet'!$E$11+1,1))</f>
        <v>320.80580551060069</v>
      </c>
      <c r="BJ39" s="62">
        <f t="shared" si="38"/>
        <v>225.55225019382294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</v>
      </c>
      <c r="BY39" s="13">
        <f>IF('Données projet'!$A$114&gt;35,BY38+BX39-CG38,IF(A39&lt;'Données projet'!$A$114,$BV$205^A39,IF(A39='Données projet'!$A$114,'Données projet'!$B$114,BY38+BX39-CG38)))</f>
        <v>182.39999999999998</v>
      </c>
      <c r="BZ39" s="14">
        <f>BY39*VLOOKUP('Données projet'!$B$12,Paramètres!$A$1:$I$89,3,0)*VLOOKUP('Données projet'!$B$12,Paramètres!$A$1:$I$89,5,0)</f>
        <v>133.73567999999997</v>
      </c>
      <c r="CA39" s="14">
        <f t="shared" si="39"/>
        <v>34.858136849359212</v>
      </c>
      <c r="CB39" s="22">
        <f t="shared" si="10"/>
        <v>293.6342310126339</v>
      </c>
      <c r="CC39" s="62">
        <f t="shared" si="11"/>
        <v>586.96756434596728</v>
      </c>
      <c r="CD39" s="62">
        <f ca="1">AVERAGE(OFFSET($CC$3,0,0,'Données projet'!$E$12+1,1))-AVERAGE(OFFSET($H$3,0,0,'Données projet'!$E$12+1,1))</f>
        <v>254.67898541152096</v>
      </c>
      <c r="CE39" s="62">
        <f t="shared" si="40"/>
        <v>251.52653810702509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3.5877854502030959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3.5877854502030959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22.82714285714286</v>
      </c>
      <c r="N40" s="14">
        <f>IF('Données projet'!$A$36&gt;35,N39+M40-V39,IF(A40&lt;'Données projet'!$A$36,$K$205^A40,IF(A40='Données projet'!$A$36,'Données projet'!$B$36,N39+M40-V39)))</f>
        <v>336.09428571428572</v>
      </c>
      <c r="O40" s="14">
        <f>N40*VLOOKUP('Données projet'!$B$9,Paramètres!$A$1:$I$89,3,0)*VLOOKUP('Données projet'!$B$9,Paramètres!$A$1:$I$89,5,0)</f>
        <v>187.87670571428572</v>
      </c>
      <c r="P40" s="14">
        <f t="shared" si="33"/>
        <v>47.070216037627915</v>
      </c>
      <c r="Q40" s="22">
        <f t="shared" si="53"/>
        <v>409.19922205124954</v>
      </c>
      <c r="R40" s="62">
        <f t="shared" si="0"/>
        <v>702.53255538458279</v>
      </c>
      <c r="S40" s="62">
        <f ca="1">AVERAGE(OFFSET($R$3,0,0,'Données projet'!$E$9+1,1))-AVERAGE(OFFSET($H$3,0,0,'Données projet'!$E$9+1,1))</f>
        <v>321.56347025977988</v>
      </c>
      <c r="T40" s="62">
        <f t="shared" si="34"/>
        <v>285.79375360040717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24.351051988015247</v>
      </c>
      <c r="AA40" s="23">
        <f>EXP(-LN(2)/25)*AA39+(1-EXP(-LN(2)/25))/(LN(2)/25)*Calculateur!V40*Calculateur!X40*VLOOKUP('Données projet'!$B$9,Paramètres!$A$1:$I$89,3,0)*0.475*44/12</f>
        <v>27.249059846983542</v>
      </c>
      <c r="AB40" s="23">
        <f>EXP(-LN(2)/2)*AB39+(1-EXP(-LN(2)/2))/(LN(2)/2)*V40*Y40*VLOOKUP('Données projet'!$B$9,Paramètres!$A$1:$I$89,3,0)*0.475*44/12</f>
        <v>7.7741066355736077</v>
      </c>
      <c r="AC40" s="24">
        <f t="shared" si="3"/>
        <v>59.374218470572394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12.8</v>
      </c>
      <c r="AI40" s="14">
        <f>IF('Données projet'!$A$62&gt;35,AI39+AH40-AQ39,IF(A40&lt;'Données projet'!$A$62,$AF$205^A40,IF(A40='Données projet'!$A$62,'Données projet'!$B$62,AI39+AH40-AQ39)))</f>
        <v>209.59999999999997</v>
      </c>
      <c r="AJ40" s="14">
        <f>AI40*VLOOKUP('Données projet'!$B$10,Paramètres!$A$1:$I$89,3,0)*VLOOKUP('Données projet'!$B$10,Paramètres!$A$1:$I$89,5,0)</f>
        <v>130.79039999999998</v>
      </c>
      <c r="AK40" s="14">
        <f t="shared" si="35"/>
        <v>34.178933083755929</v>
      </c>
      <c r="AL40" s="22">
        <f t="shared" si="4"/>
        <v>287.32158845420821</v>
      </c>
      <c r="AM40" s="62">
        <f t="shared" si="5"/>
        <v>580.65492178754153</v>
      </c>
      <c r="AN40" s="62">
        <f ca="1">AVERAGE(OFFSET($AM$3,0,0,'Données projet'!$E$10+1,1))-AVERAGE(OFFSET($H$3,0,0,'Données projet'!$E$10+1,1))</f>
        <v>272.2908884671595</v>
      </c>
      <c r="AO40" s="62">
        <f t="shared" si="36"/>
        <v>220.74777226152867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20.701167944233802</v>
      </c>
      <c r="AV40" s="23">
        <f>EXP(-LN(2)/25)*AV39+(1-EXP(-LN(2)/25))/(LN(2)/25)*Calculateur!AQ40*Calculateur!AS40*VLOOKUP('Données projet'!$B$10,Paramètres!$A$1:$I$89,3,0)*0.475*44/12</f>
        <v>19.716401905100803</v>
      </c>
      <c r="AW40" s="23">
        <f>EXP(-LN(2)/2)*AW39+(1-EXP(-LN(2)/2))/(LN(2)/2)*AQ40*AT40*VLOOKUP('Données projet'!$B$10,Paramètres!$A$1:$I$89,3,0)*0.475*44/12</f>
        <v>3.9240974213098574</v>
      </c>
      <c r="AX40" s="23">
        <f t="shared" si="6"/>
        <v>44.341667270644464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4.3352272727272725</v>
      </c>
      <c r="BD40" s="13">
        <f>IF('Données projet'!$A$88&gt;35,BD39+BC40-BL39,IF(A40&lt;'Données projet'!$A$88,$BA$205^A40,IF(A40='Données projet'!$A$88,'Données projet'!$B$88,BD39+BC40-BL39)))</f>
        <v>160.40340909090907</v>
      </c>
      <c r="BE40" s="14">
        <f>BD40*VLOOKUP('Données projet'!$B$11,Paramètres!$A$1:$I$89,3,0)*VLOOKUP('Données projet'!$B$11,Paramètres!$A$1:$I$89,5,0)</f>
        <v>145.13300454545453</v>
      </c>
      <c r="BF40" s="14">
        <f t="shared" si="37"/>
        <v>37.470429134392994</v>
      </c>
      <c r="BG40" s="22">
        <f t="shared" si="7"/>
        <v>318.03431365906772</v>
      </c>
      <c r="BH40" s="62">
        <f t="shared" si="8"/>
        <v>611.36764699240098</v>
      </c>
      <c r="BI40" s="62">
        <f ca="1">AVERAGE(OFFSET($BH$3,0,0,'Données projet'!$E$11+1,1))-AVERAGE(OFFSET($H$3,0,0,'Données projet'!$E$11+1,1))</f>
        <v>320.80580551060069</v>
      </c>
      <c r="BJ40" s="62">
        <f t="shared" si="38"/>
        <v>225.55225019382294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</v>
      </c>
      <c r="BY40" s="13">
        <f>IF('Données projet'!$A$114&gt;35,BY39+BX40-CG39,IF(A40&lt;'Données projet'!$A$114,$BV$205^A40,IF(A40='Données projet'!$A$114,'Données projet'!$B$114,BY39+BX40-CG39)))</f>
        <v>193.79999999999998</v>
      </c>
      <c r="BZ40" s="14">
        <f>BY40*VLOOKUP('Données projet'!$B$12,Paramètres!$A$1:$I$89,3,0)*VLOOKUP('Données projet'!$B$12,Paramètres!$A$1:$I$89,5,0)</f>
        <v>142.09415999999999</v>
      </c>
      <c r="CA40" s="14">
        <f t="shared" si="39"/>
        <v>36.77633279983236</v>
      </c>
      <c r="CB40" s="22">
        <f t="shared" si="10"/>
        <v>311.53277495970798</v>
      </c>
      <c r="CC40" s="62">
        <f t="shared" si="11"/>
        <v>604.86610829304129</v>
      </c>
      <c r="CD40" s="62">
        <f ca="1">AVERAGE(OFFSET($CC$3,0,0,'Données projet'!$E$12+1,1))-AVERAGE(OFFSET($H$3,0,0,'Données projet'!$E$12+1,1))</f>
        <v>254.67898541152096</v>
      </c>
      <c r="CE40" s="62">
        <f t="shared" si="40"/>
        <v>251.52653810702509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3.517431165857658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3.517431165857658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22.82714285714286</v>
      </c>
      <c r="N41" s="14">
        <f>IF('Données projet'!$A$36&gt;35,N40+M41-V40,IF(A41&lt;'Données projet'!$A$36,$K$205^A41,IF(A41='Données projet'!$A$36,'Données projet'!$B$36,N40+M41-V40)))</f>
        <v>358.92142857142858</v>
      </c>
      <c r="O41" s="14">
        <f>N41*VLOOKUP('Données projet'!$B$9,Paramètres!$A$1:$I$89,3,0)*VLOOKUP('Données projet'!$B$9,Paramètres!$A$1:$I$89,5,0)</f>
        <v>200.63707857142856</v>
      </c>
      <c r="P41" s="14">
        <f t="shared" si="33"/>
        <v>49.884152387105956</v>
      </c>
      <c r="Q41" s="22">
        <f t="shared" si="53"/>
        <v>436.32447725278098</v>
      </c>
      <c r="R41" s="62">
        <f t="shared" si="0"/>
        <v>729.65781058611424</v>
      </c>
      <c r="S41" s="62">
        <f ca="1">AVERAGE(OFFSET($R$3,0,0,'Données projet'!$E$9+1,1))-AVERAGE(OFFSET($H$3,0,0,'Données projet'!$E$9+1,1))</f>
        <v>321.56347025977988</v>
      </c>
      <c r="T41" s="62">
        <f t="shared" si="34"/>
        <v>285.79375360040717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23.873542711205399</v>
      </c>
      <c r="AA41" s="23">
        <f>EXP(-LN(2)/25)*AA40+(1-EXP(-LN(2)/25))/(LN(2)/25)*Calculateur!V41*Calculateur!X41*VLOOKUP('Données projet'!$B$9,Paramètres!$A$1:$I$89,3,0)*0.475*44/12</f>
        <v>26.503932872501998</v>
      </c>
      <c r="AB41" s="23">
        <f>EXP(-LN(2)/2)*AB40+(1-EXP(-LN(2)/2))/(LN(2)/2)*V41*Y41*VLOOKUP('Données projet'!$B$9,Paramètres!$A$1:$I$89,3,0)*0.475*44/12</f>
        <v>5.497123519681435</v>
      </c>
      <c r="AC41" s="24">
        <f t="shared" si="3"/>
        <v>55.874599103388832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12.8</v>
      </c>
      <c r="AI41" s="14">
        <f>IF('Données projet'!$A$62&gt;35,AI40+AH41-AQ40,IF(A41&lt;'Données projet'!$A$62,$AF$205^A41,IF(A41='Données projet'!$A$62,'Données projet'!$B$62,AI40+AH41-AQ40)))</f>
        <v>222.39999999999998</v>
      </c>
      <c r="AJ41" s="14">
        <f>AI41*VLOOKUP('Données projet'!$B$10,Paramètres!$A$1:$I$89,3,0)*VLOOKUP('Données projet'!$B$10,Paramètres!$A$1:$I$89,5,0)</f>
        <v>138.77759999999998</v>
      </c>
      <c r="AK41" s="14">
        <f t="shared" si="35"/>
        <v>36.016828050999337</v>
      </c>
      <c r="AL41" s="22">
        <f t="shared" si="4"/>
        <v>304.4336288554905</v>
      </c>
      <c r="AM41" s="62">
        <f t="shared" si="5"/>
        <v>597.76696218882375</v>
      </c>
      <c r="AN41" s="62">
        <f ca="1">AVERAGE(OFFSET($AM$3,0,0,'Données projet'!$E$10+1,1))-AVERAGE(OFFSET($H$3,0,0,'Données projet'!$E$10+1,1))</f>
        <v>272.2908884671595</v>
      </c>
      <c r="AO41" s="62">
        <f t="shared" si="36"/>
        <v>220.74777226152867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20.295230667313064</v>
      </c>
      <c r="AV41" s="23">
        <f>EXP(-LN(2)/25)*AV40+(1-EXP(-LN(2)/25))/(LN(2)/25)*Calculateur!AQ41*Calculateur!AS41*VLOOKUP('Données projet'!$B$10,Paramètres!$A$1:$I$89,3,0)*0.475*44/12</f>
        <v>19.177255858165307</v>
      </c>
      <c r="AW41" s="23">
        <f>EXP(-LN(2)/2)*AW40+(1-EXP(-LN(2)/2))/(LN(2)/2)*AQ41*AT41*VLOOKUP('Données projet'!$B$10,Paramètres!$A$1:$I$89,3,0)*0.475*44/12</f>
        <v>2.7747558966448449</v>
      </c>
      <c r="AX41" s="23">
        <f t="shared" si="6"/>
        <v>42.247242422123222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4.3352272727272725</v>
      </c>
      <c r="BD41" s="13">
        <f>IF('Données projet'!$A$88&gt;35,BD40+BC41-BL40,IF(A41&lt;'Données projet'!$A$88,$BA$205^A41,IF(A41='Données projet'!$A$88,'Données projet'!$B$88,BD40+BC41-BL40)))</f>
        <v>164.73863636363635</v>
      </c>
      <c r="BE41" s="14">
        <f>BD41*VLOOKUP('Données projet'!$B$11,Paramètres!$A$1:$I$89,3,0)*VLOOKUP('Données projet'!$B$11,Paramètres!$A$1:$I$89,5,0)</f>
        <v>149.05551818181817</v>
      </c>
      <c r="BF41" s="14">
        <f t="shared" si="37"/>
        <v>38.36386989800318</v>
      </c>
      <c r="BG41" s="22">
        <f t="shared" si="7"/>
        <v>326.42210090568886</v>
      </c>
      <c r="BH41" s="62">
        <f t="shared" si="8"/>
        <v>619.75543423902218</v>
      </c>
      <c r="BI41" s="62">
        <f ca="1">AVERAGE(OFFSET($BH$3,0,0,'Données projet'!$E$11+1,1))-AVERAGE(OFFSET($H$3,0,0,'Données projet'!$E$11+1,1))</f>
        <v>320.80580551060069</v>
      </c>
      <c r="BJ41" s="62">
        <f t="shared" si="38"/>
        <v>225.55225019382294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</v>
      </c>
      <c r="BY41" s="13">
        <f>IF('Données projet'!$A$114&gt;35,BY40+BX41-CG40,IF(A41&lt;'Données projet'!$A$114,$BV$205^A41,IF(A41='Données projet'!$A$114,'Données projet'!$B$114,BY40+BX41-CG40)))</f>
        <v>205.2</v>
      </c>
      <c r="BZ41" s="14">
        <f>BY41*VLOOKUP('Données projet'!$B$12,Paramètres!$A$1:$I$89,3,0)*VLOOKUP('Données projet'!$B$12,Paramètres!$A$1:$I$89,5,0)</f>
        <v>150.45263999999997</v>
      </c>
      <c r="CA41" s="14">
        <f t="shared" si="39"/>
        <v>38.681431639913605</v>
      </c>
      <c r="CB41" s="22">
        <f t="shared" si="10"/>
        <v>329.40850810618275</v>
      </c>
      <c r="CC41" s="62">
        <f t="shared" si="11"/>
        <v>622.74184143951607</v>
      </c>
      <c r="CD41" s="62">
        <f ca="1">AVERAGE(OFFSET($CC$3,0,0,'Données projet'!$E$12+1,1))-AVERAGE(OFFSET($H$3,0,0,'Données projet'!$E$12+1,1))</f>
        <v>254.67898541152096</v>
      </c>
      <c r="CE41" s="62">
        <f t="shared" si="40"/>
        <v>251.52653810702509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3.4484564861163576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3.4484564861163576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22.82714285714286</v>
      </c>
      <c r="N42" s="14">
        <f>IF('Données projet'!$A$36&gt;35,N41+M42-V41,IF(A42&lt;'Données projet'!$A$36,$K$205^A42,IF(A42='Données projet'!$A$36,'Données projet'!$B$36,N41+M42-V41)))</f>
        <v>381.74857142857144</v>
      </c>
      <c r="O42" s="14">
        <f>N42*VLOOKUP('Données projet'!$B$9,Paramètres!$A$1:$I$89,3,0)*VLOOKUP('Données projet'!$B$9,Paramètres!$A$1:$I$89,5,0)</f>
        <v>213.39745142857146</v>
      </c>
      <c r="P42" s="14">
        <f t="shared" si="33"/>
        <v>52.67731943158536</v>
      </c>
      <c r="Q42" s="22">
        <f t="shared" si="53"/>
        <v>463.41355924810642</v>
      </c>
      <c r="R42" s="62">
        <f t="shared" si="0"/>
        <v>756.74689258143974</v>
      </c>
      <c r="S42" s="62">
        <f ca="1">AVERAGE(OFFSET($R$3,0,0,'Données projet'!$E$9+1,1))-AVERAGE(OFFSET($H$3,0,0,'Données projet'!$E$9+1,1))</f>
        <v>321.56347025977988</v>
      </c>
      <c r="T42" s="62">
        <f t="shared" si="34"/>
        <v>285.79375360040717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23.405397100061894</v>
      </c>
      <c r="AA42" s="23">
        <f>EXP(-LN(2)/25)*AA41+(1-EXP(-LN(2)/25))/(LN(2)/25)*Calculateur!V42*Calculateur!X42*VLOOKUP('Données projet'!$B$9,Paramètres!$A$1:$I$89,3,0)*0.475*44/12</f>
        <v>25.779181434322176</v>
      </c>
      <c r="AB42" s="23">
        <f>EXP(-LN(2)/2)*AB41+(1-EXP(-LN(2)/2))/(LN(2)/2)*V42*Y42*VLOOKUP('Données projet'!$B$9,Paramètres!$A$1:$I$89,3,0)*0.475*44/12</f>
        <v>3.8870533177868047</v>
      </c>
      <c r="AC42" s="24">
        <f t="shared" si="3"/>
        <v>53.071631852170881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12.8</v>
      </c>
      <c r="AI42" s="14">
        <f>IF('Données projet'!$A$62&gt;35,AI41+AH42-AQ41,IF(A42&lt;'Données projet'!$A$62,$AF$205^A42,IF(A42='Données projet'!$A$62,'Données projet'!$B$62,AI41+AH42-AQ41)))</f>
        <v>235.2</v>
      </c>
      <c r="AJ42" s="14">
        <f>AI42*VLOOKUP('Données projet'!$B$10,Paramètres!$A$1:$I$89,3,0)*VLOOKUP('Données projet'!$B$10,Paramètres!$A$1:$I$89,5,0)</f>
        <v>146.76479999999998</v>
      </c>
      <c r="AK42" s="14">
        <f t="shared" si="35"/>
        <v>37.84244443995663</v>
      </c>
      <c r="AL42" s="22">
        <f t="shared" si="4"/>
        <v>321.52428406625774</v>
      </c>
      <c r="AM42" s="62">
        <f t="shared" si="5"/>
        <v>614.85761739959105</v>
      </c>
      <c r="AN42" s="62">
        <f ca="1">AVERAGE(OFFSET($AM$3,0,0,'Données projet'!$E$10+1,1))-AVERAGE(OFFSET($H$3,0,0,'Données projet'!$E$10+1,1))</f>
        <v>272.2908884671595</v>
      </c>
      <c r="AO42" s="62">
        <f t="shared" si="36"/>
        <v>220.74777226152867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19.897253572795449</v>
      </c>
      <c r="AV42" s="23">
        <f>EXP(-LN(2)/25)*AV41+(1-EXP(-LN(2)/25))/(LN(2)/25)*Calculateur!AQ42*Calculateur!AS42*VLOOKUP('Données projet'!$B$10,Paramètres!$A$1:$I$89,3,0)*0.475*44/12</f>
        <v>18.65285278823572</v>
      </c>
      <c r="AW42" s="23">
        <f>EXP(-LN(2)/2)*AW41+(1-EXP(-LN(2)/2))/(LN(2)/2)*AQ42*AT42*VLOOKUP('Données projet'!$B$10,Paramètres!$A$1:$I$89,3,0)*0.475*44/12</f>
        <v>1.9620487106549289</v>
      </c>
      <c r="AX42" s="23">
        <f t="shared" si="6"/>
        <v>40.512155071686095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4.3352272727272725</v>
      </c>
      <c r="BD42" s="13">
        <f>IF('Données projet'!$A$88&gt;35,BD41+BC42-BL41,IF(A42&lt;'Données projet'!$A$88,$BA$205^A42,IF(A42='Données projet'!$A$88,'Données projet'!$B$88,BD41+BC42-BL41)))</f>
        <v>169.07386363636363</v>
      </c>
      <c r="BE42" s="14">
        <f>BD42*VLOOKUP('Données projet'!$B$11,Paramètres!$A$1:$I$89,3,0)*VLOOKUP('Données projet'!$B$11,Paramètres!$A$1:$I$89,5,0)</f>
        <v>152.97803181818179</v>
      </c>
      <c r="BF42" s="14">
        <f t="shared" si="37"/>
        <v>39.254577765422866</v>
      </c>
      <c r="BG42" s="22">
        <f t="shared" si="7"/>
        <v>334.8051283581114</v>
      </c>
      <c r="BH42" s="62">
        <f t="shared" si="8"/>
        <v>628.13846169144472</v>
      </c>
      <c r="BI42" s="62">
        <f ca="1">AVERAGE(OFFSET($BH$3,0,0,'Données projet'!$E$11+1,1))-AVERAGE(OFFSET($H$3,0,0,'Données projet'!$E$11+1,1))</f>
        <v>320.80580551060069</v>
      </c>
      <c r="BJ42" s="62">
        <f t="shared" si="38"/>
        <v>225.55225019382294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</v>
      </c>
      <c r="BY42" s="13">
        <f>IF('Données projet'!$A$114&gt;35,BY41+BX42-CG41,IF(A42&lt;'Données projet'!$A$114,$BV$205^A42,IF(A42='Données projet'!$A$114,'Données projet'!$B$114,BY41+BX42-CG41)))</f>
        <v>216.6</v>
      </c>
      <c r="BZ42" s="14">
        <f>BY42*VLOOKUP('Données projet'!$B$12,Paramètres!$A$1:$I$89,3,0)*VLOOKUP('Données projet'!$B$12,Paramètres!$A$1:$I$89,5,0)</f>
        <v>158.81111999999999</v>
      </c>
      <c r="CA42" s="14">
        <f t="shared" si="39"/>
        <v>40.57424391712447</v>
      </c>
      <c r="CB42" s="22">
        <f t="shared" si="10"/>
        <v>347.26284215565846</v>
      </c>
      <c r="CC42" s="62">
        <f t="shared" si="11"/>
        <v>640.59617548899178</v>
      </c>
      <c r="CD42" s="62">
        <f ca="1">AVERAGE(OFFSET($CC$3,0,0,'Données projet'!$E$12+1,1))-AVERAGE(OFFSET($H$3,0,0,'Données projet'!$E$12+1,1))</f>
        <v>254.67898541152096</v>
      </c>
      <c r="CE42" s="62">
        <f t="shared" si="40"/>
        <v>251.52653810702509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3.3808343577743836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3.3808343577743836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22.82714285714286</v>
      </c>
      <c r="N43" s="14">
        <f>IF('Données projet'!$A$36&gt;35,N42+M43-V42,IF(A43&lt;'Données projet'!$A$36,$K$205^A43,IF(A43='Données projet'!$A$36,'Données projet'!$B$36,N42+M43-V42)))</f>
        <v>404.5757142857143</v>
      </c>
      <c r="O43" s="14">
        <f>N43*VLOOKUP('Données projet'!$B$9,Paramètres!$A$1:$I$89,3,0)*VLOOKUP('Données projet'!$B$9,Paramètres!$A$1:$I$89,5,0)</f>
        <v>226.1578242857143</v>
      </c>
      <c r="P43" s="14">
        <f t="shared" si="33"/>
        <v>55.451100541643569</v>
      </c>
      <c r="Q43" s="22">
        <f t="shared" si="53"/>
        <v>490.46887740764834</v>
      </c>
      <c r="R43" s="62">
        <f t="shared" si="0"/>
        <v>783.80221074098165</v>
      </c>
      <c r="S43" s="62">
        <f ca="1">AVERAGE(OFFSET($R$3,0,0,'Données projet'!$E$9+1,1))-AVERAGE(OFFSET($H$3,0,0,'Données projet'!$E$9+1,1))</f>
        <v>321.56347025977988</v>
      </c>
      <c r="T43" s="62">
        <f t="shared" si="34"/>
        <v>285.79375360040717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22.946431538812284</v>
      </c>
      <c r="AA43" s="23">
        <f>EXP(-LN(2)/25)*AA42+(1-EXP(-LN(2)/25))/(LN(2)/25)*Calculateur!V43*Calculateur!X43*VLOOKUP('Données projet'!$B$9,Paramètres!$A$1:$I$89,3,0)*0.475*44/12</f>
        <v>25.074248362332405</v>
      </c>
      <c r="AB43" s="23">
        <f>EXP(-LN(2)/2)*AB42+(1-EXP(-LN(2)/2))/(LN(2)/2)*V43*Y43*VLOOKUP('Données projet'!$B$9,Paramètres!$A$1:$I$89,3,0)*0.475*44/12</f>
        <v>2.7485617598407179</v>
      </c>
      <c r="AC43" s="24">
        <f t="shared" si="3"/>
        <v>50.769241660985408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248</v>
      </c>
      <c r="AG43" s="13">
        <f>VLOOKUP(A43,'Données projet'!$A$61:$I$81,9,0)</f>
        <v>12.8</v>
      </c>
      <c r="AH43" s="13">
        <f t="array" ref="AH43">INDEX(AG:AG,MIN(IF(ISNUMBER(AG43:AG239),ROW(AG43:AG239),"")))</f>
        <v>12.8</v>
      </c>
      <c r="AI43" s="14">
        <f>IF('Données projet'!$A$62&gt;35,AI42+AH43-AQ42,IF(A43&lt;'Données projet'!$A$62,$AF$205^A43,IF(A43='Données projet'!$A$62,'Données projet'!$B$62,AI42+AH43-AQ42)))</f>
        <v>248</v>
      </c>
      <c r="AJ43" s="14">
        <f>AI43*VLOOKUP('Données projet'!$B$10,Paramètres!$A$1:$I$89,3,0)*VLOOKUP('Données projet'!$B$10,Paramètres!$A$1:$I$89,5,0)</f>
        <v>154.75199999999998</v>
      </c>
      <c r="AK43" s="14">
        <f t="shared" si="35"/>
        <v>39.656526650076415</v>
      </c>
      <c r="AL43" s="22">
        <f t="shared" si="4"/>
        <v>338.5948505822164</v>
      </c>
      <c r="AM43" s="62">
        <f t="shared" si="5"/>
        <v>631.92818391554965</v>
      </c>
      <c r="AN43" s="62">
        <f ca="1">AVERAGE(OFFSET($AM$3,0,0,'Données projet'!$E$10+1,1))-AVERAGE(OFFSET($H$3,0,0,'Données projet'!$E$10+1,1))</f>
        <v>272.2908884671595</v>
      </c>
      <c r="AO43" s="62">
        <f t="shared" si="36"/>
        <v>220.74777226152867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35</v>
      </c>
      <c r="AR43" s="17">
        <f>IF(ISNA(VLOOKUP(A43,'Données projet'!$A$61:$I$81,5,0)),0%,VLOOKUP(A43,'Données projet'!$A$61:$I$81,5,0)*VLOOKUP('Données projet'!$B$10,Paramètres!$A$1:$I$89,7,0))</f>
        <v>0.3</v>
      </c>
      <c r="AS43" s="17">
        <f>IF(ISNA(VLOOKUP(A43,'Données projet'!$A$61:$I$81,6,0)),0%,VLOOKUP(A43,'Données projet'!$A$61:$I$81,6,0)*VLOOKUP('Données projet'!$B$10,Paramètres!$A$1:$I$89,7,0))</f>
        <v>0.16800000000000001</v>
      </c>
      <c r="AT43" s="17">
        <f>IF(ISNA(VLOOKUP(A43,'Données projet'!$A$61:$I$81,7,0)),0%,VLOOKUP(A43,'Données projet'!$A$61:$I$81,7,0))</f>
        <v>0.22</v>
      </c>
      <c r="AU43" s="23">
        <f>EXP(-LN(2)/35)*AU42+(1-EXP(-LN(2)/35))/(LN(2)/35)*AQ43*AR43*VLOOKUP('Données projet'!$B$10,Paramètres!$A$1:$I$89,3,0)*0.475*44/12</f>
        <v>28.198730878399132</v>
      </c>
      <c r="AV43" s="23">
        <f>EXP(-LN(2)/25)*AV42+(1-EXP(-LN(2)/25))/(LN(2)/25)*Calculateur!AQ43*Calculateur!AS43*VLOOKUP('Données projet'!$B$10,Paramètres!$A$1:$I$89,3,0)*0.475*44/12</f>
        <v>22.990949212700976</v>
      </c>
      <c r="AW43" s="23">
        <f>EXP(-LN(2)/2)*AW42+(1-EXP(-LN(2)/2))/(LN(2)/2)*AQ43*AT43*VLOOKUP('Données projet'!$B$10,Paramètres!$A$1:$I$89,3,0)*0.475*44/12</f>
        <v>6.8275276914775862</v>
      </c>
      <c r="AX43" s="23">
        <f t="shared" si="6"/>
        <v>58.017207782577692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4.3352272727272725</v>
      </c>
      <c r="BD43" s="13">
        <f>IF('Données projet'!$A$88&gt;35,BD42+BC43-BL42,IF(A43&lt;'Données projet'!$A$88,$BA$205^A43,IF(A43='Données projet'!$A$88,'Données projet'!$B$88,BD42+BC43-BL42)))</f>
        <v>173.40909090909091</v>
      </c>
      <c r="BE43" s="14">
        <f>BD43*VLOOKUP('Données projet'!$B$11,Paramètres!$A$1:$I$89,3,0)*VLOOKUP('Données projet'!$B$11,Paramètres!$A$1:$I$89,5,0)</f>
        <v>156.90054545454544</v>
      </c>
      <c r="BF43" s="14">
        <f t="shared" si="37"/>
        <v>40.142630868254045</v>
      </c>
      <c r="BG43" s="22">
        <f t="shared" si="7"/>
        <v>343.18353209554238</v>
      </c>
      <c r="BH43" s="62">
        <f t="shared" si="8"/>
        <v>636.51686542887569</v>
      </c>
      <c r="BI43" s="62">
        <f ca="1">AVERAGE(OFFSET($BH$3,0,0,'Données projet'!$E$11+1,1))-AVERAGE(OFFSET($H$3,0,0,'Données projet'!$E$11+1,1))</f>
        <v>320.80580551060069</v>
      </c>
      <c r="BJ43" s="62">
        <f t="shared" si="38"/>
        <v>225.55225019382294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228</v>
      </c>
      <c r="BW43" s="13">
        <f>VLOOKUP(A43,'Données projet'!$A$113:$I$133,9,0)</f>
        <v>11.4</v>
      </c>
      <c r="BX43" s="13">
        <f t="array" ref="BX43">INDEX(BW:BW,MIN(IF(ISNUMBER(BW43:BW239),ROW(BW43:BW239),"")))</f>
        <v>11.4</v>
      </c>
      <c r="BY43" s="13">
        <f>IF('Données projet'!$A$114&gt;35,BY42+BX43-CG42,IF(A43&lt;'Données projet'!$A$114,$BV$205^A43,IF(A43='Données projet'!$A$114,'Données projet'!$B$114,BY42+BX43-CG42)))</f>
        <v>228</v>
      </c>
      <c r="BZ43" s="14">
        <f>BY43*VLOOKUP('Données projet'!$B$12,Paramètres!$A$1:$I$89,3,0)*VLOOKUP('Données projet'!$B$12,Paramètres!$A$1:$I$89,5,0)</f>
        <v>167.1696</v>
      </c>
      <c r="CA43" s="14">
        <f t="shared" si="39"/>
        <v>42.455490039298851</v>
      </c>
      <c r="CB43" s="22">
        <f t="shared" si="10"/>
        <v>365.09703181844549</v>
      </c>
      <c r="CC43" s="62">
        <f t="shared" si="11"/>
        <v>658.4303651517788</v>
      </c>
      <c r="CD43" s="62">
        <f ca="1">AVERAGE(OFFSET($CC$3,0,0,'Données projet'!$E$12+1,1))-AVERAGE(OFFSET($H$3,0,0,'Données projet'!$E$12+1,1))</f>
        <v>254.67898541152096</v>
      </c>
      <c r="CE43" s="62">
        <f t="shared" si="40"/>
        <v>251.52653810702509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35</v>
      </c>
      <c r="CH43" s="17">
        <f>IF(ISNA(VLOOKUP(A43,'Données projet'!$A$113:$I$133,5,0)),0%,VLOOKUP(A43,'Données projet'!$A$113:$I$133,5,0)*VLOOKUP('Données projet'!$B$12,Paramètres!$A$1:$I$89,7,0))</f>
        <v>0.17200000000000001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8.1939341694105963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8.1939341694105963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22.82714285714286</v>
      </c>
      <c r="N44" s="14">
        <f>IF('Données projet'!$A$36&gt;35,N43+M44-V43,IF(A44&lt;'Données projet'!$A$36,$K$205^A44,IF(A44='Données projet'!$A$36,'Données projet'!$B$36,N43+M44-V43)))</f>
        <v>427.40285714285716</v>
      </c>
      <c r="O44" s="14">
        <f>N44*VLOOKUP('Données projet'!$B$9,Paramètres!$A$1:$I$89,3,0)*VLOOKUP('Données projet'!$B$9,Paramètres!$A$1:$I$89,5,0)</f>
        <v>238.91819714285714</v>
      </c>
      <c r="P44" s="14">
        <f t="shared" si="33"/>
        <v>58.206714164613295</v>
      </c>
      <c r="Q44" s="22">
        <f t="shared" si="53"/>
        <v>517.49255386051107</v>
      </c>
      <c r="R44" s="62">
        <f t="shared" si="0"/>
        <v>810.82588719384444</v>
      </c>
      <c r="S44" s="62">
        <f ca="1">AVERAGE(OFFSET($R$3,0,0,'Données projet'!$E$9+1,1))-AVERAGE(OFFSET($H$3,0,0,'Données projet'!$E$9+1,1))</f>
        <v>321.56347025977988</v>
      </c>
      <c r="T44" s="62">
        <f t="shared" si="34"/>
        <v>285.79375360040717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22.49646601227743</v>
      </c>
      <c r="AA44" s="23">
        <f>EXP(-LN(2)/25)*AA43+(1-EXP(-LN(2)/25))/(LN(2)/25)*Calculateur!V44*Calculateur!X44*VLOOKUP('Données projet'!$B$9,Paramètres!$A$1:$I$89,3,0)*0.475*44/12</f>
        <v>24.388591722267012</v>
      </c>
      <c r="AB44" s="23">
        <f>EXP(-LN(2)/2)*AB43+(1-EXP(-LN(2)/2))/(LN(2)/2)*V44*Y44*VLOOKUP('Données projet'!$B$9,Paramètres!$A$1:$I$89,3,0)*0.475*44/12</f>
        <v>1.9435266588934026</v>
      </c>
      <c r="AC44" s="24">
        <f t="shared" si="3"/>
        <v>48.828584393437851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11.8</v>
      </c>
      <c r="AI44" s="14">
        <f>IF('Données projet'!$A$62&gt;35,AI43+AH44-AQ43,IF(A44&lt;'Données projet'!$A$62,$AF$205^A44,IF(A44='Données projet'!$A$62,'Données projet'!$B$62,AI43+AH44-AQ43)))</f>
        <v>224.8</v>
      </c>
      <c r="AJ44" s="14">
        <f>AI44*VLOOKUP('Données projet'!$B$10,Paramètres!$A$1:$I$89,3,0)*VLOOKUP('Données projet'!$B$10,Paramètres!$A$1:$I$89,5,0)</f>
        <v>140.27520000000001</v>
      </c>
      <c r="AK44" s="14">
        <f t="shared" si="35"/>
        <v>36.360042743219253</v>
      </c>
      <c r="AL44" s="22">
        <f t="shared" si="4"/>
        <v>307.63971444444019</v>
      </c>
      <c r="AM44" s="62">
        <f t="shared" si="5"/>
        <v>600.97304777777344</v>
      </c>
      <c r="AN44" s="62">
        <f ca="1">AVERAGE(OFFSET($AM$3,0,0,'Données projet'!$E$10+1,1))-AVERAGE(OFFSET($H$3,0,0,'Données projet'!$E$10+1,1))</f>
        <v>272.2908884671595</v>
      </c>
      <c r="AO44" s="62">
        <f t="shared" si="36"/>
        <v>220.74777226152867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27.645770965401248</v>
      </c>
      <c r="AV44" s="23">
        <f>EXP(-LN(2)/25)*AV43+(1-EXP(-LN(2)/25))/(LN(2)/25)*Calculateur!AQ44*Calculateur!AS44*VLOOKUP('Données projet'!$B$10,Paramètres!$A$1:$I$89,3,0)*0.475*44/12</f>
        <v>22.362260497438196</v>
      </c>
      <c r="AW44" s="23">
        <f>EXP(-LN(2)/2)*AW43+(1-EXP(-LN(2)/2))/(LN(2)/2)*AQ44*AT44*VLOOKUP('Données projet'!$B$10,Paramètres!$A$1:$I$89,3,0)*0.475*44/12</f>
        <v>4.827791129382736</v>
      </c>
      <c r="AX44" s="23">
        <f t="shared" si="6"/>
        <v>54.835822592222179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4.3352272727272725</v>
      </c>
      <c r="BD44" s="13">
        <f>IF('Données projet'!$A$88&gt;35,BD43+BC44-BL43,IF(A44&lt;'Données projet'!$A$88,$BA$205^A44,IF(A44='Données projet'!$A$88,'Données projet'!$B$88,BD43+BC44-BL43)))</f>
        <v>177.74431818181819</v>
      </c>
      <c r="BE44" s="14">
        <f>BD44*VLOOKUP('Données projet'!$B$11,Paramètres!$A$1:$I$89,3,0)*VLOOKUP('Données projet'!$B$11,Paramètres!$A$1:$I$89,5,0)</f>
        <v>160.82305909090911</v>
      </c>
      <c r="BF44" s="14">
        <f t="shared" si="37"/>
        <v>41.02810320886806</v>
      </c>
      <c r="BG44" s="22">
        <f t="shared" si="7"/>
        <v>351.55744100544524</v>
      </c>
      <c r="BH44" s="62">
        <f t="shared" si="8"/>
        <v>644.89077433877856</v>
      </c>
      <c r="BI44" s="62">
        <f ca="1">AVERAGE(OFFSET($BH$3,0,0,'Données projet'!$E$11+1,1))-AVERAGE(OFFSET($H$3,0,0,'Données projet'!$E$11+1,1))</f>
        <v>320.80580551060069</v>
      </c>
      <c r="BJ44" s="62">
        <f t="shared" si="38"/>
        <v>225.55225019382294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9.8000000000000007</v>
      </c>
      <c r="BY44" s="13">
        <f>IF('Données projet'!$A$114&gt;35,BY43+BX44-CG43,IF(A44&lt;'Données projet'!$A$114,$BV$205^A44,IF(A44='Données projet'!$A$114,'Données projet'!$B$114,BY43+BX44-CG43)))</f>
        <v>202.8</v>
      </c>
      <c r="BZ44" s="14">
        <f>BY44*VLOOKUP('Données projet'!$B$12,Paramètres!$A$1:$I$89,3,0)*VLOOKUP('Données projet'!$B$12,Paramètres!$A$1:$I$89,5,0)</f>
        <v>148.69296</v>
      </c>
      <c r="CA44" s="14">
        <f t="shared" si="39"/>
        <v>38.281404966971365</v>
      </c>
      <c r="CB44" s="22">
        <f t="shared" si="10"/>
        <v>325.64701898414177</v>
      </c>
      <c r="CC44" s="62">
        <f t="shared" si="11"/>
        <v>618.98035231747508</v>
      </c>
      <c r="CD44" s="62">
        <f ca="1">AVERAGE(OFFSET($CC$3,0,0,'Données projet'!$E$12+1,1))-AVERAGE(OFFSET($H$3,0,0,'Données projet'!$E$12+1,1))</f>
        <v>254.67898541152096</v>
      </c>
      <c r="CE44" s="62">
        <f t="shared" si="40"/>
        <v>251.52653810702509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8.0332561181548048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8.0332561181548048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450.23</v>
      </c>
      <c r="L45" s="13">
        <f>VLOOKUP(A45,'Données projet'!$A$35:$I$55,9,0)</f>
        <v>22.82714285714286</v>
      </c>
      <c r="M45" s="13">
        <f t="array" ref="M45">INDEX(L:L,MIN(IF(ISNUMBER(L45:L241),ROW(L45:L241),"")))</f>
        <v>22.82714285714286</v>
      </c>
      <c r="N45" s="14">
        <f>IF('Données projet'!$A$36&gt;35,N44+M45-V44,IF(A45&lt;'Données projet'!$A$36,$K$205^A45,IF(A45='Données projet'!$A$36,'Données projet'!$B$36,N44+M45-V44)))</f>
        <v>450.23</v>
      </c>
      <c r="O45" s="14">
        <f>N45*VLOOKUP('Données projet'!$B$9,Paramètres!$A$1:$I$89,3,0)*VLOOKUP('Données projet'!$B$9,Paramètres!$A$1:$I$89,5,0)</f>
        <v>251.67857000000004</v>
      </c>
      <c r="P45" s="14">
        <f t="shared" si="33"/>
        <v>60.945241245024086</v>
      </c>
      <c r="Q45" s="22">
        <f t="shared" si="53"/>
        <v>544.48647125175023</v>
      </c>
      <c r="R45" s="62">
        <f t="shared" si="0"/>
        <v>837.8198045850836</v>
      </c>
      <c r="S45" s="62">
        <f ca="1">AVERAGE(OFFSET($R$3,0,0,'Données projet'!$E$9+1,1))-AVERAGE(OFFSET($H$3,0,0,'Données projet'!$E$9+1,1))</f>
        <v>321.56347025977988</v>
      </c>
      <c r="T45" s="62">
        <f t="shared" si="34"/>
        <v>285.79375360040717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99.98</v>
      </c>
      <c r="W45" s="17">
        <f>IF(ISNA(VLOOKUP(A45,'Données projet'!$A$35:$I$55,5,0)),0%,VLOOKUP(A45,'Données projet'!$A$35:$I$55,5,0)*VLOOKUP('Données projet'!$B$9,Paramètres!$A$1:$I$89,7,0))</f>
        <v>0.27500000000000002</v>
      </c>
      <c r="X45" s="17">
        <f>IF(ISNA(VLOOKUP(A45,'Données projet'!$A$35:$I$55,6,0)),0%,VLOOKUP(A45,'Données projet'!$A$35:$I$55,6,0)*VLOOKUP('Données projet'!$B$9,Paramètres!$A$1:$I$89,7,0))</f>
        <v>0.15400000000000003</v>
      </c>
      <c r="Y45" s="17">
        <f>IF(ISNA(VLOOKUP(A45,'Données projet'!$A$35:$I$55,7,0)),0%,VLOOKUP(A45,'Données projet'!$A$35:$I$55,7,0))</f>
        <v>0.22</v>
      </c>
      <c r="Z45" s="23">
        <f>EXP(-LN(2)/35)*Z44+(1-EXP(-LN(2)/35))/(LN(2)/35)*V45*W45*VLOOKUP('Données projet'!$B$9,Paramètres!$A$1:$I$89,3,0)*0.475*44/12</f>
        <v>42.44385760409213</v>
      </c>
      <c r="AA45" s="23">
        <f>EXP(-LN(2)/25)*AA44+(1-EXP(-LN(2)/25))/(LN(2)/25)*Calculateur!V45*Calculateur!X45*VLOOKUP('Données projet'!$B$9,Paramètres!$A$1:$I$89,3,0)*0.475*44/12</f>
        <v>35.094307839455482</v>
      </c>
      <c r="AB45" s="23">
        <f>EXP(-LN(2)/2)*AB44+(1-EXP(-LN(2)/2))/(LN(2)/2)*V45*Y45*VLOOKUP('Données projet'!$B$9,Paramètres!$A$1:$I$89,3,0)*0.475*44/12</f>
        <v>15.295688836341842</v>
      </c>
      <c r="AC45" s="24">
        <f t="shared" si="3"/>
        <v>92.833854279889451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11.8</v>
      </c>
      <c r="AI45" s="14">
        <f>IF('Données projet'!$A$62&gt;35,AI44+AH45-AQ44,IF(A45&lt;'Données projet'!$A$62,$AF$205^A45,IF(A45='Données projet'!$A$62,'Données projet'!$B$62,AI44+AH45-AQ44)))</f>
        <v>236.60000000000002</v>
      </c>
      <c r="AJ45" s="14">
        <f>AI45*VLOOKUP('Données projet'!$B$10,Paramètres!$A$1:$I$89,3,0)*VLOOKUP('Données projet'!$B$10,Paramètres!$A$1:$I$89,5,0)</f>
        <v>147.63840000000002</v>
      </c>
      <c r="AK45" s="14">
        <f t="shared" si="35"/>
        <v>38.04140887895133</v>
      </c>
      <c r="AL45" s="22">
        <f t="shared" si="4"/>
        <v>323.39233379750692</v>
      </c>
      <c r="AM45" s="62">
        <f t="shared" si="5"/>
        <v>616.72566713084029</v>
      </c>
      <c r="AN45" s="62">
        <f ca="1">AVERAGE(OFFSET($AM$3,0,0,'Données projet'!$E$10+1,1))-AVERAGE(OFFSET($H$3,0,0,'Données projet'!$E$10+1,1))</f>
        <v>272.2908884671595</v>
      </c>
      <c r="AO45" s="62">
        <f t="shared" si="36"/>
        <v>220.74777226152867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27.10365425902501</v>
      </c>
      <c r="AV45" s="23">
        <f>EXP(-LN(2)/25)*AV44+(1-EXP(-LN(2)/25))/(LN(2)/25)*Calculateur!AQ45*Calculateur!AS45*VLOOKUP('Données projet'!$B$10,Paramètres!$A$1:$I$89,3,0)*0.475*44/12</f>
        <v>21.75076330815558</v>
      </c>
      <c r="AW45" s="23">
        <f>EXP(-LN(2)/2)*AW44+(1-EXP(-LN(2)/2))/(LN(2)/2)*AQ45*AT45*VLOOKUP('Données projet'!$B$10,Paramètres!$A$1:$I$89,3,0)*0.475*44/12</f>
        <v>3.4137638457387935</v>
      </c>
      <c r="AX45" s="23">
        <f t="shared" si="6"/>
        <v>52.268181412919382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4.3352272727272725</v>
      </c>
      <c r="BD45" s="13">
        <f>IF('Données projet'!$A$88&gt;35,BD44+BC45-BL44,IF(A45&lt;'Données projet'!$A$88,$BA$205^A45,IF(A45='Données projet'!$A$88,'Données projet'!$B$88,BD44+BC45-BL44)))</f>
        <v>182.07954545454547</v>
      </c>
      <c r="BE45" s="14">
        <f>BD45*VLOOKUP('Données projet'!$B$11,Paramètres!$A$1:$I$89,3,0)*VLOOKUP('Données projet'!$B$11,Paramètres!$A$1:$I$89,5,0)</f>
        <v>164.74557272727273</v>
      </c>
      <c r="BF45" s="14">
        <f t="shared" si="37"/>
        <v>41.911064973947369</v>
      </c>
      <c r="BG45" s="22">
        <f t="shared" si="7"/>
        <v>359.926977329625</v>
      </c>
      <c r="BH45" s="62">
        <f t="shared" si="8"/>
        <v>653.26031066295832</v>
      </c>
      <c r="BI45" s="62">
        <f ca="1">AVERAGE(OFFSET($BH$3,0,0,'Données projet'!$E$11+1,1))-AVERAGE(OFFSET($H$3,0,0,'Données projet'!$E$11+1,1))</f>
        <v>320.80580551060069</v>
      </c>
      <c r="BJ45" s="62">
        <f t="shared" si="38"/>
        <v>225.55225019382294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9.8000000000000007</v>
      </c>
      <c r="BY45" s="13">
        <f>IF('Données projet'!$A$114&gt;35,BY44+BX45-CG44,IF(A45&lt;'Données projet'!$A$114,$BV$205^A45,IF(A45='Données projet'!$A$114,'Données projet'!$B$114,BY44+BX45-CG44)))</f>
        <v>212.60000000000002</v>
      </c>
      <c r="BZ45" s="14">
        <f>BY45*VLOOKUP('Données projet'!$B$12,Paramètres!$A$1:$I$89,3,0)*VLOOKUP('Données projet'!$B$12,Paramètres!$A$1:$I$89,5,0)</f>
        <v>155.87832000000003</v>
      </c>
      <c r="CA45" s="14">
        <f t="shared" si="39"/>
        <v>39.911451633481022</v>
      </c>
      <c r="CB45" s="22">
        <f t="shared" si="10"/>
        <v>341.00051892831283</v>
      </c>
      <c r="CC45" s="62">
        <f t="shared" si="11"/>
        <v>634.33385226164614</v>
      </c>
      <c r="CD45" s="62">
        <f ca="1">AVERAGE(OFFSET($CC$3,0,0,'Données projet'!$E$12+1,1))-AVERAGE(OFFSET($H$3,0,0,'Données projet'!$E$12+1,1))</f>
        <v>254.67898541152096</v>
      </c>
      <c r="CE45" s="62">
        <f t="shared" si="40"/>
        <v>251.52653810702509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7.8757288654802062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7.8757288654802062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21.939999999999998</v>
      </c>
      <c r="N46" s="14">
        <f>IF('Données projet'!$A$36&gt;35,N45+M46-V45,IF(A46&lt;'Données projet'!$A$36,$K$205^A46,IF(A46='Données projet'!$A$36,'Données projet'!$B$36,N45+M46-V45)))</f>
        <v>372.19</v>
      </c>
      <c r="O46" s="14">
        <f>N46*VLOOKUP('Données projet'!$B$9,Paramètres!$A$1:$I$89,3,0)*VLOOKUP('Données projet'!$B$9,Paramètres!$A$1:$I$89,5,0)</f>
        <v>208.05420999999998</v>
      </c>
      <c r="P46" s="14">
        <f t="shared" si="33"/>
        <v>51.510151537098693</v>
      </c>
      <c r="Q46" s="22">
        <f t="shared" si="53"/>
        <v>452.07459634378012</v>
      </c>
      <c r="R46" s="62">
        <f t="shared" si="0"/>
        <v>745.40792967711343</v>
      </c>
      <c r="S46" s="62">
        <f ca="1">AVERAGE(OFFSET($R$3,0,0,'Données projet'!$E$9+1,1))-AVERAGE(OFFSET($H$3,0,0,'Données projet'!$E$9+1,1))</f>
        <v>321.56347025977988</v>
      </c>
      <c r="T46" s="62">
        <f t="shared" si="34"/>
        <v>285.79375360040717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41.611559444672778</v>
      </c>
      <c r="AA46" s="23">
        <f>EXP(-LN(2)/25)*AA45+(1-EXP(-LN(2)/25))/(LN(2)/25)*Calculateur!V46*Calculateur!X46*VLOOKUP('Données projet'!$B$9,Paramètres!$A$1:$I$89,3,0)*0.475*44/12</f>
        <v>34.134652146056133</v>
      </c>
      <c r="AB46" s="23">
        <f>EXP(-LN(2)/2)*AB45+(1-EXP(-LN(2)/2))/(LN(2)/2)*V46*Y46*VLOOKUP('Données projet'!$B$9,Paramètres!$A$1:$I$89,3,0)*0.475*44/12</f>
        <v>10.815685299096689</v>
      </c>
      <c r="AC46" s="24">
        <f t="shared" si="3"/>
        <v>86.56189688982559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11.8</v>
      </c>
      <c r="AI46" s="14">
        <f>IF('Données projet'!$A$62&gt;35,AI45+AH46-AQ45,IF(A46&lt;'Données projet'!$A$62,$AF$205^A46,IF(A46='Données projet'!$A$62,'Données projet'!$B$62,AI45+AH46-AQ45)))</f>
        <v>248.40000000000003</v>
      </c>
      <c r="AJ46" s="14">
        <f>AI46*VLOOKUP('Données projet'!$B$10,Paramètres!$A$1:$I$89,3,0)*VLOOKUP('Données projet'!$B$10,Paramètres!$A$1:$I$89,5,0)</f>
        <v>155.00160000000002</v>
      </c>
      <c r="AK46" s="14">
        <f t="shared" si="35"/>
        <v>39.713038294647887</v>
      </c>
      <c r="AL46" s="22">
        <f t="shared" si="4"/>
        <v>339.12799502984507</v>
      </c>
      <c r="AM46" s="62">
        <f t="shared" si="5"/>
        <v>632.46132836317838</v>
      </c>
      <c r="AN46" s="62">
        <f ca="1">AVERAGE(OFFSET($AM$3,0,0,'Données projet'!$E$10+1,1))-AVERAGE(OFFSET($H$3,0,0,'Données projet'!$E$10+1,1))</f>
        <v>272.2908884671595</v>
      </c>
      <c r="AO46" s="62">
        <f t="shared" si="36"/>
        <v>220.74777226152867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26.572168130602268</v>
      </c>
      <c r="AV46" s="23">
        <f>EXP(-LN(2)/25)*AV45+(1-EXP(-LN(2)/25))/(LN(2)/25)*Calculateur!AQ46*Calculateur!AS46*VLOOKUP('Données projet'!$B$10,Paramètres!$A$1:$I$89,3,0)*0.475*44/12</f>
        <v>21.155987541671134</v>
      </c>
      <c r="AW46" s="23">
        <f>EXP(-LN(2)/2)*AW45+(1-EXP(-LN(2)/2))/(LN(2)/2)*AQ46*AT46*VLOOKUP('Données projet'!$B$10,Paramètres!$A$1:$I$89,3,0)*0.475*44/12</f>
        <v>2.413895564691368</v>
      </c>
      <c r="AX46" s="23">
        <f t="shared" si="6"/>
        <v>50.142051236964768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4.3352272727272725</v>
      </c>
      <c r="BD46" s="13">
        <f>IF('Données projet'!$A$88&gt;35,BD45+BC46-BL45,IF(A46&lt;'Données projet'!$A$88,$BA$205^A46,IF(A46='Données projet'!$A$88,'Données projet'!$B$88,BD45+BC46-BL45)))</f>
        <v>186.41477272727275</v>
      </c>
      <c r="BE46" s="14">
        <f>BD46*VLOOKUP('Données projet'!$B$11,Paramètres!$A$1:$I$89,3,0)*VLOOKUP('Données projet'!$B$11,Paramètres!$A$1:$I$89,5,0)</f>
        <v>168.66808636363638</v>
      </c>
      <c r="BF46" s="14">
        <f t="shared" si="37"/>
        <v>42.791582817325541</v>
      </c>
      <c r="BG46" s="22">
        <f t="shared" si="7"/>
        <v>368.29225715684197</v>
      </c>
      <c r="BH46" s="62">
        <f t="shared" si="8"/>
        <v>661.62559049017523</v>
      </c>
      <c r="BI46" s="62">
        <f ca="1">AVERAGE(OFFSET($BH$3,0,0,'Données projet'!$E$11+1,1))-AVERAGE(OFFSET($H$3,0,0,'Données projet'!$E$11+1,1))</f>
        <v>320.80580551060069</v>
      </c>
      <c r="BJ46" s="62">
        <f t="shared" si="38"/>
        <v>225.55225019382294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9.8000000000000007</v>
      </c>
      <c r="BY46" s="13">
        <f>IF('Données projet'!$A$114&gt;35,BY45+BX46-CG45,IF(A46&lt;'Données projet'!$A$114,$BV$205^A46,IF(A46='Données projet'!$A$114,'Données projet'!$B$114,BY45+BX46-CG45)))</f>
        <v>222.40000000000003</v>
      </c>
      <c r="BZ46" s="14">
        <f>BY46*VLOOKUP('Données projet'!$B$12,Paramètres!$A$1:$I$89,3,0)*VLOOKUP('Données projet'!$B$12,Paramètres!$A$1:$I$89,5,0)</f>
        <v>163.06368000000001</v>
      </c>
      <c r="CA46" s="14">
        <f t="shared" si="39"/>
        <v>41.532772330984628</v>
      </c>
      <c r="CB46" s="22">
        <f t="shared" si="10"/>
        <v>356.33882114313155</v>
      </c>
      <c r="CC46" s="62">
        <f t="shared" si="11"/>
        <v>649.67215447646481</v>
      </c>
      <c r="CD46" s="62">
        <f ca="1">AVERAGE(OFFSET($CC$3,0,0,'Données projet'!$E$12+1,1))-AVERAGE(OFFSET($H$3,0,0,'Données projet'!$E$12+1,1))</f>
        <v>254.67898541152096</v>
      </c>
      <c r="CE46" s="62">
        <f t="shared" si="40"/>
        <v>251.52653810702509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7.7212906261484191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7.7212906261484191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21.939999999999998</v>
      </c>
      <c r="N47" s="14">
        <f>IF('Données projet'!$A$36&gt;35,N46+M47-V46,IF(A47&lt;'Données projet'!$A$36,$K$205^A47,IF(A47='Données projet'!$A$36,'Données projet'!$B$36,N46+M47-V46)))</f>
        <v>394.13</v>
      </c>
      <c r="O47" s="14">
        <f>N47*VLOOKUP('Données projet'!$B$9,Paramètres!$A$1:$I$89,3,0)*VLOOKUP('Données projet'!$B$9,Paramètres!$A$1:$I$89,5,0)</f>
        <v>220.31867</v>
      </c>
      <c r="P47" s="14">
        <f t="shared" si="33"/>
        <v>54.184141234835565</v>
      </c>
      <c r="Q47" s="22">
        <f t="shared" si="53"/>
        <v>478.09239623400526</v>
      </c>
      <c r="R47" s="62">
        <f t="shared" si="0"/>
        <v>771.42572956733852</v>
      </c>
      <c r="S47" s="62">
        <f ca="1">AVERAGE(OFFSET($R$3,0,0,'Données projet'!$E$9+1,1))-AVERAGE(OFFSET($H$3,0,0,'Données projet'!$E$9+1,1))</f>
        <v>321.56347025977988</v>
      </c>
      <c r="T47" s="62">
        <f t="shared" si="34"/>
        <v>285.79375360040717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40.795582144507883</v>
      </c>
      <c r="AA47" s="23">
        <f>EXP(-LN(2)/25)*AA46+(1-EXP(-LN(2)/25))/(LN(2)/25)*Calculateur!V47*Calculateur!X47*VLOOKUP('Données projet'!$B$9,Paramètres!$A$1:$I$89,3,0)*0.475*44/12</f>
        <v>33.201238288058889</v>
      </c>
      <c r="AB47" s="23">
        <f>EXP(-LN(2)/2)*AB46+(1-EXP(-LN(2)/2))/(LN(2)/2)*V47*Y47*VLOOKUP('Données projet'!$B$9,Paramètres!$A$1:$I$89,3,0)*0.475*44/12</f>
        <v>7.647844418170922</v>
      </c>
      <c r="AC47" s="24">
        <f t="shared" si="3"/>
        <v>81.644664850737698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11.8</v>
      </c>
      <c r="AI47" s="14">
        <f>IF('Données projet'!$A$62&gt;35,AI46+AH47-AQ46,IF(A47&lt;'Données projet'!$A$62,$AF$205^A47,IF(A47='Données projet'!$A$62,'Données projet'!$B$62,AI46+AH47-AQ46)))</f>
        <v>260.20000000000005</v>
      </c>
      <c r="AJ47" s="14">
        <f>AI47*VLOOKUP('Données projet'!$B$10,Paramètres!$A$1:$I$89,3,0)*VLOOKUP('Données projet'!$B$10,Paramètres!$A$1:$I$89,5,0)</f>
        <v>162.36480000000003</v>
      </c>
      <c r="AK47" s="14">
        <f t="shared" si="35"/>
        <v>41.375446334072237</v>
      </c>
      <c r="AL47" s="22">
        <f t="shared" si="4"/>
        <v>354.84759569850917</v>
      </c>
      <c r="AM47" s="62">
        <f t="shared" si="5"/>
        <v>648.18092903184242</v>
      </c>
      <c r="AN47" s="62">
        <f ca="1">AVERAGE(OFFSET($AM$3,0,0,'Données projet'!$E$10+1,1))-AVERAGE(OFFSET($H$3,0,0,'Données projet'!$E$10+1,1))</f>
        <v>272.2908884671595</v>
      </c>
      <c r="AO47" s="62">
        <f t="shared" si="36"/>
        <v>220.74777226152867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26.051104120983368</v>
      </c>
      <c r="AV47" s="23">
        <f>EXP(-LN(2)/25)*AV46+(1-EXP(-LN(2)/25))/(LN(2)/25)*Calculateur!AQ47*Calculateur!AS47*VLOOKUP('Données projet'!$B$10,Paramètres!$A$1:$I$89,3,0)*0.475*44/12</f>
        <v>20.577475949799105</v>
      </c>
      <c r="AW47" s="23">
        <f>EXP(-LN(2)/2)*AW46+(1-EXP(-LN(2)/2))/(LN(2)/2)*AQ47*AT47*VLOOKUP('Données projet'!$B$10,Paramètres!$A$1:$I$89,3,0)*0.475*44/12</f>
        <v>1.7068819228693968</v>
      </c>
      <c r="AX47" s="23">
        <f t="shared" si="6"/>
        <v>48.335461993651876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190.75</v>
      </c>
      <c r="BB47" s="13">
        <f>VLOOKUP(A47,'Données projet'!$A$87:$I$107,9,0)</f>
        <v>4.3352272727272725</v>
      </c>
      <c r="BC47" s="13">
        <f t="array" ref="BC47">INDEX(BB:BB,MIN(IF(ISNUMBER(BB47:BB243),ROW(BB47:BB243),"")))</f>
        <v>4.3352272727272725</v>
      </c>
      <c r="BD47" s="13">
        <f>IF('Données projet'!$A$88&gt;35,BD46+BC47-BL46,IF(A47&lt;'Données projet'!$A$88,$BA$205^A47,IF(A47='Données projet'!$A$88,'Données projet'!$B$88,BD46+BC47-BL46)))</f>
        <v>190.75000000000003</v>
      </c>
      <c r="BE47" s="14">
        <f>BD47*VLOOKUP('Données projet'!$B$11,Paramètres!$A$1:$I$89,3,0)*VLOOKUP('Données projet'!$B$11,Paramètres!$A$1:$I$89,5,0)</f>
        <v>172.59060000000002</v>
      </c>
      <c r="BF47" s="14">
        <f t="shared" si="37"/>
        <v>43.669720115774744</v>
      </c>
      <c r="BG47" s="22">
        <f t="shared" si="7"/>
        <v>376.65339086830772</v>
      </c>
      <c r="BH47" s="62">
        <f t="shared" si="8"/>
        <v>669.98672420164098</v>
      </c>
      <c r="BI47" s="62">
        <f ca="1">AVERAGE(OFFSET($BH$3,0,0,'Données projet'!$E$11+1,1))-AVERAGE(OFFSET($H$3,0,0,'Données projet'!$E$11+1,1))</f>
        <v>320.80580551060069</v>
      </c>
      <c r="BJ47" s="62">
        <f t="shared" si="38"/>
        <v>225.55225019382294</v>
      </c>
      <c r="BK47" s="16">
        <f>IF(ISNA(VLOOKUP(A47,'Données projet'!$A$87:$I$107,3,0)),0,VLOOKUP(A47,'Données projet'!$A$87:$I$107,3,0))</f>
        <v>1</v>
      </c>
      <c r="BL47" s="16">
        <f>IF(ISNA(VLOOKUP(A47,'Données projet'!$A$87:$I$107,4,0)),0,VLOOKUP(A47,'Données projet'!$A$87:$I$107,4,0))</f>
        <v>74.010000000000005</v>
      </c>
      <c r="BM47" s="17">
        <f>IF(ISNA(VLOOKUP(A47,'Données projet'!$A$87:$I$107,5,0)),0%,VLOOKUP(A47,'Données projet'!$A$87:$I$107,5,0)*VLOOKUP('Données projet'!$B$11,Paramètres!$A$1:$I$89,7,0))</f>
        <v>8.6000000000000007E-2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6.36632136804608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6.36632136804608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9.8000000000000007</v>
      </c>
      <c r="BY47" s="13">
        <f>IF('Données projet'!$A$114&gt;35,BY46+BX47-CG46,IF(A47&lt;'Données projet'!$A$114,$BV$205^A47,IF(A47='Données projet'!$A$114,'Données projet'!$B$114,BY46+BX47-CG46)))</f>
        <v>232.20000000000005</v>
      </c>
      <c r="BZ47" s="14">
        <f>BY47*VLOOKUP('Données projet'!$B$12,Paramètres!$A$1:$I$89,3,0)*VLOOKUP('Données projet'!$B$12,Paramètres!$A$1:$I$89,5,0)</f>
        <v>170.24904000000004</v>
      </c>
      <c r="CA47" s="14">
        <f t="shared" si="39"/>
        <v>43.145795507930117</v>
      </c>
      <c r="CB47" s="22">
        <f t="shared" si="10"/>
        <v>371.6626718429784</v>
      </c>
      <c r="CC47" s="62">
        <f t="shared" si="11"/>
        <v>664.99600517631166</v>
      </c>
      <c r="CD47" s="62">
        <f ca="1">AVERAGE(OFFSET($CC$3,0,0,'Données projet'!$E$12+1,1))-AVERAGE(OFFSET($H$3,0,0,'Données projet'!$E$12+1,1))</f>
        <v>254.67898541152096</v>
      </c>
      <c r="CE47" s="62">
        <f t="shared" si="40"/>
        <v>251.52653810702509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7.5698808264919037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7.5698808264919037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21.939999999999998</v>
      </c>
      <c r="N48" s="14">
        <f>IF('Données projet'!$A$36&gt;35,N47+M48-V47,IF(A48&lt;'Données projet'!$A$36,$K$205^A48,IF(A48='Données projet'!$A$36,'Données projet'!$B$36,N47+M48-V47)))</f>
        <v>416.07</v>
      </c>
      <c r="O48" s="14">
        <f>N48*VLOOKUP('Données projet'!$B$9,Paramètres!$A$1:$I$89,3,0)*VLOOKUP('Données projet'!$B$9,Paramètres!$A$1:$I$89,5,0)</f>
        <v>232.58313000000001</v>
      </c>
      <c r="P48" s="14">
        <f t="shared" si="33"/>
        <v>56.840851065639789</v>
      </c>
      <c r="Q48" s="22">
        <f t="shared" si="53"/>
        <v>504.08010035598926</v>
      </c>
      <c r="R48" s="62">
        <f t="shared" si="0"/>
        <v>797.41343368932257</v>
      </c>
      <c r="S48" s="62">
        <f ca="1">AVERAGE(OFFSET($R$3,0,0,'Données projet'!$E$9+1,1))-AVERAGE(OFFSET($H$3,0,0,'Données projet'!$E$9+1,1))</f>
        <v>321.56347025977988</v>
      </c>
      <c r="T48" s="62">
        <f t="shared" si="34"/>
        <v>285.79375360040717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39.995605661502211</v>
      </c>
      <c r="AA48" s="23">
        <f>EXP(-LN(2)/25)*AA47+(1-EXP(-LN(2)/25))/(LN(2)/25)*Calculateur!V48*Calculateur!X48*VLOOKUP('Données projet'!$B$9,Paramètres!$A$1:$I$89,3,0)*0.475*44/12</f>
        <v>32.293348681094677</v>
      </c>
      <c r="AB48" s="23">
        <f>EXP(-LN(2)/2)*AB47+(1-EXP(-LN(2)/2))/(LN(2)/2)*V48*Y48*VLOOKUP('Données projet'!$B$9,Paramètres!$A$1:$I$89,3,0)*0.475*44/12</f>
        <v>5.4078426495483454</v>
      </c>
      <c r="AC48" s="24">
        <f t="shared" si="3"/>
        <v>77.696796992145238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272</v>
      </c>
      <c r="AG48" s="13">
        <f>VLOOKUP(A48,'Données projet'!$A$61:$I$81,9,0)</f>
        <v>11.8</v>
      </c>
      <c r="AH48" s="13">
        <f t="array" ref="AH48">INDEX(AG:AG,MIN(IF(ISNUMBER(AG48:AG244),ROW(AG48:AG244),"")))</f>
        <v>11.8</v>
      </c>
      <c r="AI48" s="14">
        <f>IF('Données projet'!$A$62&gt;35,AI47+AH48-AQ47,IF(A48&lt;'Données projet'!$A$62,$AF$205^A48,IF(A48='Données projet'!$A$62,'Données projet'!$B$62,AI47+AH48-AQ47)))</f>
        <v>272.00000000000006</v>
      </c>
      <c r="AJ48" s="14">
        <f>AI48*VLOOKUP('Données projet'!$B$10,Paramètres!$A$1:$I$89,3,0)*VLOOKUP('Données projet'!$B$10,Paramètres!$A$1:$I$89,5,0)</f>
        <v>169.72800000000004</v>
      </c>
      <c r="AK48" s="14">
        <f t="shared" si="35"/>
        <v>43.029098957414881</v>
      </c>
      <c r="AL48" s="22">
        <f t="shared" si="4"/>
        <v>370.55194735083097</v>
      </c>
      <c r="AM48" s="62">
        <f t="shared" si="5"/>
        <v>663.88528068416429</v>
      </c>
      <c r="AN48" s="62">
        <f ca="1">AVERAGE(OFFSET($AM$3,0,0,'Données projet'!$E$10+1,1))-AVERAGE(OFFSET($H$3,0,0,'Données projet'!$E$10+1,1))</f>
        <v>272.2908884671595</v>
      </c>
      <c r="AO48" s="62">
        <f t="shared" si="36"/>
        <v>220.74777226152867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32</v>
      </c>
      <c r="AR48" s="17">
        <f>IF(ISNA(VLOOKUP(A48,'Données projet'!$A$61:$I$81,5,0)),0%,VLOOKUP(A48,'Données projet'!$A$61:$I$81,5,0)*VLOOKUP('Données projet'!$B$10,Paramètres!$A$1:$I$89,7,0))</f>
        <v>0.3</v>
      </c>
      <c r="AS48" s="17">
        <f>IF(ISNA(VLOOKUP(A48,'Données projet'!$A$61:$I$81,6,0)),0%,VLOOKUP(A48,'Données projet'!$A$61:$I$81,6,0)*VLOOKUP('Données projet'!$B$10,Paramètres!$A$1:$I$89,7,0))</f>
        <v>0.16800000000000001</v>
      </c>
      <c r="AT48" s="17">
        <f>IF(ISNA(VLOOKUP(A48,'Données projet'!$A$61:$I$81,7,0)),0%,VLOOKUP(A48,'Données projet'!$A$61:$I$81,7,0))</f>
        <v>0.22</v>
      </c>
      <c r="AU48" s="23">
        <f>EXP(-LN(2)/35)*AU47+(1-EXP(-LN(2)/35))/(LN(2)/35)*AQ48*AR48*VLOOKUP('Données projet'!$B$10,Paramètres!$A$1:$I$89,3,0)*0.475*44/12</f>
        <v>33.48690957264045</v>
      </c>
      <c r="AV48" s="23">
        <f>EXP(-LN(2)/25)*AV47+(1-EXP(-LN(2)/25))/(LN(2)/25)*Calculateur!AQ48*Calculateur!AS48*VLOOKUP('Données projet'!$B$10,Paramètres!$A$1:$I$89,3,0)*0.475*44/12</f>
        <v>24.447386909996695</v>
      </c>
      <c r="AW48" s="23">
        <f>EXP(-LN(2)/2)*AW47+(1-EXP(-LN(2)/2))/(LN(2)/2)*AQ48*AT48*VLOOKUP('Données projet'!$B$10,Paramètres!$A$1:$I$89,3,0)*0.475*44/12</f>
        <v>6.180798976087547</v>
      </c>
      <c r="AX48" s="23">
        <f t="shared" si="6"/>
        <v>64.115095458724696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8.3866666666666703</v>
      </c>
      <c r="BD48" s="13">
        <f>IF('Données projet'!$A$88&gt;35,BD47+BC48-BL47,IF(A48&lt;'Données projet'!$A$88,$BA$205^A48,IF(A48='Données projet'!$A$88,'Données projet'!$B$88,BD47+BC48-BL47)))</f>
        <v>125.12666666666671</v>
      </c>
      <c r="BE48" s="14">
        <f>BD48*VLOOKUP('Données projet'!$B$11,Paramètres!$A$1:$I$89,3,0)*VLOOKUP('Données projet'!$B$11,Paramètres!$A$1:$I$89,5,0)</f>
        <v>113.21460800000004</v>
      </c>
      <c r="BF48" s="14">
        <f t="shared" si="37"/>
        <v>30.08709690834262</v>
      </c>
      <c r="BG48" s="22">
        <f t="shared" si="7"/>
        <v>249.58380271536342</v>
      </c>
      <c r="BH48" s="62">
        <f t="shared" si="8"/>
        <v>542.91713604869676</v>
      </c>
      <c r="BI48" s="62">
        <f ca="1">AVERAGE(OFFSET($BH$3,0,0,'Données projet'!$E$11+1,1))-AVERAGE(OFFSET($H$3,0,0,'Données projet'!$E$11+1,1))</f>
        <v>320.80580551060069</v>
      </c>
      <c r="BJ48" s="62">
        <f t="shared" si="38"/>
        <v>225.55225019382294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6.2414816890913096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6.2414816890913096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242</v>
      </c>
      <c r="BW48" s="13">
        <f>VLOOKUP(A48,'Données projet'!$A$113:$I$133,9,0)</f>
        <v>9.8000000000000007</v>
      </c>
      <c r="BX48" s="13">
        <f t="array" ref="BX48">INDEX(BW:BW,MIN(IF(ISNUMBER(BW48:BW244),ROW(BW48:BW244),"")))</f>
        <v>9.8000000000000007</v>
      </c>
      <c r="BY48" s="13">
        <f>IF('Données projet'!$A$114&gt;35,BY47+BX48-CG47,IF(A48&lt;'Données projet'!$A$114,$BV$205^A48,IF(A48='Données projet'!$A$114,'Données projet'!$B$114,BY47+BX48-CG47)))</f>
        <v>242.00000000000006</v>
      </c>
      <c r="BZ48" s="14">
        <f>BY48*VLOOKUP('Données projet'!$B$12,Paramètres!$A$1:$I$89,3,0)*VLOOKUP('Données projet'!$B$12,Paramètres!$A$1:$I$89,5,0)</f>
        <v>177.43440000000004</v>
      </c>
      <c r="CA48" s="14">
        <f t="shared" si="39"/>
        <v>44.750911401641211</v>
      </c>
      <c r="CB48" s="22">
        <f t="shared" si="10"/>
        <v>386.97275069119183</v>
      </c>
      <c r="CC48" s="62">
        <f t="shared" si="11"/>
        <v>680.30608402452515</v>
      </c>
      <c r="CD48" s="62">
        <f ca="1">AVERAGE(OFFSET($CC$3,0,0,'Données projet'!$E$12+1,1))-AVERAGE(OFFSET($H$3,0,0,'Données projet'!$E$12+1,1))</f>
        <v>254.67898541152096</v>
      </c>
      <c r="CE48" s="62">
        <f t="shared" si="40"/>
        <v>251.52653810702509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24</v>
      </c>
      <c r="CH48" s="17">
        <f>IF(ISNA(VLOOKUP(A48,'Données projet'!$A$113:$I$133,5,0)),0%,VLOOKUP(A48,'Données projet'!$A$113:$I$133,5,0)*VLOOKUP('Données projet'!$B$12,Paramètres!$A$1:$I$89,7,0))</f>
        <v>0.215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11.603779433187359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11.603779433187359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21.939999999999998</v>
      </c>
      <c r="N49" s="14">
        <f>IF('Données projet'!$A$36&gt;35,N48+M49-V48,IF(A49&lt;'Données projet'!$A$36,$K$205^A49,IF(A49='Données projet'!$A$36,'Données projet'!$B$36,N48+M49-V48)))</f>
        <v>438.01</v>
      </c>
      <c r="O49" s="14">
        <f>N49*VLOOKUP('Données projet'!$B$9,Paramètres!$A$1:$I$89,3,0)*VLOOKUP('Données projet'!$B$9,Paramètres!$A$1:$I$89,5,0)</f>
        <v>244.84759000000003</v>
      </c>
      <c r="P49" s="14">
        <f t="shared" si="33"/>
        <v>59.481296135283444</v>
      </c>
      <c r="Q49" s="22">
        <f t="shared" si="53"/>
        <v>530.03947668561875</v>
      </c>
      <c r="R49" s="62">
        <f t="shared" si="0"/>
        <v>823.37281001895212</v>
      </c>
      <c r="S49" s="62">
        <f ca="1">AVERAGE(OFFSET($R$3,0,0,'Données projet'!$E$9+1,1))-AVERAGE(OFFSET($H$3,0,0,'Données projet'!$E$9+1,1))</f>
        <v>321.56347025977988</v>
      </c>
      <c r="T49" s="62">
        <f t="shared" si="34"/>
        <v>285.79375360040717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39.21131622939081</v>
      </c>
      <c r="AA49" s="23">
        <f>EXP(-LN(2)/25)*AA48+(1-EXP(-LN(2)/25))/(LN(2)/25)*Calculateur!V49*Calculateur!X49*VLOOKUP('Données projet'!$B$9,Paramètres!$A$1:$I$89,3,0)*0.475*44/12</f>
        <v>31.410285363176744</v>
      </c>
      <c r="AB49" s="23">
        <f>EXP(-LN(2)/2)*AB48+(1-EXP(-LN(2)/2))/(LN(2)/2)*V49*Y49*VLOOKUP('Données projet'!$B$9,Paramètres!$A$1:$I$89,3,0)*0.475*44/12</f>
        <v>3.8239222090854614</v>
      </c>
      <c r="AC49" s="24">
        <f t="shared" si="3"/>
        <v>74.445523801653025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10.199999999999999</v>
      </c>
      <c r="AI49" s="14">
        <f>IF('Données projet'!$A$62&gt;35,AI48+AH49-AQ48,IF(A49&lt;'Données projet'!$A$62,$AF$205^A49,IF(A49='Données projet'!$A$62,'Données projet'!$B$62,AI48+AH49-AQ48)))</f>
        <v>250.20000000000005</v>
      </c>
      <c r="AJ49" s="14">
        <f>AI49*VLOOKUP('Données projet'!$B$10,Paramètres!$A$1:$I$89,3,0)*VLOOKUP('Données projet'!$B$10,Paramètres!$A$1:$I$89,5,0)</f>
        <v>156.12480000000002</v>
      </c>
      <c r="AK49" s="14">
        <f t="shared" si="35"/>
        <v>39.967209898852225</v>
      </c>
      <c r="AL49" s="22">
        <f t="shared" si="4"/>
        <v>341.52691724050095</v>
      </c>
      <c r="AM49" s="62">
        <f t="shared" si="5"/>
        <v>634.86025057383426</v>
      </c>
      <c r="AN49" s="62">
        <f ca="1">AVERAGE(OFFSET($AM$3,0,0,'Données projet'!$E$10+1,1))-AVERAGE(OFFSET($H$3,0,0,'Données projet'!$E$10+1,1))</f>
        <v>272.2908884671595</v>
      </c>
      <c r="AO49" s="62">
        <f t="shared" si="36"/>
        <v>220.74777226152867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32.830251700919007</v>
      </c>
      <c r="AV49" s="23">
        <f>EXP(-LN(2)/25)*AV48+(1-EXP(-LN(2)/25))/(LN(2)/25)*Calculateur!AQ49*Calculateur!AS49*VLOOKUP('Données projet'!$B$10,Paramètres!$A$1:$I$89,3,0)*0.475*44/12</f>
        <v>23.778871829310631</v>
      </c>
      <c r="AW49" s="23">
        <f>EXP(-LN(2)/2)*AW48+(1-EXP(-LN(2)/2))/(LN(2)/2)*AQ49*AT49*VLOOKUP('Données projet'!$B$10,Paramètres!$A$1:$I$89,3,0)*0.475*44/12</f>
        <v>4.3704848691423743</v>
      </c>
      <c r="AX49" s="23">
        <f t="shared" si="6"/>
        <v>60.979608399372012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8.3866666666666703</v>
      </c>
      <c r="BD49" s="13">
        <f>IF('Données projet'!$A$88&gt;35,BD48+BC49-BL48,IF(A49&lt;'Données projet'!$A$88,$BA$205^A49,IF(A49='Données projet'!$A$88,'Données projet'!$B$88,BD48+BC49-BL48)))</f>
        <v>133.51333333333338</v>
      </c>
      <c r="BE49" s="14">
        <f>BD49*VLOOKUP('Données projet'!$B$11,Paramètres!$A$1:$I$89,3,0)*VLOOKUP('Données projet'!$B$11,Paramètres!$A$1:$I$89,5,0)</f>
        <v>120.80286400000004</v>
      </c>
      <c r="BF49" s="14">
        <f t="shared" si="37"/>
        <v>31.862181403517273</v>
      </c>
      <c r="BG49" s="22">
        <f t="shared" si="7"/>
        <v>265.89162074445932</v>
      </c>
      <c r="BH49" s="62">
        <f t="shared" si="8"/>
        <v>559.22495407779263</v>
      </c>
      <c r="BI49" s="62">
        <f ca="1">AVERAGE(OFFSET($BH$3,0,0,'Données projet'!$E$11+1,1))-AVERAGE(OFFSET($H$3,0,0,'Données projet'!$E$11+1,1))</f>
        <v>320.80580551060069</v>
      </c>
      <c r="BJ49" s="62">
        <f t="shared" si="38"/>
        <v>225.55225019382294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6.1190900400961565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6.1190900400961565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8.6</v>
      </c>
      <c r="BY49" s="13">
        <f>IF('Données projet'!$A$114&gt;35,BY48+BX49-CG48,IF(A49&lt;'Données projet'!$A$114,$BV$205^A49,IF(A49='Données projet'!$A$114,'Données projet'!$B$114,BY48+BX49-CG48)))</f>
        <v>226.60000000000005</v>
      </c>
      <c r="BZ49" s="14">
        <f>BY49*VLOOKUP('Données projet'!$B$12,Paramètres!$A$1:$I$89,3,0)*VLOOKUP('Données projet'!$B$12,Paramètres!$A$1:$I$89,5,0)</f>
        <v>166.14312000000004</v>
      </c>
      <c r="CA49" s="14">
        <f t="shared" si="39"/>
        <v>42.225060429180481</v>
      </c>
      <c r="CB49" s="22">
        <f t="shared" si="10"/>
        <v>362.90791424748937</v>
      </c>
      <c r="CC49" s="62">
        <f t="shared" si="11"/>
        <v>656.24124758082269</v>
      </c>
      <c r="CD49" s="62">
        <f ca="1">AVERAGE(OFFSET($CC$3,0,0,'Données projet'!$E$12+1,1))-AVERAGE(OFFSET($H$3,0,0,'Données projet'!$E$12+1,1))</f>
        <v>254.67898541152096</v>
      </c>
      <c r="CE49" s="62">
        <f t="shared" si="40"/>
        <v>251.52653810702509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11.376236396109153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11.376236396109153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21.939999999999998</v>
      </c>
      <c r="N50" s="14">
        <f>IF('Données projet'!$A$36&gt;35,N49+M50-V49,IF(A50&lt;'Données projet'!$A$36,$K$205^A50,IF(A50='Données projet'!$A$36,'Données projet'!$B$36,N49+M50-V49)))</f>
        <v>459.95</v>
      </c>
      <c r="O50" s="14">
        <f>N50*VLOOKUP('Données projet'!$B$9,Paramètres!$A$1:$I$89,3,0)*VLOOKUP('Données projet'!$B$9,Paramètres!$A$1:$I$89,5,0)</f>
        <v>257.11205000000001</v>
      </c>
      <c r="P50" s="14">
        <f t="shared" si="33"/>
        <v>62.106384111300585</v>
      </c>
      <c r="Q50" s="22">
        <f t="shared" si="53"/>
        <v>555.97210607718182</v>
      </c>
      <c r="R50" s="62">
        <f t="shared" si="0"/>
        <v>849.30543941051519</v>
      </c>
      <c r="S50" s="62">
        <f ca="1">AVERAGE(OFFSET($R$3,0,0,'Données projet'!$E$9+1,1))-AVERAGE(OFFSET($H$3,0,0,'Données projet'!$E$9+1,1))</f>
        <v>321.56347025977988</v>
      </c>
      <c r="T50" s="62">
        <f t="shared" si="34"/>
        <v>285.79375360040717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38.442406234673797</v>
      </c>
      <c r="AA50" s="23">
        <f>EXP(-LN(2)/25)*AA49+(1-EXP(-LN(2)/25))/(LN(2)/25)*Calculateur!V50*Calculateur!X50*VLOOKUP('Données projet'!$B$9,Paramètres!$A$1:$I$89,3,0)*0.475*44/12</f>
        <v>30.551369458125556</v>
      </c>
      <c r="AB50" s="23">
        <f>EXP(-LN(2)/2)*AB49+(1-EXP(-LN(2)/2))/(LN(2)/2)*V50*Y50*VLOOKUP('Données projet'!$B$9,Paramètres!$A$1:$I$89,3,0)*0.475*44/12</f>
        <v>2.7039213247741731</v>
      </c>
      <c r="AC50" s="24">
        <f t="shared" si="3"/>
        <v>71.697697017573518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10.199999999999999</v>
      </c>
      <c r="AI50" s="14">
        <f>IF('Données projet'!$A$62&gt;35,AI49+AH50-AQ49,IF(A50&lt;'Données projet'!$A$62,$AF$205^A50,IF(A50='Données projet'!$A$62,'Données projet'!$B$62,AI49+AH50-AQ49)))</f>
        <v>260.40000000000003</v>
      </c>
      <c r="AJ50" s="14">
        <f>AI50*VLOOKUP('Données projet'!$B$10,Paramètres!$A$1:$I$89,3,0)*VLOOKUP('Données projet'!$B$10,Paramètres!$A$1:$I$89,5,0)</f>
        <v>162.48960000000002</v>
      </c>
      <c r="AK50" s="14">
        <f t="shared" si="35"/>
        <v>41.403546033820696</v>
      </c>
      <c r="AL50" s="22">
        <f t="shared" si="4"/>
        <v>355.11389600890442</v>
      </c>
      <c r="AM50" s="62">
        <f t="shared" si="5"/>
        <v>648.44722934223773</v>
      </c>
      <c r="AN50" s="62">
        <f ca="1">AVERAGE(OFFSET($AM$3,0,0,'Données projet'!$E$10+1,1))-AVERAGE(OFFSET($H$3,0,0,'Données projet'!$E$10+1,1))</f>
        <v>272.2908884671595</v>
      </c>
      <c r="AO50" s="62">
        <f t="shared" si="36"/>
        <v>220.74777226152867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32.18647048954027</v>
      </c>
      <c r="AV50" s="23">
        <f>EXP(-LN(2)/25)*AV49+(1-EXP(-LN(2)/25))/(LN(2)/25)*Calculateur!AQ50*Calculateur!AS50*VLOOKUP('Données projet'!$B$10,Paramètres!$A$1:$I$89,3,0)*0.475*44/12</f>
        <v>23.128637328661611</v>
      </c>
      <c r="AW50" s="23">
        <f>EXP(-LN(2)/2)*AW49+(1-EXP(-LN(2)/2))/(LN(2)/2)*AQ50*AT50*VLOOKUP('Données projet'!$B$10,Paramètres!$A$1:$I$89,3,0)*0.475*44/12</f>
        <v>3.090399488043774</v>
      </c>
      <c r="AX50" s="23">
        <f t="shared" si="6"/>
        <v>58.405507306245653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>
        <f>VLOOKUP(A50,'Données projet'!$A$87:$I$107,2,0)</f>
        <v>141.9</v>
      </c>
      <c r="BB50" s="13">
        <f>VLOOKUP(A50,'Données projet'!$A$87:$I$107,9,0)</f>
        <v>8.3866666666666703</v>
      </c>
      <c r="BC50" s="13">
        <f t="array" ref="BC50">INDEX(BB:BB,MIN(IF(ISNUMBER(BB50:BB246),ROW(BB50:BB246),"")))</f>
        <v>8.3866666666666703</v>
      </c>
      <c r="BD50" s="13">
        <f>IF('Données projet'!$A$88&gt;35,BD49+BC50-BL49,IF(A50&lt;'Données projet'!$A$88,$BA$205^A50,IF(A50='Données projet'!$A$88,'Données projet'!$B$88,BD49+BC50-BL49)))</f>
        <v>141.90000000000003</v>
      </c>
      <c r="BE50" s="14">
        <f>BD50*VLOOKUP('Données projet'!$B$11,Paramètres!$A$1:$I$89,3,0)*VLOOKUP('Données projet'!$B$11,Paramètres!$A$1:$I$89,5,0)</f>
        <v>128.39112000000003</v>
      </c>
      <c r="BF50" s="14">
        <f t="shared" si="37"/>
        <v>33.624325384808856</v>
      </c>
      <c r="BG50" s="22">
        <f t="shared" si="7"/>
        <v>282.17690071187548</v>
      </c>
      <c r="BH50" s="62">
        <f t="shared" si="8"/>
        <v>575.51023404520879</v>
      </c>
      <c r="BI50" s="62">
        <f ca="1">AVERAGE(OFFSET($BH$3,0,0,'Données projet'!$E$11+1,1))-AVERAGE(OFFSET($H$3,0,0,'Données projet'!$E$11+1,1))</f>
        <v>320.80580551060069</v>
      </c>
      <c r="BJ50" s="62">
        <f t="shared" si="38"/>
        <v>225.55225019382294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5.9990984166862633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5.9990984166862633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8.6</v>
      </c>
      <c r="BY50" s="13">
        <f>IF('Données projet'!$A$114&gt;35,BY49+BX50-CG49,IF(A50&lt;'Données projet'!$A$114,$BV$205^A50,IF(A50='Données projet'!$A$114,'Données projet'!$B$114,BY49+BX50-CG49)))</f>
        <v>235.20000000000005</v>
      </c>
      <c r="BZ50" s="14">
        <f>BY50*VLOOKUP('Données projet'!$B$12,Paramètres!$A$1:$I$89,3,0)*VLOOKUP('Données projet'!$B$12,Paramètres!$A$1:$I$89,5,0)</f>
        <v>172.44864000000001</v>
      </c>
      <c r="CA50" s="14">
        <f t="shared" si="39"/>
        <v>43.637980200453676</v>
      </c>
      <c r="CB50" s="22">
        <f t="shared" si="10"/>
        <v>376.35086351579019</v>
      </c>
      <c r="CC50" s="62">
        <f t="shared" si="11"/>
        <v>669.68419684912351</v>
      </c>
      <c r="CD50" s="62">
        <f ca="1">AVERAGE(OFFSET($CC$3,0,0,'Données projet'!$E$12+1,1))-AVERAGE(OFFSET($H$3,0,0,'Données projet'!$E$12+1,1))</f>
        <v>254.67898541152096</v>
      </c>
      <c r="CE50" s="62">
        <f t="shared" si="40"/>
        <v>251.52653810702509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11.153155339200502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11.153155339200502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21.939999999999998</v>
      </c>
      <c r="N51" s="14">
        <f>IF('Données projet'!$A$36&gt;35,N50+M51-V50,IF(A51&lt;'Données projet'!$A$36,$K$205^A51,IF(A51='Données projet'!$A$36,'Données projet'!$B$36,N50+M51-V50)))</f>
        <v>481.89</v>
      </c>
      <c r="O51" s="14">
        <f>N51*VLOOKUP('Données projet'!$B$9,Paramètres!$A$1:$I$89,3,0)*VLOOKUP('Données projet'!$B$9,Paramètres!$A$1:$I$89,5,0)</f>
        <v>269.37651</v>
      </c>
      <c r="P51" s="14">
        <f t="shared" si="33"/>
        <v>64.716931175288423</v>
      </c>
      <c r="Q51" s="22">
        <f t="shared" si="53"/>
        <v>581.87941004696063</v>
      </c>
      <c r="R51" s="62">
        <f t="shared" si="0"/>
        <v>875.21274338029389</v>
      </c>
      <c r="S51" s="62">
        <f ca="1">AVERAGE(OFFSET($R$3,0,0,'Données projet'!$E$9+1,1))-AVERAGE(OFFSET($H$3,0,0,'Données projet'!$E$9+1,1))</f>
        <v>321.56347025977988</v>
      </c>
      <c r="T51" s="62">
        <f t="shared" si="34"/>
        <v>285.79375360040717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37.688574095964391</v>
      </c>
      <c r="AA51" s="23">
        <f>EXP(-LN(2)/25)*AA50+(1-EXP(-LN(2)/25))/(LN(2)/25)*Calculateur!V51*Calculateur!X51*VLOOKUP('Données projet'!$B$9,Paramètres!$A$1:$I$89,3,0)*0.475*44/12</f>
        <v>29.715940653666419</v>
      </c>
      <c r="AB51" s="23">
        <f>EXP(-LN(2)/2)*AB50+(1-EXP(-LN(2)/2))/(LN(2)/2)*V51*Y51*VLOOKUP('Données projet'!$B$9,Paramètres!$A$1:$I$89,3,0)*0.475*44/12</f>
        <v>1.9119611045427312</v>
      </c>
      <c r="AC51" s="24">
        <f t="shared" si="3"/>
        <v>69.316475854173532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10.199999999999999</v>
      </c>
      <c r="AI51" s="14">
        <f>IF('Données projet'!$A$62&gt;35,AI50+AH51-AQ50,IF(A51&lt;'Données projet'!$A$62,$AF$205^A51,IF(A51='Données projet'!$A$62,'Données projet'!$B$62,AI50+AH51-AQ50)))</f>
        <v>270.60000000000002</v>
      </c>
      <c r="AJ51" s="14">
        <f>AI51*VLOOKUP('Données projet'!$B$10,Paramètres!$A$1:$I$89,3,0)*VLOOKUP('Données projet'!$B$10,Paramètres!$A$1:$I$89,5,0)</f>
        <v>168.85440000000003</v>
      </c>
      <c r="AK51" s="14">
        <f t="shared" si="35"/>
        <v>42.833346412081703</v>
      </c>
      <c r="AL51" s="22">
        <f t="shared" si="4"/>
        <v>368.68949166770904</v>
      </c>
      <c r="AM51" s="62">
        <f t="shared" si="5"/>
        <v>662.02282500104229</v>
      </c>
      <c r="AN51" s="62">
        <f ca="1">AVERAGE(OFFSET($AM$3,0,0,'Données projet'!$E$10+1,1))-AVERAGE(OFFSET($H$3,0,0,'Données projet'!$E$10+1,1))</f>
        <v>272.2908884671595</v>
      </c>
      <c r="AO51" s="62">
        <f t="shared" si="36"/>
        <v>220.74777226152867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31.555313435048902</v>
      </c>
      <c r="AV51" s="23">
        <f>EXP(-LN(2)/25)*AV50+(1-EXP(-LN(2)/25))/(LN(2)/25)*Calculateur!AQ51*Calculateur!AS51*VLOOKUP('Données projet'!$B$10,Paramètres!$A$1:$I$89,3,0)*0.475*44/12</f>
        <v>22.496183524627185</v>
      </c>
      <c r="AW51" s="23">
        <f>EXP(-LN(2)/2)*AW50+(1-EXP(-LN(2)/2))/(LN(2)/2)*AQ51*AT51*VLOOKUP('Données projet'!$B$10,Paramètres!$A$1:$I$89,3,0)*0.475*44/12</f>
        <v>2.1852424345711876</v>
      </c>
      <c r="AX51" s="23">
        <f t="shared" si="6"/>
        <v>56.236739394247273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9.2800000000000011</v>
      </c>
      <c r="BD51" s="13">
        <f>IF('Données projet'!$A$88&gt;35,BD50+BC51-BL50,IF(A51&lt;'Données projet'!$A$88,$BA$205^A51,IF(A51='Données projet'!$A$88,'Données projet'!$B$88,BD50+BC51-BL50)))</f>
        <v>151.18000000000004</v>
      </c>
      <c r="BE51" s="14">
        <f>BD51*VLOOKUP('Données projet'!$B$11,Paramètres!$A$1:$I$89,3,0)*VLOOKUP('Données projet'!$B$11,Paramètres!$A$1:$I$89,5,0)</f>
        <v>136.78766400000004</v>
      </c>
      <c r="BF51" s="14">
        <f t="shared" si="37"/>
        <v>35.560113199341863</v>
      </c>
      <c r="BG51" s="22">
        <f t="shared" si="7"/>
        <v>300.17237862218713</v>
      </c>
      <c r="BH51" s="62">
        <f t="shared" si="8"/>
        <v>593.50571195552038</v>
      </c>
      <c r="BI51" s="62">
        <f ca="1">AVERAGE(OFFSET($BH$3,0,0,'Données projet'!$E$11+1,1))-AVERAGE(OFFSET($H$3,0,0,'Données projet'!$E$11+1,1))</f>
        <v>320.80580551060069</v>
      </c>
      <c r="BJ51" s="62">
        <f t="shared" si="38"/>
        <v>225.55225019382294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5.8814597558237747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5.8814597558237747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8.6</v>
      </c>
      <c r="BY51" s="13">
        <f>IF('Données projet'!$A$114&gt;35,BY50+BX51-CG50,IF(A51&lt;'Données projet'!$A$114,$BV$205^A51,IF(A51='Données projet'!$A$114,'Données projet'!$B$114,BY50+BX51-CG50)))</f>
        <v>243.80000000000004</v>
      </c>
      <c r="BZ51" s="14">
        <f>BY51*VLOOKUP('Données projet'!$B$12,Paramètres!$A$1:$I$89,3,0)*VLOOKUP('Données projet'!$B$12,Paramètres!$A$1:$I$89,5,0)</f>
        <v>178.75416000000001</v>
      </c>
      <c r="CA51" s="14">
        <f t="shared" si="39"/>
        <v>45.044897778507469</v>
      </c>
      <c r="CB51" s="22">
        <f t="shared" si="10"/>
        <v>389.78335896423386</v>
      </c>
      <c r="CC51" s="62">
        <f t="shared" si="11"/>
        <v>683.11669229756717</v>
      </c>
      <c r="CD51" s="62">
        <f ca="1">AVERAGE(OFFSET($CC$3,0,0,'Données projet'!$E$12+1,1))-AVERAGE(OFFSET($H$3,0,0,'Données projet'!$E$12+1,1))</f>
        <v>254.67898541152096</v>
      </c>
      <c r="CE51" s="62">
        <f t="shared" si="40"/>
        <v>251.52653810702509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10.934448765751821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10.934448765751821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503.83</v>
      </c>
      <c r="L52" s="13">
        <f>VLOOKUP(A52,'Données projet'!$A$35:$I$55,9,0)</f>
        <v>21.939999999999998</v>
      </c>
      <c r="M52" s="13">
        <f t="array" ref="M52">INDEX(L:L,MIN(IF(ISNUMBER(L52:L248),ROW(L52:L248),"")))</f>
        <v>21.939999999999998</v>
      </c>
      <c r="N52" s="14">
        <f>IF('Données projet'!$A$36&gt;35,N51+M52-V51,IF(A52&lt;'Données projet'!$A$36,$K$205^A52,IF(A52='Données projet'!$A$36,'Données projet'!$B$36,N51+M52-V51)))</f>
        <v>503.83</v>
      </c>
      <c r="O52" s="14">
        <f>N52*VLOOKUP('Données projet'!$B$9,Paramètres!$A$1:$I$89,3,0)*VLOOKUP('Données projet'!$B$9,Paramètres!$A$1:$I$89,5,0)</f>
        <v>281.64096999999998</v>
      </c>
      <c r="P52" s="14">
        <f t="shared" si="33"/>
        <v>67.313674987907362</v>
      </c>
      <c r="Q52" s="22">
        <f t="shared" si="53"/>
        <v>607.76267335393857</v>
      </c>
      <c r="R52" s="62">
        <f t="shared" si="0"/>
        <v>901.09600668727194</v>
      </c>
      <c r="S52" s="62">
        <f ca="1">AVERAGE(OFFSET($R$3,0,0,'Données projet'!$E$9+1,1))-AVERAGE(OFFSET($H$3,0,0,'Données projet'!$E$9+1,1))</f>
        <v>321.56347025977988</v>
      </c>
      <c r="T52" s="62">
        <f t="shared" si="34"/>
        <v>285.79375360040717</v>
      </c>
      <c r="U52" s="16">
        <f>IF(ISNA(VLOOKUP(A52,'Données projet'!$A$35:$I$55,3,0)),0,VLOOKUP(A52,'Données projet'!$A$35:$I$55,3,0))</f>
        <v>6</v>
      </c>
      <c r="V52" s="16">
        <f>IF(ISNA(VLOOKUP(A52,'Données projet'!$A$35:$I$55,4,0)),0,VLOOKUP(A52,'Données projet'!$A$35:$I$55,4,0))</f>
        <v>112.61</v>
      </c>
      <c r="W52" s="17">
        <f>IF(ISNA(VLOOKUP(A52,'Données projet'!$A$35:$I$55,5,0)),0%,VLOOKUP(A52,'Données projet'!$A$35:$I$55,5,0)*VLOOKUP('Données projet'!$B$9,Paramètres!$A$1:$I$89,7,0))</f>
        <v>0.33</v>
      </c>
      <c r="X52" s="17">
        <f>IF(ISNA(VLOOKUP(A52,'Données projet'!$A$35:$I$55,6,0)),0%,VLOOKUP(A52,'Données projet'!$A$35:$I$55,6,0)*VLOOKUP('Données projet'!$B$9,Paramètres!$A$1:$I$89,7,0))</f>
        <v>0.12100000000000001</v>
      </c>
      <c r="Y52" s="17">
        <f>IF(ISNA(VLOOKUP(A52,'Données projet'!$A$35:$I$55,7,0)),0%,VLOOKUP(A52,'Données projet'!$A$35:$I$55,7,0))</f>
        <v>0.18</v>
      </c>
      <c r="Z52" s="23">
        <f>EXP(-LN(2)/35)*Z51+(1-EXP(-LN(2)/35))/(LN(2)/35)*V52*W52*VLOOKUP('Données projet'!$B$9,Paramètres!$A$1:$I$89,3,0)*0.475*44/12</f>
        <v>64.506468716843159</v>
      </c>
      <c r="AA52" s="23">
        <f>EXP(-LN(2)/25)*AA51+(1-EXP(-LN(2)/25))/(LN(2)/25)*Calculateur!V52*Calculateur!X52*VLOOKUP('Données projet'!$B$9,Paramètres!$A$1:$I$89,3,0)*0.475*44/12</f>
        <v>38.967785566591544</v>
      </c>
      <c r="AB52" s="23">
        <f>EXP(-LN(2)/2)*AB51+(1-EXP(-LN(2)/2))/(LN(2)/2)*V52*Y52*VLOOKUP('Données projet'!$B$9,Paramètres!$A$1:$I$89,3,0)*0.475*44/12</f>
        <v>14.181078985827781</v>
      </c>
      <c r="AC52" s="24">
        <f t="shared" si="3"/>
        <v>117.65533326926248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10.199999999999999</v>
      </c>
      <c r="AI52" s="14">
        <f>IF('Données projet'!$A$62&gt;35,AI51+AH52-AQ51,IF(A52&lt;'Données projet'!$A$62,$AF$205^A52,IF(A52='Données projet'!$A$62,'Données projet'!$B$62,AI51+AH52-AQ51)))</f>
        <v>280.8</v>
      </c>
      <c r="AJ52" s="14">
        <f>AI52*VLOOKUP('Données projet'!$B$10,Paramètres!$A$1:$I$89,3,0)*VLOOKUP('Données projet'!$B$10,Paramètres!$A$1:$I$89,5,0)</f>
        <v>175.2192</v>
      </c>
      <c r="AK52" s="14">
        <f t="shared" si="35"/>
        <v>44.256885598570207</v>
      </c>
      <c r="AL52" s="22">
        <f t="shared" si="4"/>
        <v>382.25418241750975</v>
      </c>
      <c r="AM52" s="62">
        <f t="shared" si="5"/>
        <v>675.58751575084307</v>
      </c>
      <c r="AN52" s="62">
        <f ca="1">AVERAGE(OFFSET($AM$3,0,0,'Données projet'!$E$10+1,1))-AVERAGE(OFFSET($H$3,0,0,'Données projet'!$E$10+1,1))</f>
        <v>272.2908884671595</v>
      </c>
      <c r="AO52" s="62">
        <f t="shared" si="36"/>
        <v>220.74777226152867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30.936532985428322</v>
      </c>
      <c r="AV52" s="23">
        <f>EXP(-LN(2)/25)*AV51+(1-EXP(-LN(2)/25))/(LN(2)/25)*Calculateur!AQ52*Calculateur!AS52*VLOOKUP('Données projet'!$B$10,Paramètres!$A$1:$I$89,3,0)*0.475*44/12</f>
        <v>21.881024203123378</v>
      </c>
      <c r="AW52" s="23">
        <f>EXP(-LN(2)/2)*AW51+(1-EXP(-LN(2)/2))/(LN(2)/2)*AQ52*AT52*VLOOKUP('Données projet'!$B$10,Paramètres!$A$1:$I$89,3,0)*0.475*44/12</f>
        <v>1.5451997440218872</v>
      </c>
      <c r="AX52" s="23">
        <f t="shared" si="6"/>
        <v>54.362756932573589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9.2800000000000011</v>
      </c>
      <c r="BD52" s="13">
        <f>IF('Données projet'!$A$88&gt;35,BD51+BC52-BL51,IF(A52&lt;'Données projet'!$A$88,$BA$205^A52,IF(A52='Données projet'!$A$88,'Données projet'!$B$88,BD51+BC52-BL51)))</f>
        <v>160.46000000000004</v>
      </c>
      <c r="BE52" s="14">
        <f>BD52*VLOOKUP('Données projet'!$B$11,Paramètres!$A$1:$I$89,3,0)*VLOOKUP('Données projet'!$B$11,Paramètres!$A$1:$I$89,5,0)</f>
        <v>145.18420800000004</v>
      </c>
      <c r="BF52" s="14">
        <f t="shared" si="37"/>
        <v>37.482109825362677</v>
      </c>
      <c r="BG52" s="22">
        <f t="shared" si="7"/>
        <v>318.14383687917336</v>
      </c>
      <c r="BH52" s="62">
        <f t="shared" si="8"/>
        <v>611.47717021250673</v>
      </c>
      <c r="BI52" s="62">
        <f ca="1">AVERAGE(OFFSET($BH$3,0,0,'Données projet'!$E$11+1,1))-AVERAGE(OFFSET($H$3,0,0,'Données projet'!$E$11+1,1))</f>
        <v>320.80580551060069</v>
      </c>
      <c r="BJ52" s="62">
        <f t="shared" si="38"/>
        <v>225.55225019382294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5.7661279173483013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5.7661279173483013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8.6</v>
      </c>
      <c r="BY52" s="13">
        <f>IF('Données projet'!$A$114&gt;35,BY51+BX52-CG51,IF(A52&lt;'Données projet'!$A$114,$BV$205^A52,IF(A52='Données projet'!$A$114,'Données projet'!$B$114,BY51+BX52-CG51)))</f>
        <v>252.40000000000003</v>
      </c>
      <c r="BZ52" s="14">
        <f>BY52*VLOOKUP('Données projet'!$B$12,Paramètres!$A$1:$I$89,3,0)*VLOOKUP('Données projet'!$B$12,Paramètres!$A$1:$I$89,5,0)</f>
        <v>185.05968000000004</v>
      </c>
      <c r="CA52" s="14">
        <f t="shared" si="39"/>
        <v>46.44604914943055</v>
      </c>
      <c r="CB52" s="22">
        <f t="shared" si="10"/>
        <v>403.20581160192484</v>
      </c>
      <c r="CC52" s="62">
        <f t="shared" si="11"/>
        <v>696.53914493525815</v>
      </c>
      <c r="CD52" s="62">
        <f ca="1">AVERAGE(OFFSET($CC$3,0,0,'Données projet'!$E$12+1,1))-AVERAGE(OFFSET($H$3,0,0,'Données projet'!$E$12+1,1))</f>
        <v>254.67898541152096</v>
      </c>
      <c r="CE52" s="62">
        <f t="shared" si="40"/>
        <v>251.52653810702509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10.72003089481063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10.72003089481063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20.324285714285718</v>
      </c>
      <c r="N53" s="14">
        <f>IF('Données projet'!$A$36&gt;35,N52+M53-V52,IF(A53&lt;'Données projet'!$A$36,$K$205^A53,IF(A53='Données projet'!$A$36,'Données projet'!$B$36,N52+M53-V52)))</f>
        <v>411.54428571428571</v>
      </c>
      <c r="O53" s="14">
        <f>N53*VLOOKUP('Données projet'!$B$9,Paramètres!$A$1:$I$89,3,0)*VLOOKUP('Données projet'!$B$9,Paramètres!$A$1:$I$89,5,0)</f>
        <v>230.05325571428571</v>
      </c>
      <c r="P53" s="14">
        <f t="shared" si="33"/>
        <v>56.294196506523747</v>
      </c>
      <c r="Q53" s="22">
        <f t="shared" si="53"/>
        <v>498.72181261790985</v>
      </c>
      <c r="R53" s="62">
        <f t="shared" si="0"/>
        <v>792.05514595124316</v>
      </c>
      <c r="S53" s="62">
        <f ca="1">AVERAGE(OFFSET($R$3,0,0,'Données projet'!$E$9+1,1))-AVERAGE(OFFSET($H$3,0,0,'Données projet'!$E$9+1,1))</f>
        <v>321.56347025977988</v>
      </c>
      <c r="T53" s="62">
        <f t="shared" si="34"/>
        <v>285.79375360040717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63.241536210366782</v>
      </c>
      <c r="AA53" s="23">
        <f>EXP(-LN(2)/25)*AA52+(1-EXP(-LN(2)/25))/(LN(2)/25)*Calculateur!V53*Calculateur!X53*VLOOKUP('Données projet'!$B$9,Paramètres!$A$1:$I$89,3,0)*0.475*44/12</f>
        <v>37.902209421046315</v>
      </c>
      <c r="AB53" s="23">
        <f>EXP(-LN(2)/2)*AB52+(1-EXP(-LN(2)/2))/(LN(2)/2)*V53*Y53*VLOOKUP('Données projet'!$B$9,Paramètres!$A$1:$I$89,3,0)*0.475*44/12</f>
        <v>10.027537115420873</v>
      </c>
      <c r="AC53" s="24">
        <f t="shared" si="3"/>
        <v>111.17128274683397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291</v>
      </c>
      <c r="AG53" s="13">
        <f>VLOOKUP(A53,'Données projet'!$A$61:$I$81,9,0)</f>
        <v>10.199999999999999</v>
      </c>
      <c r="AH53" s="13">
        <f t="array" ref="AH53">INDEX(AG:AG,MIN(IF(ISNUMBER(AG53:AG249),ROW(AG53:AG249),"")))</f>
        <v>10.199999999999999</v>
      </c>
      <c r="AI53" s="14">
        <f>IF('Données projet'!$A$62&gt;35,AI52+AH53-AQ52,IF(A53&lt;'Données projet'!$A$62,$AF$205^A53,IF(A53='Données projet'!$A$62,'Données projet'!$B$62,AI52+AH53-AQ52)))</f>
        <v>291</v>
      </c>
      <c r="AJ53" s="14">
        <f>AI53*VLOOKUP('Données projet'!$B$10,Paramètres!$A$1:$I$89,3,0)*VLOOKUP('Données projet'!$B$10,Paramètres!$A$1:$I$89,5,0)</f>
        <v>181.584</v>
      </c>
      <c r="AK53" s="14">
        <f t="shared" si="35"/>
        <v>45.674417080701005</v>
      </c>
      <c r="AL53" s="22">
        <f t="shared" si="4"/>
        <v>395.80840974888753</v>
      </c>
      <c r="AM53" s="62">
        <f t="shared" si="5"/>
        <v>689.14174308222084</v>
      </c>
      <c r="AN53" s="62">
        <f ca="1">AVERAGE(OFFSET($AM$3,0,0,'Données projet'!$E$10+1,1))-AVERAGE(OFFSET($H$3,0,0,'Données projet'!$E$10+1,1))</f>
        <v>272.2908884671595</v>
      </c>
      <c r="AO53" s="62">
        <f t="shared" si="36"/>
        <v>220.74777226152867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0.3</v>
      </c>
      <c r="AS53" s="17">
        <f>IF(ISNA(VLOOKUP(A53,'Données projet'!$A$61:$I$81,6,0)),0%,VLOOKUP(A53,'Données projet'!$A$61:$I$81,6,0)*VLOOKUP('Données projet'!$B$10,Paramètres!$A$1:$I$89,7,0))</f>
        <v>0.16800000000000001</v>
      </c>
      <c r="AT53" s="17">
        <f>IF(ISNA(VLOOKUP(A53,'Données projet'!$A$61:$I$81,7,0)),0%,VLOOKUP(A53,'Données projet'!$A$61:$I$81,7,0))</f>
        <v>0.22</v>
      </c>
      <c r="AU53" s="23">
        <f>EXP(-LN(2)/35)*AU52+(1-EXP(-LN(2)/35))/(LN(2)/35)*AQ53*AR53*VLOOKUP('Données projet'!$B$10,Paramètres!$A$1:$I$89,3,0)*0.475*44/12</f>
        <v>37.28320669263789</v>
      </c>
      <c r="AV53" s="23">
        <f>EXP(-LN(2)/25)*AV52+(1-EXP(-LN(2)/25))/(LN(2)/25)*Calculateur!AQ53*Calculateur!AS53*VLOOKUP('Données projet'!$B$10,Paramètres!$A$1:$I$89,3,0)*0.475*44/12</f>
        <v>25.161214177512282</v>
      </c>
      <c r="AW53" s="23">
        <f>EXP(-LN(2)/2)*AW52+(1-EXP(-LN(2)/2))/(LN(2)/2)*AQ53*AT53*VLOOKUP('Données projet'!$B$10,Paramètres!$A$1:$I$89,3,0)*0.475*44/12</f>
        <v>5.4447410118097253</v>
      </c>
      <c r="AX53" s="23">
        <f t="shared" si="6"/>
        <v>67.889161881959893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9.2800000000000011</v>
      </c>
      <c r="BD53" s="13">
        <f>IF('Données projet'!$A$88&gt;35,BD52+BC53-BL52,IF(A53&lt;'Données projet'!$A$88,$BA$205^A53,IF(A53='Données projet'!$A$88,'Données projet'!$B$88,BD52+BC53-BL52)))</f>
        <v>169.74000000000004</v>
      </c>
      <c r="BE53" s="14">
        <f>BD53*VLOOKUP('Données projet'!$B$11,Paramètres!$A$1:$I$89,3,0)*VLOOKUP('Données projet'!$B$11,Paramètres!$A$1:$I$89,5,0)</f>
        <v>153.58075200000005</v>
      </c>
      <c r="BF53" s="14">
        <f t="shared" si="37"/>
        <v>39.39120372702024</v>
      </c>
      <c r="BG53" s="22">
        <f t="shared" si="7"/>
        <v>336.092822891227</v>
      </c>
      <c r="BH53" s="62">
        <f t="shared" si="8"/>
        <v>629.42615622456037</v>
      </c>
      <c r="BI53" s="62">
        <f ca="1">AVERAGE(OFFSET($BH$3,0,0,'Données projet'!$E$11+1,1))-AVERAGE(OFFSET($H$3,0,0,'Données projet'!$E$11+1,1))</f>
        <v>320.80580551060069</v>
      </c>
      <c r="BJ53" s="62">
        <f t="shared" si="38"/>
        <v>225.55225019382294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5.6530576658798566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5.6530576658798566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261</v>
      </c>
      <c r="BW53" s="13">
        <f>VLOOKUP(A53,'Données projet'!$A$113:$I$133,9,0)</f>
        <v>8.6</v>
      </c>
      <c r="BX53" s="13">
        <f t="array" ref="BX53">INDEX(BW:BW,MIN(IF(ISNUMBER(BW53:BW249),ROW(BW53:BW249),"")))</f>
        <v>8.6</v>
      </c>
      <c r="BY53" s="13">
        <f>IF('Données projet'!$A$114&gt;35,BY52+BX53-CG52,IF(A53&lt;'Données projet'!$A$114,$BV$205^A53,IF(A53='Données projet'!$A$114,'Données projet'!$B$114,BY52+BX53-CG52)))</f>
        <v>261.00000000000006</v>
      </c>
      <c r="BZ53" s="14">
        <f>BY53*VLOOKUP('Données projet'!$B$12,Paramètres!$A$1:$I$89,3,0)*VLOOKUP('Données projet'!$B$12,Paramètres!$A$1:$I$89,5,0)</f>
        <v>191.36520000000004</v>
      </c>
      <c r="CA53" s="14">
        <f t="shared" si="39"/>
        <v>47.841653305605021</v>
      </c>
      <c r="CB53" s="22">
        <f t="shared" si="10"/>
        <v>416.61860284059549</v>
      </c>
      <c r="CC53" s="62">
        <f t="shared" si="11"/>
        <v>709.95193617392874</v>
      </c>
      <c r="CD53" s="62">
        <f ca="1">AVERAGE(OFFSET($CC$3,0,0,'Données projet'!$E$12+1,1))-AVERAGE(OFFSET($H$3,0,0,'Données projet'!$E$12+1,1))</f>
        <v>254.67898541152096</v>
      </c>
      <c r="CE53" s="62">
        <f t="shared" si="40"/>
        <v>251.52653810702509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19</v>
      </c>
      <c r="CH53" s="17">
        <f>IF(ISNA(VLOOKUP(A53,'Données projet'!$A$113:$I$133,5,0)),0%,VLOOKUP(A53,'Données projet'!$A$113:$I$133,5,0)*VLOOKUP('Données projet'!$B$12,Paramètres!$A$1:$I$89,7,0))</f>
        <v>0.215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13.820836281624096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13.820836281624096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20.324285714285718</v>
      </c>
      <c r="N54" s="14">
        <f>IF('Données projet'!$A$36&gt;35,N53+M54-V53,IF(A54&lt;'Données projet'!$A$36,$K$205^A54,IF(A54='Données projet'!$A$36,'Données projet'!$B$36,N53+M54-V53)))</f>
        <v>431.86857142857144</v>
      </c>
      <c r="O54" s="14">
        <f>N54*VLOOKUP('Données projet'!$B$9,Paramètres!$A$1:$I$89,3,0)*VLOOKUP('Données projet'!$B$9,Paramètres!$A$1:$I$89,5,0)</f>
        <v>241.41453142857142</v>
      </c>
      <c r="P54" s="14">
        <f t="shared" si="33"/>
        <v>58.743769641045859</v>
      </c>
      <c r="Q54" s="22">
        <f t="shared" si="53"/>
        <v>522.77570769625004</v>
      </c>
      <c r="R54" s="62">
        <f t="shared" si="0"/>
        <v>816.1090410295833</v>
      </c>
      <c r="S54" s="62">
        <f ca="1">AVERAGE(OFFSET($R$3,0,0,'Données projet'!$E$9+1,1))-AVERAGE(OFFSET($H$3,0,0,'Données projet'!$E$9+1,1))</f>
        <v>321.56347025977988</v>
      </c>
      <c r="T54" s="62">
        <f t="shared" si="34"/>
        <v>285.79375360040717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62.001408258809761</v>
      </c>
      <c r="AA54" s="23">
        <f>EXP(-LN(2)/25)*AA53+(1-EXP(-LN(2)/25))/(LN(2)/25)*Calculateur!V54*Calculateur!X54*VLOOKUP('Données projet'!$B$9,Paramètres!$A$1:$I$89,3,0)*0.475*44/12</f>
        <v>36.865771511237234</v>
      </c>
      <c r="AB54" s="23">
        <f>EXP(-LN(2)/2)*AB53+(1-EXP(-LN(2)/2))/(LN(2)/2)*V54*Y54*VLOOKUP('Données projet'!$B$9,Paramètres!$A$1:$I$89,3,0)*0.475*44/12</f>
        <v>7.0905394929138916</v>
      </c>
      <c r="AC54" s="24">
        <f t="shared" si="3"/>
        <v>105.95771926296088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9.4</v>
      </c>
      <c r="AI54" s="14">
        <f>IF('Données projet'!$A$62&gt;35,AI53+AH54-AQ53,IF(A54&lt;'Données projet'!$A$62,$AF$205^A54,IF(A54='Données projet'!$A$62,'Données projet'!$B$62,AI53+AH54-AQ53)))</f>
        <v>272.39999999999998</v>
      </c>
      <c r="AJ54" s="14">
        <f>AI54*VLOOKUP('Données projet'!$B$10,Paramètres!$A$1:$I$89,3,0)*VLOOKUP('Données projet'!$B$10,Paramètres!$A$1:$I$89,5,0)</f>
        <v>169.9776</v>
      </c>
      <c r="AK54" s="14">
        <f t="shared" si="35"/>
        <v>43.085006691987957</v>
      </c>
      <c r="AL54" s="22">
        <f t="shared" si="4"/>
        <v>371.08403998854561</v>
      </c>
      <c r="AM54" s="62">
        <f t="shared" si="5"/>
        <v>664.41737332187893</v>
      </c>
      <c r="AN54" s="62">
        <f ca="1">AVERAGE(OFFSET($AM$3,0,0,'Données projet'!$E$10+1,1))-AVERAGE(OFFSET($H$3,0,0,'Données projet'!$E$10+1,1))</f>
        <v>272.2908884671595</v>
      </c>
      <c r="AO54" s="62">
        <f t="shared" si="36"/>
        <v>220.74777226152867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36.552105749905905</v>
      </c>
      <c r="AV54" s="23">
        <f>EXP(-LN(2)/25)*AV53+(1-EXP(-LN(2)/25))/(LN(2)/25)*Calculateur!AQ54*Calculateur!AS54*VLOOKUP('Données projet'!$B$10,Paramètres!$A$1:$I$89,3,0)*0.475*44/12</f>
        <v>24.473179452657462</v>
      </c>
      <c r="AW54" s="23">
        <f>EXP(-LN(2)/2)*AW53+(1-EXP(-LN(2)/2))/(LN(2)/2)*AQ54*AT54*VLOOKUP('Données projet'!$B$10,Paramètres!$A$1:$I$89,3,0)*0.475*44/12</f>
        <v>3.850013291255161</v>
      </c>
      <c r="AX54" s="23">
        <f t="shared" si="6"/>
        <v>64.875298493818534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>
        <f>VLOOKUP(A54,'Données projet'!$A$87:$I$107,2,0)</f>
        <v>179.02</v>
      </c>
      <c r="BB54" s="13">
        <f>VLOOKUP(A54,'Données projet'!$A$87:$I$107,9,0)</f>
        <v>9.2800000000000011</v>
      </c>
      <c r="BC54" s="13">
        <f t="array" ref="BC54">INDEX(BB:BB,MIN(IF(ISNUMBER(BB54:BB250),ROW(BB54:BB250),"")))</f>
        <v>9.2800000000000011</v>
      </c>
      <c r="BD54" s="13">
        <f>IF('Données projet'!$A$88&gt;35,BD53+BC54-BL53,IF(A54&lt;'Données projet'!$A$88,$BA$205^A54,IF(A54='Données projet'!$A$88,'Données projet'!$B$88,BD53+BC54-BL53)))</f>
        <v>179.02000000000004</v>
      </c>
      <c r="BE54" s="14">
        <f>BD54*VLOOKUP('Données projet'!$B$11,Paramètres!$A$1:$I$89,3,0)*VLOOKUP('Données projet'!$B$11,Paramètres!$A$1:$I$89,5,0)</f>
        <v>161.97729600000002</v>
      </c>
      <c r="BF54" s="14">
        <f t="shared" si="37"/>
        <v>41.288180733775725</v>
      </c>
      <c r="BG54" s="22">
        <f t="shared" si="7"/>
        <v>354.02070531132608</v>
      </c>
      <c r="BH54" s="62">
        <f t="shared" si="8"/>
        <v>647.35403864465934</v>
      </c>
      <c r="BI54" s="62">
        <f ca="1">AVERAGE(OFFSET($BH$3,0,0,'Données projet'!$E$11+1,1))-AVERAGE(OFFSET($H$3,0,0,'Données projet'!$E$11+1,1))</f>
        <v>320.80580551060069</v>
      </c>
      <c r="BJ54" s="62">
        <f t="shared" si="38"/>
        <v>225.55225019382294</v>
      </c>
      <c r="BK54" s="16">
        <f>IF(ISNA(VLOOKUP(A54,'Données projet'!$A$87:$I$107,3,0)),0,VLOOKUP(A54,'Données projet'!$A$87:$I$107,3,0))</f>
        <v>2</v>
      </c>
      <c r="BL54" s="16">
        <f>IF(ISNA(VLOOKUP(A54,'Données projet'!$A$87:$I$107,4,0)),0,VLOOKUP(A54,'Données projet'!$A$87:$I$107,4,0))</f>
        <v>46.13</v>
      </c>
      <c r="BM54" s="17">
        <f>IF(ISNA(VLOOKUP(A54,'Données projet'!$A$87:$I$107,5,0)),0%,VLOOKUP(A54,'Données projet'!$A$87:$I$107,5,0)*VLOOKUP('Données projet'!$B$11,Paramètres!$A$1:$I$89,7,0))</f>
        <v>8.6000000000000007E-2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9.5102955152299646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9.5102955152299646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7.4</v>
      </c>
      <c r="BY54" s="13">
        <f>IF('Données projet'!$A$114&gt;35,BY53+BX54-CG53,IF(A54&lt;'Données projet'!$A$114,$BV$205^A54,IF(A54='Données projet'!$A$114,'Données projet'!$B$114,BY53+BX54-CG53)))</f>
        <v>249.40000000000003</v>
      </c>
      <c r="BZ54" s="14">
        <f>BY54*VLOOKUP('Données projet'!$B$12,Paramètres!$A$1:$I$89,3,0)*VLOOKUP('Données projet'!$B$12,Paramètres!$A$1:$I$89,5,0)</f>
        <v>182.86008000000001</v>
      </c>
      <c r="CA54" s="14">
        <f t="shared" si="39"/>
        <v>45.957916284909473</v>
      </c>
      <c r="CB54" s="22">
        <f t="shared" si="10"/>
        <v>398.52467686288401</v>
      </c>
      <c r="CC54" s="62">
        <f t="shared" si="11"/>
        <v>691.85801019621726</v>
      </c>
      <c r="CD54" s="62">
        <f ca="1">AVERAGE(OFFSET($CC$3,0,0,'Données projet'!$E$12+1,1))-AVERAGE(OFFSET($H$3,0,0,'Données projet'!$E$12+1,1))</f>
        <v>254.67898541152096</v>
      </c>
      <c r="CE54" s="62">
        <f t="shared" si="40"/>
        <v>251.52653810702509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13.549818112019198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13.549818112019198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20.324285714285718</v>
      </c>
      <c r="N55" s="14">
        <f>IF('Données projet'!$A$36&gt;35,N54+M55-V54,IF(A55&lt;'Données projet'!$A$36,$K$205^A55,IF(A55='Données projet'!$A$36,'Données projet'!$B$36,N54+M55-V54)))</f>
        <v>452.19285714285718</v>
      </c>
      <c r="O55" s="14">
        <f>N55*VLOOKUP('Données projet'!$B$9,Paramètres!$A$1:$I$89,3,0)*VLOOKUP('Données projet'!$B$9,Paramètres!$A$1:$I$89,5,0)</f>
        <v>252.77580714285716</v>
      </c>
      <c r="P55" s="14">
        <f t="shared" si="33"/>
        <v>61.179955647848509</v>
      </c>
      <c r="Q55" s="22">
        <f t="shared" si="53"/>
        <v>546.80628686047896</v>
      </c>
      <c r="R55" s="62">
        <f t="shared" si="0"/>
        <v>840.13962019381233</v>
      </c>
      <c r="S55" s="62">
        <f ca="1">AVERAGE(OFFSET($R$3,0,0,'Données projet'!$E$9+1,1))-AVERAGE(OFFSET($H$3,0,0,'Données projet'!$E$9+1,1))</f>
        <v>321.56347025977988</v>
      </c>
      <c r="T55" s="62">
        <f t="shared" si="34"/>
        <v>285.79375360040717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60.785598459979411</v>
      </c>
      <c r="AA55" s="23">
        <f>EXP(-LN(2)/25)*AA54+(1-EXP(-LN(2)/25))/(LN(2)/25)*Calculateur!V55*Calculateur!X55*VLOOKUP('Données projet'!$B$9,Paramètres!$A$1:$I$89,3,0)*0.475*44/12</f>
        <v>35.857675050575786</v>
      </c>
      <c r="AB55" s="23">
        <f>EXP(-LN(2)/2)*AB54+(1-EXP(-LN(2)/2))/(LN(2)/2)*V55*Y55*VLOOKUP('Données projet'!$B$9,Paramètres!$A$1:$I$89,3,0)*0.475*44/12</f>
        <v>5.0137685577104367</v>
      </c>
      <c r="AC55" s="24">
        <f t="shared" si="3"/>
        <v>101.65704206826562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9.4</v>
      </c>
      <c r="AI55" s="14">
        <f>IF('Données projet'!$A$62&gt;35,AI54+AH55-AQ54,IF(A55&lt;'Données projet'!$A$62,$AF$205^A55,IF(A55='Données projet'!$A$62,'Données projet'!$B$62,AI54+AH55-AQ54)))</f>
        <v>281.79999999999995</v>
      </c>
      <c r="AJ55" s="14">
        <f>AI55*VLOOKUP('Données projet'!$B$10,Paramètres!$A$1:$I$89,3,0)*VLOOKUP('Données projet'!$B$10,Paramètres!$A$1:$I$89,5,0)</f>
        <v>175.8432</v>
      </c>
      <c r="AK55" s="14">
        <f t="shared" si="35"/>
        <v>44.396120960608684</v>
      </c>
      <c r="AL55" s="22">
        <f t="shared" si="4"/>
        <v>383.58348400639335</v>
      </c>
      <c r="AM55" s="62">
        <f t="shared" si="5"/>
        <v>676.91681733972666</v>
      </c>
      <c r="AN55" s="62">
        <f ca="1">AVERAGE(OFFSET($AM$3,0,0,'Données projet'!$E$10+1,1))-AVERAGE(OFFSET($H$3,0,0,'Données projet'!$E$10+1,1))</f>
        <v>272.2908884671595</v>
      </c>
      <c r="AO55" s="62">
        <f t="shared" si="36"/>
        <v>220.74777226152867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35.83534125073335</v>
      </c>
      <c r="AV55" s="23">
        <f>EXP(-LN(2)/25)*AV54+(1-EXP(-LN(2)/25))/(LN(2)/25)*Calculateur!AQ55*Calculateur!AS55*VLOOKUP('Données projet'!$B$10,Paramètres!$A$1:$I$89,3,0)*0.475*44/12</f>
        <v>23.803959073535971</v>
      </c>
      <c r="AW55" s="23">
        <f>EXP(-LN(2)/2)*AW54+(1-EXP(-LN(2)/2))/(LN(2)/2)*AQ55*AT55*VLOOKUP('Données projet'!$B$10,Paramètres!$A$1:$I$89,3,0)*0.475*44/12</f>
        <v>2.7223705059048631</v>
      </c>
      <c r="AX55" s="23">
        <f t="shared" si="6"/>
        <v>62.361670830174184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7.5833333333333242</v>
      </c>
      <c r="BD55" s="13">
        <f>IF('Données projet'!$A$88&gt;35,BD54+BC55-BL54,IF(A55&lt;'Données projet'!$A$88,$BA$205^A55,IF(A55='Données projet'!$A$88,'Données projet'!$B$88,BD54+BC55-BL54)))</f>
        <v>140.47333333333336</v>
      </c>
      <c r="BE55" s="14">
        <f>BD55*VLOOKUP('Données projet'!$B$11,Paramètres!$A$1:$I$89,3,0)*VLOOKUP('Données projet'!$B$11,Paramètres!$A$1:$I$89,5,0)</f>
        <v>127.10027200000002</v>
      </c>
      <c r="BF55" s="14">
        <f t="shared" si="37"/>
        <v>33.325440183913663</v>
      </c>
      <c r="BG55" s="22">
        <f t="shared" si="7"/>
        <v>279.40811538698296</v>
      </c>
      <c r="BH55" s="62">
        <f t="shared" si="8"/>
        <v>572.74144872031627</v>
      </c>
      <c r="BI55" s="62">
        <f ca="1">AVERAGE(OFFSET($BH$3,0,0,'Données projet'!$E$11+1,1))-AVERAGE(OFFSET($H$3,0,0,'Données projet'!$E$11+1,1))</f>
        <v>320.80580551060069</v>
      </c>
      <c r="BJ55" s="62">
        <f t="shared" si="38"/>
        <v>225.55225019382294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9.3238044208837962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9.3238044208837962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7.4</v>
      </c>
      <c r="BY55" s="13">
        <f>IF('Données projet'!$A$114&gt;35,BY54+BX55-CG54,IF(A55&lt;'Données projet'!$A$114,$BV$205^A55,IF(A55='Données projet'!$A$114,'Données projet'!$B$114,BY54+BX55-CG54)))</f>
        <v>256.8</v>
      </c>
      <c r="BZ55" s="14">
        <f>BY55*VLOOKUP('Données projet'!$B$12,Paramètres!$A$1:$I$89,3,0)*VLOOKUP('Données projet'!$B$12,Paramètres!$A$1:$I$89,5,0)</f>
        <v>188.28576000000001</v>
      </c>
      <c r="CA55" s="14">
        <f t="shared" si="39"/>
        <v>47.160759045639651</v>
      </c>
      <c r="CB55" s="22">
        <f t="shared" si="10"/>
        <v>410.06935400448907</v>
      </c>
      <c r="CC55" s="62">
        <f t="shared" si="11"/>
        <v>703.40268733782239</v>
      </c>
      <c r="CD55" s="62">
        <f ca="1">AVERAGE(OFFSET($CC$3,0,0,'Données projet'!$E$12+1,1))-AVERAGE(OFFSET($H$3,0,0,'Données projet'!$E$12+1,1))</f>
        <v>254.67898541152096</v>
      </c>
      <c r="CE55" s="62">
        <f t="shared" si="40"/>
        <v>251.52653810702509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13.28411444341549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13.28411444341549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20.324285714285718</v>
      </c>
      <c r="N56" s="14">
        <f>IF('Données projet'!$A$36&gt;35,N55+M56-V55,IF(A56&lt;'Données projet'!$A$36,$K$205^A56,IF(A56='Données projet'!$A$36,'Données projet'!$B$36,N55+M56-V55)))</f>
        <v>472.51714285714291</v>
      </c>
      <c r="O56" s="14">
        <f>N56*VLOOKUP('Données projet'!$B$9,Paramètres!$A$1:$I$89,3,0)*VLOOKUP('Données projet'!$B$9,Paramètres!$A$1:$I$89,5,0)</f>
        <v>264.1370828571429</v>
      </c>
      <c r="P56" s="14">
        <f t="shared" si="33"/>
        <v>63.60342497029243</v>
      </c>
      <c r="Q56" s="22">
        <f t="shared" si="53"/>
        <v>570.81471779944991</v>
      </c>
      <c r="R56" s="62">
        <f t="shared" si="0"/>
        <v>864.14805113278317</v>
      </c>
      <c r="S56" s="62">
        <f ca="1">AVERAGE(OFFSET($R$3,0,0,'Données projet'!$E$9+1,1))-AVERAGE(OFFSET($H$3,0,0,'Données projet'!$E$9+1,1))</f>
        <v>321.56347025977988</v>
      </c>
      <c r="T56" s="62">
        <f t="shared" si="34"/>
        <v>285.79375360040717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59.593629949733369</v>
      </c>
      <c r="AA56" s="23">
        <f>EXP(-LN(2)/25)*AA55+(1-EXP(-LN(2)/25))/(LN(2)/25)*Calculateur!V56*Calculateur!X56*VLOOKUP('Données projet'!$B$9,Paramètres!$A$1:$I$89,3,0)*0.475*44/12</f>
        <v>34.877145040644614</v>
      </c>
      <c r="AB56" s="23">
        <f>EXP(-LN(2)/2)*AB55+(1-EXP(-LN(2)/2))/(LN(2)/2)*V56*Y56*VLOOKUP('Données projet'!$B$9,Paramètres!$A$1:$I$89,3,0)*0.475*44/12</f>
        <v>3.5452697464569458</v>
      </c>
      <c r="AC56" s="24">
        <f t="shared" si="3"/>
        <v>98.016044736834928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9.4</v>
      </c>
      <c r="AI56" s="14">
        <f>IF('Données projet'!$A$62&gt;35,AI55+AH56-AQ55,IF(A56&lt;'Données projet'!$A$62,$AF$205^A56,IF(A56='Données projet'!$A$62,'Données projet'!$B$62,AI55+AH56-AQ55)))</f>
        <v>291.19999999999993</v>
      </c>
      <c r="AJ56" s="14">
        <f>AI56*VLOOKUP('Données projet'!$B$10,Paramètres!$A$1:$I$89,3,0)*VLOOKUP('Données projet'!$B$10,Paramètres!$A$1:$I$89,5,0)</f>
        <v>181.70879999999994</v>
      </c>
      <c r="AK56" s="14">
        <f t="shared" si="35"/>
        <v>45.702153370067769</v>
      </c>
      <c r="AL56" s="22">
        <f t="shared" si="4"/>
        <v>396.07407711953459</v>
      </c>
      <c r="AM56" s="62">
        <f t="shared" si="5"/>
        <v>689.40741045286791</v>
      </c>
      <c r="AN56" s="62">
        <f ca="1">AVERAGE(OFFSET($AM$3,0,0,'Données projet'!$E$10+1,1))-AVERAGE(OFFSET($H$3,0,0,'Données projet'!$E$10+1,1))</f>
        <v>272.2908884671595</v>
      </c>
      <c r="AO56" s="62">
        <f t="shared" si="36"/>
        <v>220.74777226152867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35.132632066206391</v>
      </c>
      <c r="AV56" s="23">
        <f>EXP(-LN(2)/25)*AV55+(1-EXP(-LN(2)/25))/(LN(2)/25)*Calculateur!AQ56*Calculateur!AS56*VLOOKUP('Données projet'!$B$10,Paramètres!$A$1:$I$89,3,0)*0.475*44/12</f>
        <v>23.153038560874325</v>
      </c>
      <c r="AW56" s="23">
        <f>EXP(-LN(2)/2)*AW55+(1-EXP(-LN(2)/2))/(LN(2)/2)*AQ56*AT56*VLOOKUP('Données projet'!$B$10,Paramètres!$A$1:$I$89,3,0)*0.475*44/12</f>
        <v>1.9250066456275807</v>
      </c>
      <c r="AX56" s="23">
        <f t="shared" si="6"/>
        <v>60.210677272708303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7.5833333333333242</v>
      </c>
      <c r="BD56" s="13">
        <f>IF('Données projet'!$A$88&gt;35,BD55+BC56-BL55,IF(A56&lt;'Données projet'!$A$88,$BA$205^A56,IF(A56='Données projet'!$A$88,'Données projet'!$B$88,BD55+BC56-BL55)))</f>
        <v>148.05666666666667</v>
      </c>
      <c r="BE56" s="14">
        <f>BD56*VLOOKUP('Données projet'!$B$11,Paramètres!$A$1:$I$89,3,0)*VLOOKUP('Données projet'!$B$11,Paramètres!$A$1:$I$89,5,0)</f>
        <v>133.96167199999999</v>
      </c>
      <c r="BF56" s="14">
        <f t="shared" si="37"/>
        <v>34.910179926312189</v>
      </c>
      <c r="BG56" s="22">
        <f t="shared" si="7"/>
        <v>294.11847543832704</v>
      </c>
      <c r="BH56" s="62">
        <f t="shared" si="8"/>
        <v>587.45180877166035</v>
      </c>
      <c r="BI56" s="62">
        <f ca="1">AVERAGE(OFFSET($BH$3,0,0,'Données projet'!$E$11+1,1))-AVERAGE(OFFSET($H$3,0,0,'Données projet'!$E$11+1,1))</f>
        <v>320.80580551060069</v>
      </c>
      <c r="BJ56" s="62">
        <f t="shared" si="38"/>
        <v>225.55225019382294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9.1409703031494214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9.1409703031494214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7.4</v>
      </c>
      <c r="BY56" s="13">
        <f>IF('Données projet'!$A$114&gt;35,BY55+BX56-CG55,IF(A56&lt;'Données projet'!$A$114,$BV$205^A56,IF(A56='Données projet'!$A$114,'Données projet'!$B$114,BY55+BX56-CG55)))</f>
        <v>264.2</v>
      </c>
      <c r="BZ56" s="14">
        <f>BY56*VLOOKUP('Données projet'!$B$12,Paramètres!$A$1:$I$89,3,0)*VLOOKUP('Données projet'!$B$12,Paramètres!$A$1:$I$89,5,0)</f>
        <v>193.71143999999998</v>
      </c>
      <c r="CA56" s="14">
        <f t="shared" si="39"/>
        <v>48.359573394195209</v>
      </c>
      <c r="CB56" s="22">
        <f t="shared" si="10"/>
        <v>421.60701499488988</v>
      </c>
      <c r="CC56" s="62">
        <f t="shared" si="11"/>
        <v>714.94034832822319</v>
      </c>
      <c r="CD56" s="62">
        <f ca="1">AVERAGE(OFFSET($CC$3,0,0,'Données projet'!$E$12+1,1))-AVERAGE(OFFSET($H$3,0,0,'Données projet'!$E$12+1,1))</f>
        <v>254.67898541152096</v>
      </c>
      <c r="CE56" s="62">
        <f t="shared" si="40"/>
        <v>251.52653810702509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13.023621061689866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13.023621061689866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20.324285714285718</v>
      </c>
      <c r="N57" s="14">
        <f>IF('Données projet'!$A$36&gt;35,N56+M57-V56,IF(A57&lt;'Données projet'!$A$36,$K$205^A57,IF(A57='Données projet'!$A$36,'Données projet'!$B$36,N56+M57-V56)))</f>
        <v>492.84142857142865</v>
      </c>
      <c r="O57" s="14">
        <f>N57*VLOOKUP('Données projet'!$B$9,Paramètres!$A$1:$I$89,3,0)*VLOOKUP('Données projet'!$B$9,Paramètres!$A$1:$I$89,5,0)</f>
        <v>275.49835857142858</v>
      </c>
      <c r="P57" s="14">
        <f t="shared" si="33"/>
        <v>66.0147871145425</v>
      </c>
      <c r="Q57" s="22">
        <f t="shared" si="53"/>
        <v>594.80206206973287</v>
      </c>
      <c r="R57" s="62">
        <f t="shared" si="0"/>
        <v>888.13539540306624</v>
      </c>
      <c r="S57" s="62">
        <f ca="1">AVERAGE(OFFSET($R$3,0,0,'Données projet'!$E$9+1,1))-AVERAGE(OFFSET($H$3,0,0,'Données projet'!$E$9+1,1))</f>
        <v>321.56347025977988</v>
      </c>
      <c r="T57" s="62">
        <f t="shared" si="34"/>
        <v>285.79375360040717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58.425035214944252</v>
      </c>
      <c r="AA57" s="23">
        <f>EXP(-LN(2)/25)*AA56+(1-EXP(-LN(2)/25))/(LN(2)/25)*Calculateur!V57*Calculateur!X57*VLOOKUP('Données projet'!$B$9,Paramètres!$A$1:$I$89,3,0)*0.475*44/12</f>
        <v>33.923427675398841</v>
      </c>
      <c r="AB57" s="23">
        <f>EXP(-LN(2)/2)*AB56+(1-EXP(-LN(2)/2))/(LN(2)/2)*V57*Y57*VLOOKUP('Données projet'!$B$9,Paramètres!$A$1:$I$89,3,0)*0.475*44/12</f>
        <v>2.5068842788552184</v>
      </c>
      <c r="AC57" s="24">
        <f t="shared" si="3"/>
        <v>94.855347169198311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9.4</v>
      </c>
      <c r="AI57" s="14">
        <f>IF('Données projet'!$A$62&gt;35,AI56+AH57-AQ56,IF(A57&lt;'Données projet'!$A$62,$AF$205^A57,IF(A57='Données projet'!$A$62,'Données projet'!$B$62,AI56+AH57-AQ56)))</f>
        <v>300.59999999999991</v>
      </c>
      <c r="AJ57" s="14">
        <f>AI57*VLOOKUP('Données projet'!$B$10,Paramètres!$A$1:$I$89,3,0)*VLOOKUP('Données projet'!$B$10,Paramètres!$A$1:$I$89,5,0)</f>
        <v>187.57439999999994</v>
      </c>
      <c r="AK57" s="14">
        <f t="shared" si="35"/>
        <v>47.003286779400206</v>
      </c>
      <c r="AL57" s="22">
        <f t="shared" si="4"/>
        <v>408.55613780745529</v>
      </c>
      <c r="AM57" s="62">
        <f t="shared" si="5"/>
        <v>701.8894711407886</v>
      </c>
      <c r="AN57" s="62">
        <f ca="1">AVERAGE(OFFSET($AM$3,0,0,'Données projet'!$E$10+1,1))-AVERAGE(OFFSET($H$3,0,0,'Données projet'!$E$10+1,1))</f>
        <v>272.2908884671595</v>
      </c>
      <c r="AO57" s="62">
        <f t="shared" si="36"/>
        <v>220.74777226152867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34.443702580177728</v>
      </c>
      <c r="AV57" s="23">
        <f>EXP(-LN(2)/25)*AV56+(1-EXP(-LN(2)/25))/(LN(2)/25)*Calculateur!AQ57*Calculateur!AS57*VLOOKUP('Données projet'!$B$10,Paramètres!$A$1:$I$89,3,0)*0.475*44/12</f>
        <v>22.519917503861837</v>
      </c>
      <c r="AW57" s="23">
        <f>EXP(-LN(2)/2)*AW56+(1-EXP(-LN(2)/2))/(LN(2)/2)*AQ57*AT57*VLOOKUP('Données projet'!$B$10,Paramètres!$A$1:$I$89,3,0)*0.475*44/12</f>
        <v>1.3611852529524318</v>
      </c>
      <c r="AX57" s="23">
        <f t="shared" si="6"/>
        <v>58.324805336991993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155.63999999999999</v>
      </c>
      <c r="BB57" s="13">
        <f>VLOOKUP(A57,'Données projet'!$A$87:$I$107,9,0)</f>
        <v>7.5833333333333242</v>
      </c>
      <c r="BC57" s="13">
        <f t="array" ref="BC57">INDEX(BB:BB,MIN(IF(ISNUMBER(BB57:BB253),ROW(BB57:BB253),"")))</f>
        <v>7.5833333333333242</v>
      </c>
      <c r="BD57" s="13">
        <f>IF('Données projet'!$A$88&gt;35,BD56+BC57-BL56,IF(A57&lt;'Données projet'!$A$88,$BA$205^A57,IF(A57='Données projet'!$A$88,'Données projet'!$B$88,BD56+BC57-BL56)))</f>
        <v>155.63999999999999</v>
      </c>
      <c r="BE57" s="14">
        <f>BD57*VLOOKUP('Données projet'!$B$11,Paramètres!$A$1:$I$89,3,0)*VLOOKUP('Données projet'!$B$11,Paramètres!$A$1:$I$89,5,0)</f>
        <v>140.82307199999997</v>
      </c>
      <c r="BF57" s="14">
        <f t="shared" si="37"/>
        <v>36.485495356718914</v>
      </c>
      <c r="BG57" s="22">
        <f t="shared" si="7"/>
        <v>308.81242147961865</v>
      </c>
      <c r="BH57" s="62">
        <f t="shared" si="8"/>
        <v>602.14575481295196</v>
      </c>
      <c r="BI57" s="62">
        <f ca="1">AVERAGE(OFFSET($BH$3,0,0,'Données projet'!$E$11+1,1))-AVERAGE(OFFSET($H$3,0,0,'Données projet'!$E$11+1,1))</f>
        <v>320.80580551060069</v>
      </c>
      <c r="BJ57" s="62">
        <f t="shared" si="38"/>
        <v>225.55225019382294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8.9617214509460172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8.9617214509460172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7.4</v>
      </c>
      <c r="BY57" s="13">
        <f>IF('Données projet'!$A$114&gt;35,BY56+BX57-CG56,IF(A57&lt;'Données projet'!$A$114,$BV$205^A57,IF(A57='Données projet'!$A$114,'Données projet'!$B$114,BY56+BX57-CG56)))</f>
        <v>271.59999999999997</v>
      </c>
      <c r="BZ57" s="14">
        <f>BY57*VLOOKUP('Données projet'!$B$12,Paramètres!$A$1:$I$89,3,0)*VLOOKUP('Données projet'!$B$12,Paramètres!$A$1:$I$89,5,0)</f>
        <v>199.13711999999995</v>
      </c>
      <c r="CA57" s="14">
        <f t="shared" si="39"/>
        <v>49.554485124576232</v>
      </c>
      <c r="CB57" s="22">
        <f t="shared" si="10"/>
        <v>433.13787892530354</v>
      </c>
      <c r="CC57" s="62">
        <f t="shared" si="11"/>
        <v>726.4712122586368</v>
      </c>
      <c r="CD57" s="62">
        <f ca="1">AVERAGE(OFFSET($CC$3,0,0,'Données projet'!$E$12+1,1))-AVERAGE(OFFSET($H$3,0,0,'Données projet'!$E$12+1,1))</f>
        <v>254.67898541152096</v>
      </c>
      <c r="CE57" s="62">
        <f t="shared" si="40"/>
        <v>251.52653810702509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12.768235796294608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12.768235796294608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20.324285714285718</v>
      </c>
      <c r="N58" s="14">
        <f>IF('Données projet'!$A$36&gt;35,N57+M58-V57,IF(A58&lt;'Données projet'!$A$36,$K$205^A58,IF(A58='Données projet'!$A$36,'Données projet'!$B$36,N57+M58-V57)))</f>
        <v>513.16571428571433</v>
      </c>
      <c r="O58" s="14">
        <f>N58*VLOOKUP('Données projet'!$B$9,Paramètres!$A$1:$I$89,3,0)*VLOOKUP('Données projet'!$B$9,Paramètres!$A$1:$I$89,5,0)</f>
        <v>286.85963428571432</v>
      </c>
      <c r="P58" s="14">
        <f t="shared" si="33"/>
        <v>68.414598471463037</v>
      </c>
      <c r="Q58" s="22">
        <f t="shared" si="53"/>
        <v>618.76928871875054</v>
      </c>
      <c r="R58" s="62">
        <f t="shared" si="0"/>
        <v>912.10262205208392</v>
      </c>
      <c r="S58" s="62">
        <f ca="1">AVERAGE(OFFSET($R$3,0,0,'Données projet'!$E$9+1,1))-AVERAGE(OFFSET($H$3,0,0,'Données projet'!$E$9+1,1))</f>
        <v>321.56347025977988</v>
      </c>
      <c r="T58" s="62">
        <f t="shared" si="34"/>
        <v>285.79375360040717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57.27935591013194</v>
      </c>
      <c r="AA58" s="23">
        <f>EXP(-LN(2)/25)*AA57+(1-EXP(-LN(2)/25))/(LN(2)/25)*Calculateur!V58*Calculateur!X58*VLOOKUP('Données projet'!$B$9,Paramètres!$A$1:$I$89,3,0)*0.475*44/12</f>
        <v>32.99578976165953</v>
      </c>
      <c r="AB58" s="23">
        <f>EXP(-LN(2)/2)*AB57+(1-EXP(-LN(2)/2))/(LN(2)/2)*V58*Y58*VLOOKUP('Données projet'!$B$9,Paramètres!$A$1:$I$89,3,0)*0.475*44/12</f>
        <v>1.7726348732284729</v>
      </c>
      <c r="AC58" s="24">
        <f t="shared" si="3"/>
        <v>92.047780545019947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310</v>
      </c>
      <c r="AG58" s="13">
        <f>VLOOKUP(A58,'Données projet'!$A$61:$I$81,9,0)</f>
        <v>9.4</v>
      </c>
      <c r="AH58" s="13">
        <f t="array" ref="AH58">INDEX(AG:AG,MIN(IF(ISNUMBER(AG58:AG254),ROW(AG58:AG254),"")))</f>
        <v>9.4</v>
      </c>
      <c r="AI58" s="14">
        <f>IF('Données projet'!$A$62&gt;35,AI57+AH58-AQ57,IF(A58&lt;'Données projet'!$A$62,$AF$205^A58,IF(A58='Données projet'!$A$62,'Données projet'!$B$62,AI57+AH58-AQ57)))</f>
        <v>309.99999999999989</v>
      </c>
      <c r="AJ58" s="14">
        <f>AI58*VLOOKUP('Données projet'!$B$10,Paramètres!$A$1:$I$89,3,0)*VLOOKUP('Données projet'!$B$10,Paramètres!$A$1:$I$89,5,0)</f>
        <v>193.43999999999991</v>
      </c>
      <c r="AK58" s="14">
        <f t="shared" si="35"/>
        <v>48.299691961776745</v>
      </c>
      <c r="AL58" s="22">
        <f t="shared" si="4"/>
        <v>421.02996350009431</v>
      </c>
      <c r="AM58" s="62">
        <f t="shared" si="5"/>
        <v>714.36329683342763</v>
      </c>
      <c r="AN58" s="62">
        <f ca="1">AVERAGE(OFFSET($AM$3,0,0,'Données projet'!$E$10+1,1))-AVERAGE(OFFSET($H$3,0,0,'Données projet'!$E$10+1,1))</f>
        <v>272.2908884671595</v>
      </c>
      <c r="AO58" s="62">
        <f t="shared" si="36"/>
        <v>220.74777226152867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25</v>
      </c>
      <c r="AR58" s="17">
        <f>IF(ISNA(VLOOKUP(A58,'Données projet'!$A$61:$I$81,5,0)),0%,VLOOKUP(A58,'Données projet'!$A$61:$I$81,5,0)*VLOOKUP('Données projet'!$B$10,Paramètres!$A$1:$I$89,7,0))</f>
        <v>0.3</v>
      </c>
      <c r="AS58" s="17">
        <f>IF(ISNA(VLOOKUP(A58,'Données projet'!$A$61:$I$81,6,0)),0%,VLOOKUP(A58,'Données projet'!$A$61:$I$81,6,0)*VLOOKUP('Données projet'!$B$10,Paramètres!$A$1:$I$89,7,0))</f>
        <v>0.16800000000000001</v>
      </c>
      <c r="AT58" s="17">
        <f>IF(ISNA(VLOOKUP(A58,'Données projet'!$A$61:$I$81,7,0)),0%,VLOOKUP(A58,'Données projet'!$A$61:$I$81,7,0))</f>
        <v>0.22</v>
      </c>
      <c r="AU58" s="23">
        <f>EXP(-LN(2)/35)*AU57+(1-EXP(-LN(2)/35))/(LN(2)/35)*AQ58*AR58*VLOOKUP('Données projet'!$B$10,Paramètres!$A$1:$I$89,3,0)*0.475*44/12</f>
        <v>39.976604232621639</v>
      </c>
      <c r="AV58" s="23">
        <f>EXP(-LN(2)/25)*AV57+(1-EXP(-LN(2)/25))/(LN(2)/25)*Calculateur!AQ58*Calculateur!AS58*VLOOKUP('Données projet'!$B$10,Paramètres!$A$1:$I$89,3,0)*0.475*44/12</f>
        <v>25.367080364640927</v>
      </c>
      <c r="AW58" s="23">
        <f>EXP(-LN(2)/2)*AW57+(1-EXP(-LN(2)/2))/(LN(2)/2)*AQ58*AT58*VLOOKUP('Données projet'!$B$10,Paramètres!$A$1:$I$89,3,0)*0.475*44/12</f>
        <v>4.848324567924621</v>
      </c>
      <c r="AX58" s="23">
        <f t="shared" si="6"/>
        <v>70.192009165187187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8.6400000000000059</v>
      </c>
      <c r="BD58" s="13">
        <f>IF('Données projet'!$A$88&gt;35,BD57+BC58-BL57,IF(A58&lt;'Données projet'!$A$88,$BA$205^A58,IF(A58='Données projet'!$A$88,'Données projet'!$B$88,BD57+BC58-BL57)))</f>
        <v>164.28</v>
      </c>
      <c r="BE58" s="14">
        <f>BD58*VLOOKUP('Données projet'!$B$11,Paramètres!$A$1:$I$89,3,0)*VLOOKUP('Données projet'!$B$11,Paramètres!$A$1:$I$89,5,0)</f>
        <v>148.64054400000001</v>
      </c>
      <c r="BF58" s="14">
        <f t="shared" si="37"/>
        <v>38.269480857470057</v>
      </c>
      <c r="BG58" s="22">
        <f t="shared" si="7"/>
        <v>325.53495996009366</v>
      </c>
      <c r="BH58" s="62">
        <f t="shared" si="8"/>
        <v>618.86829329342697</v>
      </c>
      <c r="BI58" s="62">
        <f ca="1">AVERAGE(OFFSET($BH$3,0,0,'Données projet'!$E$11+1,1))-AVERAGE(OFFSET($H$3,0,0,'Données projet'!$E$11+1,1))</f>
        <v>320.80580551060069</v>
      </c>
      <c r="BJ58" s="62">
        <f t="shared" si="38"/>
        <v>225.55225019382294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8.785987559403317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8.785987559403317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279</v>
      </c>
      <c r="BW58" s="13">
        <f>VLOOKUP(A58,'Données projet'!$A$113:$I$133,9,0)</f>
        <v>7.4</v>
      </c>
      <c r="BX58" s="13">
        <f t="array" ref="BX58">INDEX(BW:BW,MIN(IF(ISNUMBER(BW58:BW254),ROW(BW58:BW254),"")))</f>
        <v>7.4</v>
      </c>
      <c r="BY58" s="13">
        <f>IF('Données projet'!$A$114&gt;35,BY57+BX58-CG57,IF(A58&lt;'Données projet'!$A$114,$BV$205^A58,IF(A58='Données projet'!$A$114,'Données projet'!$B$114,BY57+BX58-CG57)))</f>
        <v>278.99999999999994</v>
      </c>
      <c r="BZ58" s="14">
        <f>BY58*VLOOKUP('Données projet'!$B$12,Paramètres!$A$1:$I$89,3,0)*VLOOKUP('Données projet'!$B$12,Paramètres!$A$1:$I$89,5,0)</f>
        <v>204.56279999999995</v>
      </c>
      <c r="CA58" s="14">
        <f t="shared" si="39"/>
        <v>50.74561278586372</v>
      </c>
      <c r="CB58" s="22">
        <f t="shared" si="10"/>
        <v>444.66215226871259</v>
      </c>
      <c r="CC58" s="62">
        <f t="shared" si="11"/>
        <v>737.99548560204585</v>
      </c>
      <c r="CD58" s="62">
        <f ca="1">AVERAGE(OFFSET($CC$3,0,0,'Données projet'!$E$12+1,1))-AVERAGE(OFFSET($H$3,0,0,'Données projet'!$E$12+1,1))</f>
        <v>254.67898541152096</v>
      </c>
      <c r="CE58" s="62">
        <f t="shared" si="40"/>
        <v>251.52653810702509</v>
      </c>
      <c r="CF58" s="16">
        <f>IF(ISNA(VLOOKUP(A58,'Données projet'!$A$113:$I$133,3,0)),0,VLOOKUP(A58,'Données projet'!$A$113:$I$133,3,0))</f>
        <v>10</v>
      </c>
      <c r="CG58" s="16">
        <f>IF(ISNA(VLOOKUP(A58,'Données projet'!$A$113:$I$133,4,0)),0,VLOOKUP(A58,'Données projet'!$A$113:$I$133,4,0))</f>
        <v>16</v>
      </c>
      <c r="CH58" s="17">
        <f>IF(ISNA(VLOOKUP(A58,'Données projet'!$A$113:$I$133,5,0)),0%,VLOOKUP(A58,'Données projet'!$A$113:$I$133,5,0)*VLOOKUP('Données projet'!$B$12,Paramètres!$A$1:$I$89,7,0))</f>
        <v>0.25800000000000001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15.863729962209371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15.863729962209371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533.49</v>
      </c>
      <c r="L59" s="13">
        <f>VLOOKUP(A59,'Données projet'!$A$35:$I$55,9,0)</f>
        <v>20.324285714285718</v>
      </c>
      <c r="M59" s="13">
        <f t="array" ref="M59">INDEX(L:L,MIN(IF(ISNUMBER(L59:L255),ROW(L59:L255),"")))</f>
        <v>20.324285714285718</v>
      </c>
      <c r="N59" s="14">
        <f>IF('Données projet'!$A$36&gt;35,N58+M59-V58,IF(A59&lt;'Données projet'!$A$36,$K$205^A59,IF(A59='Données projet'!$A$36,'Données projet'!$B$36,N58+M59-V58)))</f>
        <v>533.49</v>
      </c>
      <c r="O59" s="14">
        <f>N59*VLOOKUP('Données projet'!$B$9,Paramètres!$A$1:$I$89,3,0)*VLOOKUP('Données projet'!$B$9,Paramètres!$A$1:$I$89,5,0)</f>
        <v>298.22091</v>
      </c>
      <c r="P59" s="14">
        <f t="shared" si="33"/>
        <v>70.803368864473384</v>
      </c>
      <c r="Q59" s="22">
        <f t="shared" si="53"/>
        <v>642.71728568895776</v>
      </c>
      <c r="R59" s="62">
        <f t="shared" si="0"/>
        <v>936.05061902229113</v>
      </c>
      <c r="S59" s="62">
        <f ca="1">AVERAGE(OFFSET($R$3,0,0,'Données projet'!$E$9+1,1))-AVERAGE(OFFSET($H$3,0,0,'Données projet'!$E$9+1,1))</f>
        <v>321.56347025977988</v>
      </c>
      <c r="T59" s="62">
        <f t="shared" si="34"/>
        <v>285.79375360040717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94.57</v>
      </c>
      <c r="W59" s="17">
        <f>IF(ISNA(VLOOKUP(A59,'Données projet'!$A$35:$I$55,5,0)),0%,VLOOKUP(A59,'Données projet'!$A$35:$I$55,5,0)*VLOOKUP('Données projet'!$B$9,Paramètres!$A$1:$I$89,7,0))</f>
        <v>0.38500000000000001</v>
      </c>
      <c r="X59" s="17">
        <f>IF(ISNA(VLOOKUP(A59,'Données projet'!$A$35:$I$55,6,0)),0%,VLOOKUP(A59,'Données projet'!$A$35:$I$55,6,0)*VLOOKUP('Données projet'!$B$9,Paramètres!$A$1:$I$89,7,0))</f>
        <v>9.3500000000000014E-2</v>
      </c>
      <c r="Y59" s="17">
        <f>IF(ISNA(VLOOKUP(A59,'Données projet'!$A$35:$I$55,7,0)),0%,VLOOKUP(A59,'Données projet'!$A$35:$I$55,7,0))</f>
        <v>0.13</v>
      </c>
      <c r="Z59" s="23">
        <f>EXP(-LN(2)/35)*Z58+(1-EXP(-LN(2)/35))/(LN(2)/35)*V59*W59*VLOOKUP('Données projet'!$B$9,Paramètres!$A$1:$I$89,3,0)*0.475*44/12</f>
        <v>83.155553234257283</v>
      </c>
      <c r="AA59" s="23">
        <f>EXP(-LN(2)/25)*AA58+(1-EXP(-LN(2)/25))/(LN(2)/25)*Calculateur!V59*Calculateur!X59*VLOOKUP('Données projet'!$B$9,Paramètres!$A$1:$I$89,3,0)*0.475*44/12</f>
        <v>38.624700455790673</v>
      </c>
      <c r="AB59" s="23">
        <f>EXP(-LN(2)/2)*AB58+(1-EXP(-LN(2)/2))/(LN(2)/2)*V59*Y59*VLOOKUP('Données projet'!$B$9,Paramètres!$A$1:$I$89,3,0)*0.475*44/12</f>
        <v>9.0345975321898582</v>
      </c>
      <c r="AC59" s="24">
        <f t="shared" si="3"/>
        <v>130.81485122223782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8.1999999999999993</v>
      </c>
      <c r="AI59" s="14">
        <f>IF('Données projet'!$A$62&gt;35,AI58+AH59-AQ58,IF(A59&lt;'Données projet'!$A$62,$AF$205^A59,IF(A59='Données projet'!$A$62,'Données projet'!$B$62,AI58+AH59-AQ58)))</f>
        <v>293.19999999999987</v>
      </c>
      <c r="AJ59" s="14">
        <f>AI59*VLOOKUP('Données projet'!$B$10,Paramètres!$A$1:$I$89,3,0)*VLOOKUP('Données projet'!$B$10,Paramètres!$A$1:$I$89,5,0)</f>
        <v>182.95679999999993</v>
      </c>
      <c r="AK59" s="14">
        <f t="shared" si="35"/>
        <v>45.979394592250969</v>
      </c>
      <c r="AL59" s="22">
        <f t="shared" si="4"/>
        <v>398.73053891483693</v>
      </c>
      <c r="AM59" s="62">
        <f t="shared" si="5"/>
        <v>692.06387224817024</v>
      </c>
      <c r="AN59" s="62">
        <f ca="1">AVERAGE(OFFSET($AM$3,0,0,'Données projet'!$E$10+1,1))-AVERAGE(OFFSET($H$3,0,0,'Données projet'!$E$10+1,1))</f>
        <v>272.2908884671595</v>
      </c>
      <c r="AO59" s="62">
        <f t="shared" si="36"/>
        <v>220.74777226152867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39.192687406940856</v>
      </c>
      <c r="AV59" s="23">
        <f>EXP(-LN(2)/25)*AV58+(1-EXP(-LN(2)/25))/(LN(2)/25)*Calculateur!AQ59*Calculateur!AS59*VLOOKUP('Données projet'!$B$10,Paramètres!$A$1:$I$89,3,0)*0.475*44/12</f>
        <v>24.67341621807304</v>
      </c>
      <c r="AW59" s="23">
        <f>EXP(-LN(2)/2)*AW58+(1-EXP(-LN(2)/2))/(LN(2)/2)*AQ59*AT59*VLOOKUP('Données projet'!$B$10,Paramètres!$A$1:$I$89,3,0)*0.475*44/12</f>
        <v>3.4282831793728379</v>
      </c>
      <c r="AX59" s="23">
        <f t="shared" si="6"/>
        <v>67.294386804386733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8.6400000000000059</v>
      </c>
      <c r="BD59" s="13">
        <f>IF('Données projet'!$A$88&gt;35,BD58+BC59-BL58,IF(A59&lt;'Données projet'!$A$88,$BA$205^A59,IF(A59='Données projet'!$A$88,'Données projet'!$B$88,BD58+BC59-BL58)))</f>
        <v>172.92000000000002</v>
      </c>
      <c r="BE59" s="14">
        <f>BD59*VLOOKUP('Données projet'!$B$11,Paramètres!$A$1:$I$89,3,0)*VLOOKUP('Données projet'!$B$11,Paramètres!$A$1:$I$89,5,0)</f>
        <v>156.45801600000001</v>
      </c>
      <c r="BF59" s="14">
        <f t="shared" si="37"/>
        <v>40.042573142690991</v>
      </c>
      <c r="BG59" s="22">
        <f t="shared" si="7"/>
        <v>342.23852609018689</v>
      </c>
      <c r="BH59" s="62">
        <f t="shared" si="8"/>
        <v>635.57185942352021</v>
      </c>
      <c r="BI59" s="62">
        <f ca="1">AVERAGE(OFFSET($BH$3,0,0,'Données projet'!$E$11+1,1))-AVERAGE(OFFSET($H$3,0,0,'Données projet'!$E$11+1,1))</f>
        <v>320.80580551060069</v>
      </c>
      <c r="BJ59" s="62">
        <f t="shared" si="38"/>
        <v>225.55225019382294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8.613699702286679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8.613699702286679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6.2</v>
      </c>
      <c r="BY59" s="13">
        <f>IF('Données projet'!$A$114&gt;35,BY58+BX59-CG58,IF(A59&lt;'Données projet'!$A$114,$BV$205^A59,IF(A59='Données projet'!$A$114,'Données projet'!$B$114,BY58+BX59-CG58)))</f>
        <v>269.19999999999993</v>
      </c>
      <c r="BZ59" s="14">
        <f>BY59*VLOOKUP('Données projet'!$B$12,Paramètres!$A$1:$I$89,3,0)*VLOOKUP('Données projet'!$B$12,Paramètres!$A$1:$I$89,5,0)</f>
        <v>197.37743999999995</v>
      </c>
      <c r="CA59" s="14">
        <f t="shared" si="39"/>
        <v>49.167366395757924</v>
      </c>
      <c r="CB59" s="22">
        <f t="shared" si="10"/>
        <v>429.39887113927824</v>
      </c>
      <c r="CC59" s="62">
        <f t="shared" si="11"/>
        <v>722.73220447261156</v>
      </c>
      <c r="CD59" s="62">
        <f ca="1">AVERAGE(OFFSET($CC$3,0,0,'Données projet'!$E$12+1,1))-AVERAGE(OFFSET($H$3,0,0,'Données projet'!$E$12+1,1))</f>
        <v>254.67898541152096</v>
      </c>
      <c r="CE59" s="62">
        <f t="shared" si="40"/>
        <v>251.52653810702509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15.552651893570305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15.552651893570305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18.58285714285714</v>
      </c>
      <c r="N60" s="14">
        <f>IF('Données projet'!$A$36&gt;35,N59+M60-V59,IF(A60&lt;'Données projet'!$A$36,$K$205^A60,IF(A60='Données projet'!$A$36,'Données projet'!$B$36,N59+M60-V59)))</f>
        <v>457.50285714285718</v>
      </c>
      <c r="O60" s="14">
        <f>N60*VLOOKUP('Données projet'!$B$9,Paramètres!$A$1:$I$89,3,0)*VLOOKUP('Données projet'!$B$9,Paramètres!$A$1:$I$89,5,0)</f>
        <v>255.74409714285716</v>
      </c>
      <c r="P60" s="14">
        <f t="shared" si="33"/>
        <v>61.814321894325772</v>
      </c>
      <c r="Q60" s="22">
        <f t="shared" si="53"/>
        <v>553.08091315642696</v>
      </c>
      <c r="R60" s="62">
        <f t="shared" si="0"/>
        <v>846.41424648976022</v>
      </c>
      <c r="S60" s="62">
        <f ca="1">AVERAGE(OFFSET($R$3,0,0,'Données projet'!$E$9+1,1))-AVERAGE(OFFSET($H$3,0,0,'Données projet'!$E$9+1,1))</f>
        <v>321.56347025977988</v>
      </c>
      <c r="T60" s="62">
        <f t="shared" si="34"/>
        <v>285.79375360040717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81.524923555212794</v>
      </c>
      <c r="AA60" s="23">
        <f>EXP(-LN(2)/25)*AA59+(1-EXP(-LN(2)/25))/(LN(2)/25)*Calculateur!V60*Calculateur!X60*VLOOKUP('Données projet'!$B$9,Paramètres!$A$1:$I$89,3,0)*0.475*44/12</f>
        <v>37.568505990642358</v>
      </c>
      <c r="AB60" s="23">
        <f>EXP(-LN(2)/2)*AB59+(1-EXP(-LN(2)/2))/(LN(2)/2)*V60*Y60*VLOOKUP('Données projet'!$B$9,Paramètres!$A$1:$I$89,3,0)*0.475*44/12</f>
        <v>6.388425180302697</v>
      </c>
      <c r="AC60" s="24">
        <f t="shared" si="3"/>
        <v>125.48185472615785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8.1999999999999993</v>
      </c>
      <c r="AI60" s="14">
        <f>IF('Données projet'!$A$62&gt;35,AI59+AH60-AQ59,IF(A60&lt;'Données projet'!$A$62,$AF$205^A60,IF(A60='Données projet'!$A$62,'Données projet'!$B$62,AI59+AH60-AQ59)))</f>
        <v>301.39999999999986</v>
      </c>
      <c r="AJ60" s="14">
        <f>AI60*VLOOKUP('Données projet'!$B$10,Paramètres!$A$1:$I$89,3,0)*VLOOKUP('Données projet'!$B$10,Paramètres!$A$1:$I$89,5,0)</f>
        <v>188.07359999999994</v>
      </c>
      <c r="AK60" s="14">
        <f t="shared" si="35"/>
        <v>47.113800891558789</v>
      </c>
      <c r="AL60" s="22">
        <f t="shared" si="4"/>
        <v>409.61805655279812</v>
      </c>
      <c r="AM60" s="62">
        <f t="shared" si="5"/>
        <v>702.95138988613144</v>
      </c>
      <c r="AN60" s="62">
        <f ca="1">AVERAGE(OFFSET($AM$3,0,0,'Données projet'!$E$10+1,1))-AVERAGE(OFFSET($H$3,0,0,'Données projet'!$E$10+1,1))</f>
        <v>272.2908884671595</v>
      </c>
      <c r="AO60" s="62">
        <f t="shared" si="36"/>
        <v>220.74777226152867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38.424142712069624</v>
      </c>
      <c r="AV60" s="23">
        <f>EXP(-LN(2)/25)*AV59+(1-EXP(-LN(2)/25))/(LN(2)/25)*Calculateur!AQ60*Calculateur!AS60*VLOOKUP('Données projet'!$B$10,Paramètres!$A$1:$I$89,3,0)*0.475*44/12</f>
        <v>23.998720354071267</v>
      </c>
      <c r="AW60" s="23">
        <f>EXP(-LN(2)/2)*AW59+(1-EXP(-LN(2)/2))/(LN(2)/2)*AQ60*AT60*VLOOKUP('Données projet'!$B$10,Paramètres!$A$1:$I$89,3,0)*0.475*44/12</f>
        <v>2.4241622839623109</v>
      </c>
      <c r="AX60" s="23">
        <f t="shared" si="6"/>
        <v>64.847025350103209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181.56</v>
      </c>
      <c r="BB60" s="13">
        <f>VLOOKUP(A60,'Données projet'!$A$87:$I$107,9,0)</f>
        <v>8.6400000000000059</v>
      </c>
      <c r="BC60" s="13">
        <f t="array" ref="BC60">INDEX(BB:BB,MIN(IF(ISNUMBER(BB60:BB256),ROW(BB60:BB256),"")))</f>
        <v>8.6400000000000059</v>
      </c>
      <c r="BD60" s="13">
        <f>IF('Données projet'!$A$88&gt;35,BD59+BC60-BL59,IF(A60&lt;'Données projet'!$A$88,$BA$205^A60,IF(A60='Données projet'!$A$88,'Données projet'!$B$88,BD59+BC60-BL59)))</f>
        <v>181.56000000000003</v>
      </c>
      <c r="BE60" s="14">
        <f>BD60*VLOOKUP('Données projet'!$B$11,Paramètres!$A$1:$I$89,3,0)*VLOOKUP('Données projet'!$B$11,Paramètres!$A$1:$I$89,5,0)</f>
        <v>164.27548800000002</v>
      </c>
      <c r="BF60" s="14">
        <f t="shared" si="37"/>
        <v>41.80537860289941</v>
      </c>
      <c r="BG60" s="22">
        <f t="shared" si="7"/>
        <v>358.92417600004984</v>
      </c>
      <c r="BH60" s="62">
        <f t="shared" si="8"/>
        <v>652.25750933338315</v>
      </c>
      <c r="BI60" s="62">
        <f ca="1">AVERAGE(OFFSET($BH$3,0,0,'Données projet'!$E$11+1,1))-AVERAGE(OFFSET($H$3,0,0,'Données projet'!$E$11+1,1))</f>
        <v>320.80580551060069</v>
      </c>
      <c r="BJ60" s="62">
        <f t="shared" si="38"/>
        <v>225.55225019382294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8.4447903049628827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8.4447903049628827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6.2</v>
      </c>
      <c r="BY60" s="13">
        <f>IF('Données projet'!$A$114&gt;35,BY59+BX60-CG59,IF(A60&lt;'Données projet'!$A$114,$BV$205^A60,IF(A60='Données projet'!$A$114,'Données projet'!$B$114,BY59+BX60-CG59)))</f>
        <v>275.39999999999992</v>
      </c>
      <c r="BZ60" s="14">
        <f>BY60*VLOOKUP('Données projet'!$B$12,Paramètres!$A$1:$I$89,3,0)*VLOOKUP('Données projet'!$B$12,Paramètres!$A$1:$I$89,5,0)</f>
        <v>201.92327999999995</v>
      </c>
      <c r="CA60" s="14">
        <f t="shared" si="39"/>
        <v>50.166610737265309</v>
      </c>
      <c r="CB60" s="22">
        <f t="shared" si="10"/>
        <v>439.05655970073695</v>
      </c>
      <c r="CC60" s="62">
        <f t="shared" si="11"/>
        <v>732.38989303407027</v>
      </c>
      <c r="CD60" s="62">
        <f ca="1">AVERAGE(OFFSET($CC$3,0,0,'Données projet'!$E$12+1,1))-AVERAGE(OFFSET($H$3,0,0,'Données projet'!$E$12+1,1))</f>
        <v>254.67898541152096</v>
      </c>
      <c r="CE60" s="62">
        <f t="shared" si="40"/>
        <v>251.52653810702509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15.247673876118364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15.247673876118364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18.58285714285714</v>
      </c>
      <c r="N61" s="14">
        <f>IF('Données projet'!$A$36&gt;35,N60+M61-V60,IF(A61&lt;'Données projet'!$A$36,$K$205^A61,IF(A61='Données projet'!$A$36,'Données projet'!$B$36,N60+M61-V60)))</f>
        <v>476.08571428571435</v>
      </c>
      <c r="O61" s="14">
        <f>N61*VLOOKUP('Données projet'!$B$9,Paramètres!$A$1:$I$89,3,0)*VLOOKUP('Données projet'!$B$9,Paramètres!$A$1:$I$89,5,0)</f>
        <v>266.13191428571434</v>
      </c>
      <c r="P61" s="14">
        <f t="shared" si="33"/>
        <v>64.027675737818782</v>
      </c>
      <c r="Q61" s="22">
        <f t="shared" si="53"/>
        <v>575.02795262432016</v>
      </c>
      <c r="R61" s="62">
        <f t="shared" si="0"/>
        <v>868.36128595765354</v>
      </c>
      <c r="S61" s="62">
        <f ca="1">AVERAGE(OFFSET($R$3,0,0,'Données projet'!$E$9+1,1))-AVERAGE(OFFSET($H$3,0,0,'Données projet'!$E$9+1,1))</f>
        <v>321.56347025977988</v>
      </c>
      <c r="T61" s="62">
        <f t="shared" si="34"/>
        <v>285.79375360040717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79.926269529588481</v>
      </c>
      <c r="AA61" s="23">
        <f>EXP(-LN(2)/25)*AA60+(1-EXP(-LN(2)/25))/(LN(2)/25)*Calculateur!V61*Calculateur!X61*VLOOKUP('Données projet'!$B$9,Paramètres!$A$1:$I$89,3,0)*0.475*44/12</f>
        <v>36.541193218686374</v>
      </c>
      <c r="AB61" s="23">
        <f>EXP(-LN(2)/2)*AB60+(1-EXP(-LN(2)/2))/(LN(2)/2)*V61*Y61*VLOOKUP('Données projet'!$B$9,Paramètres!$A$1:$I$89,3,0)*0.475*44/12</f>
        <v>4.51729876609493</v>
      </c>
      <c r="AC61" s="24">
        <f t="shared" si="3"/>
        <v>120.98476151436978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8.1999999999999993</v>
      </c>
      <c r="AI61" s="14">
        <f>IF('Données projet'!$A$62&gt;35,AI60+AH61-AQ60,IF(A61&lt;'Données projet'!$A$62,$AF$205^A61,IF(A61='Données projet'!$A$62,'Données projet'!$B$62,AI60+AH61-AQ60)))</f>
        <v>309.59999999999985</v>
      </c>
      <c r="AJ61" s="14">
        <f>AI61*VLOOKUP('Données projet'!$B$10,Paramètres!$A$1:$I$89,3,0)*VLOOKUP('Données projet'!$B$10,Paramètres!$A$1:$I$89,5,0)</f>
        <v>193.1903999999999</v>
      </c>
      <c r="AK61" s="14">
        <f t="shared" si="35"/>
        <v>48.244619943314689</v>
      </c>
      <c r="AL61" s="22">
        <f t="shared" si="4"/>
        <v>420.49932640127287</v>
      </c>
      <c r="AM61" s="62">
        <f t="shared" si="5"/>
        <v>713.83265973460618</v>
      </c>
      <c r="AN61" s="62">
        <f ca="1">AVERAGE(OFFSET($AM$3,0,0,'Données projet'!$E$10+1,1))-AVERAGE(OFFSET($H$3,0,0,'Données projet'!$E$10+1,1))</f>
        <v>272.2908884671595</v>
      </c>
      <c r="AO61" s="62">
        <f t="shared" si="36"/>
        <v>220.74777226152867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37.670668709898841</v>
      </c>
      <c r="AV61" s="23">
        <f>EXP(-LN(2)/25)*AV60+(1-EXP(-LN(2)/25))/(LN(2)/25)*Calculateur!AQ61*Calculateur!AS61*VLOOKUP('Données projet'!$B$10,Paramètres!$A$1:$I$89,3,0)*0.475*44/12</f>
        <v>23.342474083951334</v>
      </c>
      <c r="AW61" s="23">
        <f>EXP(-LN(2)/2)*AW60+(1-EXP(-LN(2)/2))/(LN(2)/2)*AQ61*AT61*VLOOKUP('Données projet'!$B$10,Paramètres!$A$1:$I$89,3,0)*0.475*44/12</f>
        <v>1.7141415896864192</v>
      </c>
      <c r="AX61" s="23">
        <f t="shared" si="6"/>
        <v>62.727284383536599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8.8149999999999977</v>
      </c>
      <c r="BD61" s="13">
        <f>IF('Données projet'!$A$88&gt;35,BD60+BC61-BL60,IF(A61&lt;'Données projet'!$A$88,$BA$205^A61,IF(A61='Données projet'!$A$88,'Données projet'!$B$88,BD60+BC61-BL60)))</f>
        <v>190.37500000000003</v>
      </c>
      <c r="BE61" s="14">
        <f>BD61*VLOOKUP('Données projet'!$B$11,Paramètres!$A$1:$I$89,3,0)*VLOOKUP('Données projet'!$B$11,Paramètres!$A$1:$I$89,5,0)</f>
        <v>172.25130000000001</v>
      </c>
      <c r="BF61" s="14">
        <f t="shared" si="37"/>
        <v>43.593853176958397</v>
      </c>
      <c r="BG61" s="22">
        <f t="shared" si="7"/>
        <v>375.93030844986924</v>
      </c>
      <c r="BH61" s="62">
        <f t="shared" si="8"/>
        <v>669.2636417832025</v>
      </c>
      <c r="BI61" s="62">
        <f ca="1">AVERAGE(OFFSET($BH$3,0,0,'Données projet'!$E$11+1,1))-AVERAGE(OFFSET($H$3,0,0,'Données projet'!$E$11+1,1))</f>
        <v>320.80580551060069</v>
      </c>
      <c r="BJ61" s="62">
        <f t="shared" si="38"/>
        <v>225.55225019382294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8.2791931178960461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8.2791931178960461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6.2</v>
      </c>
      <c r="BY61" s="13">
        <f>IF('Données projet'!$A$114&gt;35,BY60+BX61-CG60,IF(A61&lt;'Données projet'!$A$114,$BV$205^A61,IF(A61='Données projet'!$A$114,'Données projet'!$B$114,BY60+BX61-CG60)))</f>
        <v>281.59999999999991</v>
      </c>
      <c r="BZ61" s="14">
        <f>BY61*VLOOKUP('Données projet'!$B$12,Paramètres!$A$1:$I$89,3,0)*VLOOKUP('Données projet'!$B$12,Paramètres!$A$1:$I$89,5,0)</f>
        <v>206.46911999999992</v>
      </c>
      <c r="CA61" s="14">
        <f t="shared" si="39"/>
        <v>51.163239774028327</v>
      </c>
      <c r="CB61" s="22">
        <f t="shared" si="10"/>
        <v>448.70969327309916</v>
      </c>
      <c r="CC61" s="62">
        <f t="shared" si="11"/>
        <v>742.04302660643248</v>
      </c>
      <c r="CD61" s="62">
        <f ca="1">AVERAGE(OFFSET($CC$3,0,0,'Données projet'!$E$12+1,1))-AVERAGE(OFFSET($H$3,0,0,'Données projet'!$E$12+1,1))</f>
        <v>254.67898541152096</v>
      </c>
      <c r="CE61" s="62">
        <f t="shared" si="40"/>
        <v>251.52653810702509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14.948676291570433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14.948676291570433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18.58285714285714</v>
      </c>
      <c r="N62" s="14">
        <f>IF('Données projet'!$A$36&gt;35,N61+M62-V61,IF(A62&lt;'Données projet'!$A$36,$K$205^A62,IF(A62='Données projet'!$A$36,'Données projet'!$B$36,N61+M62-V61)))</f>
        <v>494.66857142857151</v>
      </c>
      <c r="O62" s="14">
        <f>N62*VLOOKUP('Données projet'!$B$9,Paramètres!$A$1:$I$89,3,0)*VLOOKUP('Données projet'!$B$9,Paramètres!$A$1:$I$89,5,0)</f>
        <v>276.5197314285715</v>
      </c>
      <c r="P62" s="14">
        <f t="shared" si="33"/>
        <v>66.230993562988985</v>
      </c>
      <c r="Q62" s="22">
        <f t="shared" si="53"/>
        <v>596.9575126936345</v>
      </c>
      <c r="R62" s="62">
        <f t="shared" si="0"/>
        <v>890.29084602696776</v>
      </c>
      <c r="S62" s="62">
        <f ca="1">AVERAGE(OFFSET($R$3,0,0,'Données projet'!$E$9+1,1))-AVERAGE(OFFSET($H$3,0,0,'Données projet'!$E$9+1,1))</f>
        <v>321.56347025977988</v>
      </c>
      <c r="T62" s="62">
        <f t="shared" si="34"/>
        <v>285.79375360040717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78.358964134323983</v>
      </c>
      <c r="AA62" s="23">
        <f>EXP(-LN(2)/25)*AA61+(1-EXP(-LN(2)/25))/(LN(2)/25)*Calculateur!V62*Calculateur!X62*VLOOKUP('Données projet'!$B$9,Paramètres!$A$1:$I$89,3,0)*0.475*44/12</f>
        <v>35.541972368503558</v>
      </c>
      <c r="AB62" s="23">
        <f>EXP(-LN(2)/2)*AB61+(1-EXP(-LN(2)/2))/(LN(2)/2)*V62*Y62*VLOOKUP('Données projet'!$B$9,Paramètres!$A$1:$I$89,3,0)*0.475*44/12</f>
        <v>3.194212590151349</v>
      </c>
      <c r="AC62" s="24">
        <f t="shared" si="3"/>
        <v>117.09514909297889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8.1999999999999993</v>
      </c>
      <c r="AI62" s="14">
        <f>IF('Données projet'!$A$62&gt;35,AI61+AH62-AQ61,IF(A62&lt;'Données projet'!$A$62,$AF$205^A62,IF(A62='Données projet'!$A$62,'Données projet'!$B$62,AI61+AH62-AQ61)))</f>
        <v>317.79999999999984</v>
      </c>
      <c r="AJ62" s="14">
        <f>AI62*VLOOKUP('Données projet'!$B$10,Paramètres!$A$1:$I$89,3,0)*VLOOKUP('Données projet'!$B$10,Paramètres!$A$1:$I$89,5,0)</f>
        <v>198.30719999999991</v>
      </c>
      <c r="AK62" s="14">
        <f t="shared" si="35"/>
        <v>49.371957679623371</v>
      </c>
      <c r="AL62" s="22">
        <f t="shared" si="4"/>
        <v>431.37453295867721</v>
      </c>
      <c r="AM62" s="62">
        <f t="shared" si="5"/>
        <v>724.70786629201052</v>
      </c>
      <c r="AN62" s="62">
        <f ca="1">AVERAGE(OFFSET($AM$3,0,0,'Données projet'!$E$10+1,1))-AVERAGE(OFFSET($H$3,0,0,'Données projet'!$E$10+1,1))</f>
        <v>272.2908884671595</v>
      </c>
      <c r="AO62" s="62">
        <f t="shared" si="36"/>
        <v>220.74777226152867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36.931969873336861</v>
      </c>
      <c r="AV62" s="23">
        <f>EXP(-LN(2)/25)*AV61+(1-EXP(-LN(2)/25))/(LN(2)/25)*Calculateur!AQ62*Calculateur!AS62*VLOOKUP('Données projet'!$B$10,Paramètres!$A$1:$I$89,3,0)*0.475*44/12</f>
        <v>22.704172902598323</v>
      </c>
      <c r="AW62" s="23">
        <f>EXP(-LN(2)/2)*AW61+(1-EXP(-LN(2)/2))/(LN(2)/2)*AQ62*AT62*VLOOKUP('Données projet'!$B$10,Paramètres!$A$1:$I$89,3,0)*0.475*44/12</f>
        <v>1.2120811419811557</v>
      </c>
      <c r="AX62" s="23">
        <f t="shared" si="6"/>
        <v>60.848223917916343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>
        <f>VLOOKUP(A62,'Données projet'!$A$87:$I$107,2,0)</f>
        <v>199.19</v>
      </c>
      <c r="BB62" s="13">
        <f>VLOOKUP(A62,'Données projet'!$A$87:$I$107,9,0)</f>
        <v>8.8149999999999977</v>
      </c>
      <c r="BC62" s="13">
        <f t="array" ref="BC62">INDEX(BB:BB,MIN(IF(ISNUMBER(BB62:BB258),ROW(BB62:BB258),"")))</f>
        <v>8.8149999999999977</v>
      </c>
      <c r="BD62" s="13">
        <f>IF('Données projet'!$A$88&gt;35,BD61+BC62-BL61,IF(A62&lt;'Données projet'!$A$88,$BA$205^A62,IF(A62='Données projet'!$A$88,'Données projet'!$B$88,BD61+BC62-BL61)))</f>
        <v>199.19000000000003</v>
      </c>
      <c r="BE62" s="14">
        <f>BD62*VLOOKUP('Données projet'!$B$11,Paramètres!$A$1:$I$89,3,0)*VLOOKUP('Données projet'!$B$11,Paramètres!$A$1:$I$89,5,0)</f>
        <v>180.22711200000001</v>
      </c>
      <c r="BF62" s="14">
        <f t="shared" si="37"/>
        <v>45.372710693580842</v>
      </c>
      <c r="BG62" s="22">
        <f t="shared" si="7"/>
        <v>392.91969119132</v>
      </c>
      <c r="BH62" s="62">
        <f t="shared" si="8"/>
        <v>686.25302452465326</v>
      </c>
      <c r="BI62" s="62">
        <f ca="1">AVERAGE(OFFSET($BH$3,0,0,'Données projet'!$E$11+1,1))-AVERAGE(OFFSET($H$3,0,0,'Données projet'!$E$11+1,1))</f>
        <v>320.80580551060069</v>
      </c>
      <c r="BJ62" s="62">
        <f t="shared" si="38"/>
        <v>225.55225019382294</v>
      </c>
      <c r="BK62" s="16">
        <f>IF(ISNA(VLOOKUP(A62,'Données projet'!$A$87:$I$107,3,0)),0,VLOOKUP(A62,'Données projet'!$A$87:$I$107,3,0))</f>
        <v>3</v>
      </c>
      <c r="BL62" s="16">
        <f>IF(ISNA(VLOOKUP(A62,'Données projet'!$A$87:$I$107,4,0)),0,VLOOKUP(A62,'Données projet'!$A$87:$I$107,4,0))</f>
        <v>48.96</v>
      </c>
      <c r="BM62" s="17">
        <f>IF(ISNA(VLOOKUP(A62,'Données projet'!$A$87:$I$107,5,0)),0%,VLOOKUP(A62,'Données projet'!$A$87:$I$107,5,0)*VLOOKUP('Données projet'!$B$11,Paramètres!$A$1:$I$89,7,0))</f>
        <v>8.6000000000000007E-2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12.328369932718896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12.328369932718896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6.2</v>
      </c>
      <c r="BY62" s="13">
        <f>IF('Données projet'!$A$114&gt;35,BY61+BX62-CG61,IF(A62&lt;'Données projet'!$A$114,$BV$205^A62,IF(A62='Données projet'!$A$114,'Données projet'!$B$114,BY61+BX62-CG61)))</f>
        <v>287.7999999999999</v>
      </c>
      <c r="BZ62" s="14">
        <f>BY62*VLOOKUP('Données projet'!$B$12,Paramètres!$A$1:$I$89,3,0)*VLOOKUP('Données projet'!$B$12,Paramètres!$A$1:$I$89,5,0)</f>
        <v>211.01495999999992</v>
      </c>
      <c r="CA62" s="14">
        <f t="shared" si="39"/>
        <v>52.15731771796959</v>
      </c>
      <c r="CB62" s="22">
        <f t="shared" si="10"/>
        <v>458.35838369213019</v>
      </c>
      <c r="CC62" s="62">
        <f t="shared" si="11"/>
        <v>751.6917170254635</v>
      </c>
      <c r="CD62" s="62">
        <f ca="1">AVERAGE(OFFSET($CC$3,0,0,'Données projet'!$E$12+1,1))-AVERAGE(OFFSET($H$3,0,0,'Données projet'!$E$12+1,1))</f>
        <v>254.67898541152096</v>
      </c>
      <c r="CE62" s="62">
        <f t="shared" si="40"/>
        <v>251.52653810702509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14.655541867284967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14.655541867284967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18.58285714285714</v>
      </c>
      <c r="N63" s="14">
        <f>IF('Données projet'!$A$36&gt;35,N62+M63-V62,IF(A63&lt;'Données projet'!$A$36,$K$205^A63,IF(A63='Données projet'!$A$36,'Données projet'!$B$36,N62+M63-V62)))</f>
        <v>513.25142857142862</v>
      </c>
      <c r="O63" s="14">
        <f>N63*VLOOKUP('Données projet'!$B$9,Paramètres!$A$1:$I$89,3,0)*VLOOKUP('Données projet'!$B$9,Paramètres!$A$1:$I$89,5,0)</f>
        <v>286.90754857142861</v>
      </c>
      <c r="P63" s="14">
        <f t="shared" si="33"/>
        <v>68.424695552593661</v>
      </c>
      <c r="Q63" s="22">
        <f t="shared" si="53"/>
        <v>618.87032518267222</v>
      </c>
      <c r="R63" s="62">
        <f t="shared" si="0"/>
        <v>912.20365851600559</v>
      </c>
      <c r="S63" s="62">
        <f ca="1">AVERAGE(OFFSET($R$3,0,0,'Données projet'!$E$9+1,1))-AVERAGE(OFFSET($H$3,0,0,'Données projet'!$E$9+1,1))</f>
        <v>321.56347025977988</v>
      </c>
      <c r="T63" s="62">
        <f t="shared" si="34"/>
        <v>285.79375360040717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76.822392641898716</v>
      </c>
      <c r="AA63" s="23">
        <f>EXP(-LN(2)/25)*AA62+(1-EXP(-LN(2)/25))/(LN(2)/25)*Calculateur!V63*Calculateur!X63*VLOOKUP('Données projet'!$B$9,Paramètres!$A$1:$I$89,3,0)*0.475*44/12</f>
        <v>34.570075265015731</v>
      </c>
      <c r="AB63" s="23">
        <f>EXP(-LN(2)/2)*AB62+(1-EXP(-LN(2)/2))/(LN(2)/2)*V63*Y63*VLOOKUP('Données projet'!$B$9,Paramètres!$A$1:$I$89,3,0)*0.475*44/12</f>
        <v>2.2586493830474654</v>
      </c>
      <c r="AC63" s="24">
        <f t="shared" si="3"/>
        <v>113.65111728996192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326</v>
      </c>
      <c r="AG63" s="13">
        <f>VLOOKUP(A63,'Données projet'!$A$61:$I$81,9,0)</f>
        <v>8.1999999999999993</v>
      </c>
      <c r="AH63" s="13">
        <f t="array" ref="AH63">INDEX(AG:AG,MIN(IF(ISNUMBER(AG63:AG259),ROW(AG63:AG259),"")))</f>
        <v>8.1999999999999993</v>
      </c>
      <c r="AI63" s="14">
        <f>IF('Données projet'!$A$62&gt;35,AI62+AH63-AQ62,IF(A63&lt;'Données projet'!$A$62,$AF$205^A63,IF(A63='Données projet'!$A$62,'Données projet'!$B$62,AI62+AH63-AQ62)))</f>
        <v>325.99999999999983</v>
      </c>
      <c r="AJ63" s="14">
        <f>AI63*VLOOKUP('Données projet'!$B$10,Paramètres!$A$1:$I$89,3,0)*VLOOKUP('Données projet'!$B$10,Paramètres!$A$1:$I$89,5,0)</f>
        <v>203.42399999999989</v>
      </c>
      <c r="AK63" s="14">
        <f t="shared" si="35"/>
        <v>50.49591425457367</v>
      </c>
      <c r="AL63" s="22">
        <f t="shared" si="4"/>
        <v>442.24385066004896</v>
      </c>
      <c r="AM63" s="62">
        <f t="shared" si="5"/>
        <v>735.57718399338228</v>
      </c>
      <c r="AN63" s="62">
        <f ca="1">AVERAGE(OFFSET($AM$3,0,0,'Données projet'!$E$10+1,1))-AVERAGE(OFFSET($H$3,0,0,'Données projet'!$E$10+1,1))</f>
        <v>272.2908884671595</v>
      </c>
      <c r="AO63" s="62">
        <f t="shared" si="36"/>
        <v>220.74777226152867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0.36</v>
      </c>
      <c r="AS63" s="17">
        <f>IF(ISNA(VLOOKUP(A63,'Données projet'!$A$61:$I$81,6,0)),0%,VLOOKUP(A63,'Données projet'!$A$61:$I$81,6,0)*VLOOKUP('Données projet'!$B$10,Paramètres!$A$1:$I$89,7,0))</f>
        <v>0.13200000000000001</v>
      </c>
      <c r="AT63" s="17">
        <f>IF(ISNA(VLOOKUP(A63,'Données projet'!$A$61:$I$81,7,0)),0%,VLOOKUP(A63,'Données projet'!$A$61:$I$81,7,0))</f>
        <v>0.18</v>
      </c>
      <c r="AU63" s="23">
        <f>EXP(-LN(2)/35)*AU62+(1-EXP(-LN(2)/35))/(LN(2)/35)*AQ63*AR63*VLOOKUP('Données projet'!$B$10,Paramètres!$A$1:$I$89,3,0)*0.475*44/12</f>
        <v>42.763744134336704</v>
      </c>
      <c r="AV63" s="23">
        <f>EXP(-LN(2)/25)*AV62+(1-EXP(-LN(2)/25))/(LN(2)/25)*Calculateur!AQ63*Calculateur!AS63*VLOOKUP('Données projet'!$B$10,Paramètres!$A$1:$I$89,3,0)*0.475*44/12</f>
        <v>24.477723322858353</v>
      </c>
      <c r="AW63" s="23">
        <f>EXP(-LN(2)/2)*AW62+(1-EXP(-LN(2)/2))/(LN(2)/2)*AQ63*AT63*VLOOKUP('Données projet'!$B$10,Paramètres!$A$1:$I$89,3,0)*0.475*44/12</f>
        <v>3.6548620913230074</v>
      </c>
      <c r="AX63" s="23">
        <f t="shared" si="6"/>
        <v>70.896329548518068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7.1366666666666658</v>
      </c>
      <c r="BD63" s="13">
        <f>IF('Données projet'!$A$88&gt;35,BD62+BC63-BL62,IF(A63&lt;'Données projet'!$A$88,$BA$205^A63,IF(A63='Données projet'!$A$88,'Données projet'!$B$88,BD62+BC63-BL62)))</f>
        <v>157.36666666666667</v>
      </c>
      <c r="BE63" s="14">
        <f>BD63*VLOOKUP('Données projet'!$B$11,Paramètres!$A$1:$I$89,3,0)*VLOOKUP('Données projet'!$B$11,Paramètres!$A$1:$I$89,5,0)</f>
        <v>142.38535999999999</v>
      </c>
      <c r="BF63" s="14">
        <f t="shared" si="37"/>
        <v>36.842919502112487</v>
      </c>
      <c r="BG63" s="22">
        <f t="shared" si="7"/>
        <v>312.15592013284589</v>
      </c>
      <c r="BH63" s="62">
        <f t="shared" si="8"/>
        <v>605.48925346617921</v>
      </c>
      <c r="BI63" s="62">
        <f ca="1">AVERAGE(OFFSET($BH$3,0,0,'Données projet'!$E$11+1,1))-AVERAGE(OFFSET($H$3,0,0,'Données projet'!$E$11+1,1))</f>
        <v>320.80580551060069</v>
      </c>
      <c r="BJ63" s="62">
        <f t="shared" si="38"/>
        <v>225.55225019382294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12.086618117901443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12.086618117901443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294</v>
      </c>
      <c r="BW63" s="13">
        <f>VLOOKUP(A63,'Données projet'!$A$113:$I$133,9,0)</f>
        <v>6.2</v>
      </c>
      <c r="BX63" s="13">
        <f t="array" ref="BX63">INDEX(BW:BW,MIN(IF(ISNUMBER(BW63:BW259),ROW(BW63:BW259),"")))</f>
        <v>6.2</v>
      </c>
      <c r="BY63" s="13">
        <f>IF('Données projet'!$A$114&gt;35,BY62+BX63-CG62,IF(A63&lt;'Données projet'!$A$114,$BV$205^A63,IF(A63='Données projet'!$A$114,'Données projet'!$B$114,BY62+BX63-CG62)))</f>
        <v>293.99999999999989</v>
      </c>
      <c r="BZ63" s="14">
        <f>BY63*VLOOKUP('Données projet'!$B$12,Paramètres!$A$1:$I$89,3,0)*VLOOKUP('Données projet'!$B$12,Paramètres!$A$1:$I$89,5,0)</f>
        <v>215.56079999999992</v>
      </c>
      <c r="CA63" s="14">
        <f t="shared" si="39"/>
        <v>53.14890585638225</v>
      </c>
      <c r="CB63" s="22">
        <f t="shared" si="10"/>
        <v>468.00273769986558</v>
      </c>
      <c r="CC63" s="62">
        <f t="shared" si="11"/>
        <v>761.33607103319889</v>
      </c>
      <c r="CD63" s="62">
        <f ca="1">AVERAGE(OFFSET($CC$3,0,0,'Données projet'!$E$12+1,1))-AVERAGE(OFFSET($H$3,0,0,'Données projet'!$E$12+1,1))</f>
        <v>254.67898541152096</v>
      </c>
      <c r="CE63" s="62">
        <f t="shared" si="40"/>
        <v>251.52653810702509</v>
      </c>
      <c r="CF63" s="16">
        <f>IF(ISNA(VLOOKUP(A63,'Données projet'!$A$113:$I$133,3,0)),0,VLOOKUP(A63,'Données projet'!$A$113:$I$133,3,0))</f>
        <v>11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projet'!$B$12,Paramètres!$A$1:$I$89,7,0))</f>
        <v>0.25800000000000001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17.295793177037488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17.295793177037488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18.58285714285714</v>
      </c>
      <c r="N64" s="14">
        <f>IF('Données projet'!$A$36&gt;35,N63+M64-V63,IF(A64&lt;'Données projet'!$A$36,$K$205^A64,IF(A64='Données projet'!$A$36,'Données projet'!$B$36,N63+M64-V63)))</f>
        <v>531.83428571428578</v>
      </c>
      <c r="O64" s="14">
        <f>N64*VLOOKUP('Données projet'!$B$9,Paramètres!$A$1:$I$89,3,0)*VLOOKUP('Données projet'!$B$9,Paramètres!$A$1:$I$89,5,0)</f>
        <v>297.29536571428577</v>
      </c>
      <c r="P64" s="14">
        <f t="shared" si="33"/>
        <v>70.609169738501635</v>
      </c>
      <c r="Q64" s="22">
        <f t="shared" si="53"/>
        <v>640.76706591360471</v>
      </c>
      <c r="R64" s="62">
        <f t="shared" si="0"/>
        <v>934.10039924693797</v>
      </c>
      <c r="S64" s="62">
        <f ca="1">AVERAGE(OFFSET($R$3,0,0,'Données projet'!$E$9+1,1))-AVERAGE(OFFSET($H$3,0,0,'Données projet'!$E$9+1,1))</f>
        <v>321.56347025977988</v>
      </c>
      <c r="T64" s="62">
        <f t="shared" si="34"/>
        <v>285.79375360040717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75.315952379223845</v>
      </c>
      <c r="AA64" s="23">
        <f>EXP(-LN(2)/25)*AA63+(1-EXP(-LN(2)/25))/(LN(2)/25)*Calculateur!V64*Calculateur!X64*VLOOKUP('Données projet'!$B$9,Paramètres!$A$1:$I$89,3,0)*0.475*44/12</f>
        <v>33.62475473893263</v>
      </c>
      <c r="AB64" s="23">
        <f>EXP(-LN(2)/2)*AB63+(1-EXP(-LN(2)/2))/(LN(2)/2)*V64*Y64*VLOOKUP('Données projet'!$B$9,Paramètres!$A$1:$I$89,3,0)*0.475*44/12</f>
        <v>1.5971062950756749</v>
      </c>
      <c r="AC64" s="24">
        <f t="shared" si="3"/>
        <v>110.53781341323214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7.4</v>
      </c>
      <c r="AI64" s="14">
        <f>IF('Données projet'!$A$62&gt;35,AI63+AH64-AQ63,IF(A64&lt;'Données projet'!$A$62,$AF$205^A64,IF(A64='Données projet'!$A$62,'Données projet'!$B$62,AI63+AH64-AQ63)))</f>
        <v>311.39999999999981</v>
      </c>
      <c r="AJ64" s="14">
        <f>AI64*VLOOKUP('Données projet'!$B$10,Paramètres!$A$1:$I$89,3,0)*VLOOKUP('Données projet'!$B$10,Paramètres!$A$1:$I$89,5,0)</f>
        <v>194.31359999999987</v>
      </c>
      <c r="AK64" s="14">
        <f t="shared" si="35"/>
        <v>48.492378971505104</v>
      </c>
      <c r="AL64" s="22">
        <f t="shared" si="4"/>
        <v>422.88708004203778</v>
      </c>
      <c r="AM64" s="62">
        <f t="shared" si="5"/>
        <v>716.22041337537109</v>
      </c>
      <c r="AN64" s="62">
        <f ca="1">AVERAGE(OFFSET($AM$3,0,0,'Données projet'!$E$10+1,1))-AVERAGE(OFFSET($H$3,0,0,'Données projet'!$E$10+1,1))</f>
        <v>272.2908884671595</v>
      </c>
      <c r="AO64" s="62">
        <f t="shared" si="36"/>
        <v>220.74777226152867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41.925173195170771</v>
      </c>
      <c r="AV64" s="23">
        <f>EXP(-LN(2)/25)*AV63+(1-EXP(-LN(2)/25))/(LN(2)/25)*Calculateur!AQ64*Calculateur!AS64*VLOOKUP('Données projet'!$B$10,Paramètres!$A$1:$I$89,3,0)*0.475*44/12</f>
        <v>23.808378691367267</v>
      </c>
      <c r="AW64" s="23">
        <f>EXP(-LN(2)/2)*AW63+(1-EXP(-LN(2)/2))/(LN(2)/2)*AQ64*AT64*VLOOKUP('Données projet'!$B$10,Paramètres!$A$1:$I$89,3,0)*0.475*44/12</f>
        <v>2.5843777690761454</v>
      </c>
      <c r="AX64" s="23">
        <f t="shared" si="6"/>
        <v>68.317929655614179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7.1366666666666658</v>
      </c>
      <c r="BD64" s="13">
        <f>IF('Données projet'!$A$88&gt;35,BD63+BC64-BL63,IF(A64&lt;'Données projet'!$A$88,$BA$205^A64,IF(A64='Données projet'!$A$88,'Données projet'!$B$88,BD63+BC64-BL63)))</f>
        <v>164.50333333333333</v>
      </c>
      <c r="BE64" s="14">
        <f>BD64*VLOOKUP('Données projet'!$B$11,Paramètres!$A$1:$I$89,3,0)*VLOOKUP('Données projet'!$B$11,Paramètres!$A$1:$I$89,5,0)</f>
        <v>148.84261599999999</v>
      </c>
      <c r="BF64" s="14">
        <f t="shared" si="37"/>
        <v>38.31544750028025</v>
      </c>
      <c r="BG64" s="22">
        <f t="shared" si="7"/>
        <v>325.96696059632137</v>
      </c>
      <c r="BH64" s="62">
        <f t="shared" si="8"/>
        <v>619.30029392965469</v>
      </c>
      <c r="BI64" s="62">
        <f ca="1">AVERAGE(OFFSET($BH$3,0,0,'Données projet'!$E$11+1,1))-AVERAGE(OFFSET($H$3,0,0,'Données projet'!$E$11+1,1))</f>
        <v>320.80580551060069</v>
      </c>
      <c r="BJ64" s="62">
        <f t="shared" si="38"/>
        <v>225.55225019382294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11.849606908718512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11.849606908718512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285.19999999999987</v>
      </c>
      <c r="BZ64" s="14">
        <f>BY64*VLOOKUP('Données projet'!$B$12,Paramètres!$A$1:$I$89,3,0)*VLOOKUP('Données projet'!$B$12,Paramètres!$A$1:$I$89,5,0)</f>
        <v>209.10863999999989</v>
      </c>
      <c r="CA64" s="14">
        <f t="shared" si="39"/>
        <v>51.740752917407036</v>
      </c>
      <c r="CB64" s="22">
        <f t="shared" si="10"/>
        <v>454.31269266448368</v>
      </c>
      <c r="CC64" s="62">
        <f t="shared" si="11"/>
        <v>747.64602599781699</v>
      </c>
      <c r="CD64" s="62">
        <f ca="1">AVERAGE(OFFSET($CC$3,0,0,'Données projet'!$E$12+1,1))-AVERAGE(OFFSET($H$3,0,0,'Données projet'!$E$12+1,1))</f>
        <v>254.67898541152096</v>
      </c>
      <c r="CE64" s="62">
        <f t="shared" si="40"/>
        <v>251.52653810702509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16.956633222227957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16.956633222227957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18.58285714285714</v>
      </c>
      <c r="N65" s="14">
        <f>IF('Données projet'!$A$36&gt;35,N64+M65-V64,IF(A65&lt;'Données projet'!$A$36,$K$205^A65,IF(A65='Données projet'!$A$36,'Données projet'!$B$36,N64+M65-V64)))</f>
        <v>550.41714285714295</v>
      </c>
      <c r="O65" s="14">
        <f>N65*VLOOKUP('Données projet'!$B$9,Paramètres!$A$1:$I$89,3,0)*VLOOKUP('Données projet'!$B$9,Paramètres!$A$1:$I$89,5,0)</f>
        <v>307.68318285714292</v>
      </c>
      <c r="P65" s="14">
        <f t="shared" si="33"/>
        <v>72.784775498421382</v>
      </c>
      <c r="Q65" s="22">
        <f t="shared" si="53"/>
        <v>662.64836080260773</v>
      </c>
      <c r="R65" s="62">
        <f t="shared" si="0"/>
        <v>955.9816941359411</v>
      </c>
      <c r="S65" s="62">
        <f ca="1">AVERAGE(OFFSET($R$3,0,0,'Données projet'!$E$9+1,1))-AVERAGE(OFFSET($H$3,0,0,'Données projet'!$E$9+1,1))</f>
        <v>321.56347025977988</v>
      </c>
      <c r="T65" s="62">
        <f t="shared" si="34"/>
        <v>285.79375360040717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73.839052491262194</v>
      </c>
      <c r="AA65" s="23">
        <f>EXP(-LN(2)/25)*AA64+(1-EXP(-LN(2)/25))/(LN(2)/25)*Calculateur!V65*Calculateur!X65*VLOOKUP('Données projet'!$B$9,Paramètres!$A$1:$I$89,3,0)*0.475*44/12</f>
        <v>32.705284052347515</v>
      </c>
      <c r="AB65" s="23">
        <f>EXP(-LN(2)/2)*AB64+(1-EXP(-LN(2)/2))/(LN(2)/2)*V65*Y65*VLOOKUP('Données projet'!$B$9,Paramètres!$A$1:$I$89,3,0)*0.475*44/12</f>
        <v>1.1293246915237329</v>
      </c>
      <c r="AC65" s="24">
        <f t="shared" si="3"/>
        <v>107.67366123513345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7.4</v>
      </c>
      <c r="AI65" s="14">
        <f>IF('Données projet'!$A$62&gt;35,AI64+AH65-AQ64,IF(A65&lt;'Données projet'!$A$62,$AF$205^A65,IF(A65='Données projet'!$A$62,'Données projet'!$B$62,AI64+AH65-AQ64)))</f>
        <v>318.79999999999978</v>
      </c>
      <c r="AJ65" s="14">
        <f>AI65*VLOOKUP('Données projet'!$B$10,Paramètres!$A$1:$I$89,3,0)*VLOOKUP('Données projet'!$B$10,Paramètres!$A$1:$I$89,5,0)</f>
        <v>198.93119999999985</v>
      </c>
      <c r="AK65" s="14">
        <f t="shared" si="35"/>
        <v>49.509204633403037</v>
      </c>
      <c r="AL65" s="22">
        <f t="shared" si="4"/>
        <v>432.70037140317669</v>
      </c>
      <c r="AM65" s="62">
        <f t="shared" si="5"/>
        <v>726.03370473651</v>
      </c>
      <c r="AN65" s="62">
        <f ca="1">AVERAGE(OFFSET($AM$3,0,0,'Données projet'!$E$10+1,1))-AVERAGE(OFFSET($H$3,0,0,'Données projet'!$E$10+1,1))</f>
        <v>272.2908884671595</v>
      </c>
      <c r="AO65" s="62">
        <f t="shared" si="36"/>
        <v>220.74777226152867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41.103046120644116</v>
      </c>
      <c r="AV65" s="23">
        <f>EXP(-LN(2)/25)*AV64+(1-EXP(-LN(2)/25))/(LN(2)/25)*Calculateur!AQ65*Calculateur!AS65*VLOOKUP('Données projet'!$B$10,Paramètres!$A$1:$I$89,3,0)*0.475*44/12</f>
        <v>23.157337324023608</v>
      </c>
      <c r="AW65" s="23">
        <f>EXP(-LN(2)/2)*AW64+(1-EXP(-LN(2)/2))/(LN(2)/2)*AQ65*AT65*VLOOKUP('Données projet'!$B$10,Paramètres!$A$1:$I$89,3,0)*0.475*44/12</f>
        <v>1.8274310456615039</v>
      </c>
      <c r="AX65" s="23">
        <f t="shared" si="6"/>
        <v>66.087814490329222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>
        <f>VLOOKUP(A65,'Données projet'!$A$87:$I$107,2,0)</f>
        <v>171.64</v>
      </c>
      <c r="BB65" s="13">
        <f>VLOOKUP(A65,'Données projet'!$A$87:$I$107,9,0)</f>
        <v>7.1366666666666658</v>
      </c>
      <c r="BC65" s="13">
        <f t="array" ref="BC65">INDEX(BB:BB,MIN(IF(ISNUMBER(BB65:BB261),ROW(BB65:BB261),"")))</f>
        <v>7.1366666666666658</v>
      </c>
      <c r="BD65" s="13">
        <f>IF('Données projet'!$A$88&gt;35,BD64+BC65-BL64,IF(A65&lt;'Données projet'!$A$88,$BA$205^A65,IF(A65='Données projet'!$A$88,'Données projet'!$B$88,BD64+BC65-BL64)))</f>
        <v>171.64</v>
      </c>
      <c r="BE65" s="14">
        <f>BD65*VLOOKUP('Données projet'!$B$11,Paramètres!$A$1:$I$89,3,0)*VLOOKUP('Données projet'!$B$11,Paramètres!$A$1:$I$89,5,0)</f>
        <v>155.29987199999997</v>
      </c>
      <c r="BF65" s="14">
        <f t="shared" si="37"/>
        <v>39.780555820604405</v>
      </c>
      <c r="BG65" s="22">
        <f t="shared" si="7"/>
        <v>339.76507845421929</v>
      </c>
      <c r="BH65" s="62">
        <f t="shared" si="8"/>
        <v>633.09841178755255</v>
      </c>
      <c r="BI65" s="62">
        <f ca="1">AVERAGE(OFFSET($BH$3,0,0,'Données projet'!$E$11+1,1))-AVERAGE(OFFSET($H$3,0,0,'Données projet'!$E$11+1,1))</f>
        <v>320.80580551060069</v>
      </c>
      <c r="BJ65" s="62">
        <f t="shared" si="38"/>
        <v>225.55225019382294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11.617243344785095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11.617243344785095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290.39999999999986</v>
      </c>
      <c r="BZ65" s="14">
        <f>BY65*VLOOKUP('Données projet'!$B$12,Paramètres!$A$1:$I$89,3,0)*VLOOKUP('Données projet'!$B$12,Paramètres!$A$1:$I$89,5,0)</f>
        <v>212.92127999999988</v>
      </c>
      <c r="CA65" s="14">
        <f t="shared" si="39"/>
        <v>52.57344469809297</v>
      </c>
      <c r="CB65" s="22">
        <f t="shared" si="10"/>
        <v>462.40331218251168</v>
      </c>
      <c r="CC65" s="62">
        <f t="shared" si="11"/>
        <v>755.736645515845</v>
      </c>
      <c r="CD65" s="62">
        <f ca="1">AVERAGE(OFFSET($CC$3,0,0,'Données projet'!$E$12+1,1))-AVERAGE(OFFSET($H$3,0,0,'Données projet'!$E$12+1,1))</f>
        <v>254.67898541152096</v>
      </c>
      <c r="CE65" s="62">
        <f t="shared" si="40"/>
        <v>251.52653810702509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16.624123987265094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16.624123987265094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569</v>
      </c>
      <c r="L66" s="13">
        <f>VLOOKUP(A66,'Données projet'!$A$35:$I$55,9,0)</f>
        <v>18.58285714285714</v>
      </c>
      <c r="M66" s="13">
        <f t="array" ref="M66">INDEX(L:L,MIN(IF(ISNUMBER(L66:L262),ROW(L66:L262),"")))</f>
        <v>18.58285714285714</v>
      </c>
      <c r="N66" s="14">
        <f>IF('Données projet'!$A$36&gt;35,N65+M66-V65,IF(A66&lt;'Données projet'!$A$36,$K$205^A66,IF(A66='Données projet'!$A$36,'Données projet'!$B$36,N65+M66-V65)))</f>
        <v>569.00000000000011</v>
      </c>
      <c r="O66" s="14">
        <f>N66*VLOOKUP('Données projet'!$B$9,Paramètres!$A$1:$I$89,3,0)*VLOOKUP('Données projet'!$B$9,Paramètres!$A$1:$I$89,5,0)</f>
        <v>318.07100000000008</v>
      </c>
      <c r="P66" s="14">
        <f t="shared" si="33"/>
        <v>74.951846567144685</v>
      </c>
      <c r="Q66" s="22">
        <f t="shared" si="53"/>
        <v>684.51479110444382</v>
      </c>
      <c r="R66" s="62">
        <f t="shared" si="0"/>
        <v>977.84812443777719</v>
      </c>
      <c r="S66" s="62">
        <f ca="1">AVERAGE(OFFSET($R$3,0,0,'Données projet'!$E$9+1,1))-AVERAGE(OFFSET($H$3,0,0,'Données projet'!$E$9+1,1))</f>
        <v>321.56347025977988</v>
      </c>
      <c r="T66" s="62">
        <f t="shared" si="34"/>
        <v>285.79375360040717</v>
      </c>
      <c r="U66" s="16">
        <f>IF(ISNA(VLOOKUP(A66,'Données projet'!$A$35:$I$55,3,0)),0,VLOOKUP(A66,'Données projet'!$A$35:$I$55,3,0))</f>
        <v>8</v>
      </c>
      <c r="V66" s="16">
        <f>IF(ISNA(VLOOKUP(A66,'Données projet'!$A$35:$I$55,4,0)),0,VLOOKUP(A66,'Données projet'!$A$35:$I$55,4,0))</f>
        <v>99.49</v>
      </c>
      <c r="W66" s="17">
        <f>IF(ISNA(VLOOKUP(A66,'Données projet'!$A$35:$I$55,5,0)),0%,VLOOKUP(A66,'Données projet'!$A$35:$I$55,5,0)*VLOOKUP('Données projet'!$B$9,Paramètres!$A$1:$I$89,7,0))</f>
        <v>0.44000000000000006</v>
      </c>
      <c r="X66" s="17">
        <f>IF(ISNA(VLOOKUP(A66,'Données projet'!$A$35:$I$55,6,0)),0%,VLOOKUP(A66,'Données projet'!$A$35:$I$55,6,0)*VLOOKUP('Données projet'!$B$9,Paramètres!$A$1:$I$89,7,0))</f>
        <v>6.0500000000000005E-2</v>
      </c>
      <c r="Y66" s="17">
        <f>IF(ISNA(VLOOKUP(A66,'Données projet'!$A$35:$I$55,7,0)),0%,VLOOKUP(A66,'Données projet'!$A$35:$I$55,7,0))</f>
        <v>0.09</v>
      </c>
      <c r="Z66" s="23">
        <f>EXP(-LN(2)/35)*Z65+(1-EXP(-LN(2)/35))/(LN(2)/35)*V66*W66*VLOOKUP('Données projet'!$B$9,Paramètres!$A$1:$I$89,3,0)*0.475*44/12</f>
        <v>104.85288934060986</v>
      </c>
      <c r="AA66" s="23">
        <f>EXP(-LN(2)/25)*AA65+(1-EXP(-LN(2)/25))/(LN(2)/25)*Calculateur!V66*Calculateur!X66*VLOOKUP('Données projet'!$B$9,Paramètres!$A$1:$I$89,3,0)*0.475*44/12</f>
        <v>36.25687601215688</v>
      </c>
      <c r="AB66" s="23">
        <f>EXP(-LN(2)/2)*AB65+(1-EXP(-LN(2)/2))/(LN(2)/2)*V66*Y66*VLOOKUP('Données projet'!$B$9,Paramètres!$A$1:$I$89,3,0)*0.475*44/12</f>
        <v>6.4657629068803217</v>
      </c>
      <c r="AC66" s="24">
        <f t="shared" si="3"/>
        <v>147.57552825964706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7.4</v>
      </c>
      <c r="AI66" s="14">
        <f>IF('Données projet'!$A$62&gt;35,AI65+AH66-AQ65,IF(A66&lt;'Données projet'!$A$62,$AF$205^A66,IF(A66='Données projet'!$A$62,'Données projet'!$B$62,AI65+AH66-AQ65)))</f>
        <v>326.19999999999976</v>
      </c>
      <c r="AJ66" s="14">
        <f>AI66*VLOOKUP('Données projet'!$B$10,Paramètres!$A$1:$I$89,3,0)*VLOOKUP('Données projet'!$B$10,Paramètres!$A$1:$I$89,5,0)</f>
        <v>203.54879999999986</v>
      </c>
      <c r="AK66" s="14">
        <f t="shared" si="35"/>
        <v>50.523286400023437</v>
      </c>
      <c r="AL66" s="22">
        <f t="shared" si="4"/>
        <v>442.50888381337387</v>
      </c>
      <c r="AM66" s="62">
        <f t="shared" si="5"/>
        <v>735.84221714670718</v>
      </c>
      <c r="AN66" s="62">
        <f ca="1">AVERAGE(OFFSET($AM$3,0,0,'Données projet'!$E$10+1,1))-AVERAGE(OFFSET($H$3,0,0,'Données projet'!$E$10+1,1))</f>
        <v>272.2908884671595</v>
      </c>
      <c r="AO66" s="62">
        <f t="shared" si="36"/>
        <v>220.74777226152867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40.297040456600925</v>
      </c>
      <c r="AV66" s="23">
        <f>EXP(-LN(2)/25)*AV65+(1-EXP(-LN(2)/25))/(LN(2)/25)*Calculateur!AQ66*Calculateur!AS66*VLOOKUP('Données projet'!$B$10,Paramètres!$A$1:$I$89,3,0)*0.475*44/12</f>
        <v>22.524098717106739</v>
      </c>
      <c r="AW66" s="23">
        <f>EXP(-LN(2)/2)*AW65+(1-EXP(-LN(2)/2))/(LN(2)/2)*AQ66*AT66*VLOOKUP('Données projet'!$B$10,Paramètres!$A$1:$I$89,3,0)*0.475*44/12</f>
        <v>1.2921888845380729</v>
      </c>
      <c r="AX66" s="23">
        <f t="shared" si="6"/>
        <v>64.113328058245742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</v>
      </c>
      <c r="BD66" s="13">
        <f>IF('Données projet'!$A$88&gt;35,BD65+BC66-BL65,IF(A66&lt;'Données projet'!$A$88,$BA$205^A66,IF(A66='Données projet'!$A$88,'Données projet'!$B$88,BD65+BC66-BL65)))</f>
        <v>179.64</v>
      </c>
      <c r="BE66" s="14">
        <f>BD66*VLOOKUP('Données projet'!$B$11,Paramètres!$A$1:$I$89,3,0)*VLOOKUP('Données projet'!$B$11,Paramètres!$A$1:$I$89,5,0)</f>
        <v>162.53827199999998</v>
      </c>
      <c r="BF66" s="14">
        <f t="shared" si="37"/>
        <v>41.414504235718937</v>
      </c>
      <c r="BG66" s="22">
        <f t="shared" si="7"/>
        <v>355.21775194387709</v>
      </c>
      <c r="BH66" s="62">
        <f t="shared" si="8"/>
        <v>648.5510852772104</v>
      </c>
      <c r="BI66" s="62">
        <f ca="1">AVERAGE(OFFSET($BH$3,0,0,'Données projet'!$E$11+1,1))-AVERAGE(OFFSET($H$3,0,0,'Données projet'!$E$11+1,1))</f>
        <v>320.80580551060069</v>
      </c>
      <c r="BJ66" s="62">
        <f t="shared" si="38"/>
        <v>225.55225019382294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11.389436288612632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11.389436288612632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295.59999999999985</v>
      </c>
      <c r="BZ66" s="14">
        <f>BY66*VLOOKUP('Données projet'!$B$12,Paramètres!$A$1:$I$89,3,0)*VLOOKUP('Données projet'!$B$12,Paramètres!$A$1:$I$89,5,0)</f>
        <v>216.7339199999999</v>
      </c>
      <c r="CA66" s="14">
        <f t="shared" si="39"/>
        <v>53.404402610883679</v>
      </c>
      <c r="CB66" s="22">
        <f t="shared" si="10"/>
        <v>470.49091188062221</v>
      </c>
      <c r="CC66" s="62">
        <f t="shared" si="11"/>
        <v>763.82424521395546</v>
      </c>
      <c r="CD66" s="62">
        <f ca="1">AVERAGE(OFFSET($CC$3,0,0,'Données projet'!$E$12+1,1))-AVERAGE(OFFSET($H$3,0,0,'Données projet'!$E$12+1,1))</f>
        <v>254.67898541152096</v>
      </c>
      <c r="CE66" s="62">
        <f t="shared" si="40"/>
        <v>251.52653810702509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16.298135055589245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16.298135055589245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16.745000000000005</v>
      </c>
      <c r="N67" s="14">
        <f>IF('Données projet'!$A$36&gt;35,N66+M67-V66,IF(A67&lt;'Données projet'!$A$36,$K$205^A67,IF(A67='Données projet'!$A$36,'Données projet'!$B$36,N66+M67-V66)))</f>
        <v>486.25500000000011</v>
      </c>
      <c r="O67" s="14">
        <f>N67*VLOOKUP('Données projet'!$B$9,Paramètres!$A$1:$I$89,3,0)*VLOOKUP('Données projet'!$B$9,Paramètres!$A$1:$I$89,5,0)</f>
        <v>271.81654500000008</v>
      </c>
      <c r="P67" s="14">
        <f t="shared" si="33"/>
        <v>65.234635404592368</v>
      </c>
      <c r="Q67" s="22">
        <f t="shared" ref="Q67:Q98" si="54">(O67+P67)*0.475*44/12</f>
        <v>587.03080587133184</v>
      </c>
      <c r="R67" s="62">
        <f t="shared" ref="R67:R130" si="55">Q67+(I67+J67)*44/12</f>
        <v>880.36413920466521</v>
      </c>
      <c r="S67" s="62">
        <f ca="1">AVERAGE(OFFSET($R$3,0,0,'Données projet'!$E$9+1,1))-AVERAGE(OFFSET($H$3,0,0,'Données projet'!$E$9+1,1))</f>
        <v>321.56347025977988</v>
      </c>
      <c r="T67" s="62">
        <f t="shared" si="34"/>
        <v>285.79375360040717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102.79678813458807</v>
      </c>
      <c r="AA67" s="23">
        <f>EXP(-LN(2)/25)*AA66+(1-EXP(-LN(2)/25))/(LN(2)/25)*Calculateur!V67*Calculateur!X67*VLOOKUP('Données projet'!$B$9,Paramètres!$A$1:$I$89,3,0)*0.475*44/12</f>
        <v>35.26542983093821</v>
      </c>
      <c r="AB67" s="23">
        <f>EXP(-LN(2)/2)*AB66+(1-EXP(-LN(2)/2))/(LN(2)/2)*V67*Y67*VLOOKUP('Données projet'!$B$9,Paramètres!$A$1:$I$89,3,0)*0.475*44/12</f>
        <v>4.5719847969995193</v>
      </c>
      <c r="AC67" s="24">
        <f t="shared" si="3"/>
        <v>142.6342027625258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7.4</v>
      </c>
      <c r="AI67" s="14">
        <f>IF('Données projet'!$A$62&gt;35,AI66+AH67-AQ66,IF(A67&lt;'Données projet'!$A$62,$AF$205^A67,IF(A67='Données projet'!$A$62,'Données projet'!$B$62,AI66+AH67-AQ66)))</f>
        <v>333.59999999999974</v>
      </c>
      <c r="AJ67" s="14">
        <f>AI67*VLOOKUP('Données projet'!$B$10,Paramètres!$A$1:$I$89,3,0)*VLOOKUP('Données projet'!$B$10,Paramètres!$A$1:$I$89,5,0)</f>
        <v>208.16639999999984</v>
      </c>
      <c r="AK67" s="14">
        <f t="shared" si="35"/>
        <v>51.534693683778059</v>
      </c>
      <c r="AL67" s="22">
        <f t="shared" si="4"/>
        <v>452.31273816591323</v>
      </c>
      <c r="AM67" s="62">
        <f t="shared" si="5"/>
        <v>745.64607149924655</v>
      </c>
      <c r="AN67" s="62">
        <f ca="1">AVERAGE(OFFSET($AM$3,0,0,'Données projet'!$E$10+1,1))-AVERAGE(OFFSET($H$3,0,0,'Données projet'!$E$10+1,1))</f>
        <v>272.2908884671595</v>
      </c>
      <c r="AO67" s="62">
        <f t="shared" si="36"/>
        <v>220.74777226152867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39.506840072014711</v>
      </c>
      <c r="AV67" s="23">
        <f>EXP(-LN(2)/25)*AV66+(1-EXP(-LN(2)/25))/(LN(2)/25)*Calculateur!AQ67*Calculateur!AS67*VLOOKUP('Données projet'!$B$10,Paramètres!$A$1:$I$89,3,0)*0.475*44/12</f>
        <v>21.908176053196584</v>
      </c>
      <c r="AW67" s="23">
        <f>EXP(-LN(2)/2)*AW66+(1-EXP(-LN(2)/2))/(LN(2)/2)*AQ67*AT67*VLOOKUP('Données projet'!$B$10,Paramètres!$A$1:$I$89,3,0)*0.475*44/12</f>
        <v>0.91371552283075208</v>
      </c>
      <c r="AX67" s="23">
        <f t="shared" si="6"/>
        <v>62.328731648042044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</v>
      </c>
      <c r="BD67" s="13">
        <f>IF('Données projet'!$A$88&gt;35,BD66+BC67-BL66,IF(A67&lt;'Données projet'!$A$88,$BA$205^A67,IF(A67='Données projet'!$A$88,'Données projet'!$B$88,BD66+BC67-BL66)))</f>
        <v>187.64</v>
      </c>
      <c r="BE67" s="14">
        <f>BD67*VLOOKUP('Données projet'!$B$11,Paramètres!$A$1:$I$89,3,0)*VLOOKUP('Données projet'!$B$11,Paramètres!$A$1:$I$89,5,0)</f>
        <v>169.77667199999999</v>
      </c>
      <c r="BF67" s="14">
        <f t="shared" si="37"/>
        <v>43.040001716362319</v>
      </c>
      <c r="BG67" s="22">
        <f t="shared" si="7"/>
        <v>370.65570672266432</v>
      </c>
      <c r="BH67" s="62">
        <f t="shared" si="8"/>
        <v>663.98904005599763</v>
      </c>
      <c r="BI67" s="62">
        <f ca="1">AVERAGE(OFFSET($BH$3,0,0,'Données projet'!$E$11+1,1))-AVERAGE(OFFSET($H$3,0,0,'Données projet'!$E$11+1,1))</f>
        <v>320.80580551060069</v>
      </c>
      <c r="BJ67" s="62">
        <f t="shared" si="38"/>
        <v>225.55225019382294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11.166096389863128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11.166096389863128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300.79999999999984</v>
      </c>
      <c r="BZ67" s="14">
        <f>BY67*VLOOKUP('Données projet'!$B$12,Paramètres!$A$1:$I$89,3,0)*VLOOKUP('Données projet'!$B$12,Paramètres!$A$1:$I$89,5,0)</f>
        <v>220.54655999999989</v>
      </c>
      <c r="CA67" s="14">
        <f t="shared" si="39"/>
        <v>54.233660675860236</v>
      </c>
      <c r="CB67" s="22">
        <f t="shared" si="10"/>
        <v>478.57555101045637</v>
      </c>
      <c r="CC67" s="62">
        <f t="shared" si="11"/>
        <v>771.90888434378962</v>
      </c>
      <c r="CD67" s="62">
        <f ca="1">AVERAGE(OFFSET($CC$3,0,0,'Données projet'!$E$12+1,1))-AVERAGE(OFFSET($H$3,0,0,'Données projet'!$E$12+1,1))</f>
        <v>254.67898541152096</v>
      </c>
      <c r="CE67" s="62">
        <f t="shared" si="40"/>
        <v>251.52653810702509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15.978538568029943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15.978538568029943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16.745000000000005</v>
      </c>
      <c r="N68" s="14">
        <f>IF('Données projet'!$A$36&gt;35,N67+M68-V67,IF(A68&lt;'Données projet'!$A$36,$K$205^A68,IF(A68='Données projet'!$A$36,'Données projet'!$B$36,N67+M68-V67)))</f>
        <v>503.00000000000011</v>
      </c>
      <c r="O68" s="14">
        <f>N68*VLOOKUP('Données projet'!$B$9,Paramètres!$A$1:$I$89,3,0)*VLOOKUP('Données projet'!$B$9,Paramètres!$A$1:$I$89,5,0)</f>
        <v>281.17700000000008</v>
      </c>
      <c r="P68" s="14">
        <f t="shared" si="33"/>
        <v>67.215682058608678</v>
      </c>
      <c r="Q68" s="22">
        <f t="shared" si="54"/>
        <v>606.78392125207699</v>
      </c>
      <c r="R68" s="62">
        <f t="shared" si="55"/>
        <v>900.11725458541036</v>
      </c>
      <c r="S68" s="62">
        <f ca="1">AVERAGE(OFFSET($R$3,0,0,'Données projet'!$E$9+1,1))-AVERAGE(OFFSET($H$3,0,0,'Données projet'!$E$9+1,1))</f>
        <v>321.56347025977988</v>
      </c>
      <c r="T68" s="62">
        <f t="shared" si="34"/>
        <v>285.79375360040717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100.78100581911846</v>
      </c>
      <c r="AA68" s="23">
        <f>EXP(-LN(2)/25)*AA67+(1-EXP(-LN(2)/25))/(LN(2)/25)*Calculateur!V68*Calculateur!X68*VLOOKUP('Données projet'!$B$9,Paramètres!$A$1:$I$89,3,0)*0.475*44/12</f>
        <v>34.30109479768285</v>
      </c>
      <c r="AB68" s="23">
        <f>EXP(-LN(2)/2)*AB67+(1-EXP(-LN(2)/2))/(LN(2)/2)*V68*Y68*VLOOKUP('Données projet'!$B$9,Paramètres!$A$1:$I$89,3,0)*0.475*44/12</f>
        <v>3.2328814534401613</v>
      </c>
      <c r="AC68" s="24">
        <f t="shared" ref="AC68:AC131" si="57">SUM(Z68:AB68)</f>
        <v>138.31498207024148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341</v>
      </c>
      <c r="AG68" s="13">
        <f>VLOOKUP(A68,'Données projet'!$A$61:$I$81,9,0)</f>
        <v>7.4</v>
      </c>
      <c r="AH68" s="13">
        <f t="array" ref="AH68">INDEX(AG:AG,MIN(IF(ISNUMBER(AG68:AG264),ROW(AG68:AG264),"")))</f>
        <v>7.4</v>
      </c>
      <c r="AI68" s="14">
        <f>IF('Données projet'!$A$62&gt;35,AI67+AH68-AQ67,IF(A68&lt;'Données projet'!$A$62,$AF$205^A68,IF(A68='Données projet'!$A$62,'Données projet'!$B$62,AI67+AH68-AQ67)))</f>
        <v>340.99999999999972</v>
      </c>
      <c r="AJ68" s="14">
        <f>AI68*VLOOKUP('Données projet'!$B$10,Paramètres!$A$1:$I$89,3,0)*VLOOKUP('Données projet'!$B$10,Paramètres!$A$1:$I$89,5,0)</f>
        <v>212.78399999999982</v>
      </c>
      <c r="AK68" s="14">
        <f t="shared" si="35"/>
        <v>52.543492641808015</v>
      </c>
      <c r="AL68" s="22">
        <f t="shared" ref="AL68:AL131" si="58">(AJ68+AK68)*0.475*44/12</f>
        <v>462.11204968448197</v>
      </c>
      <c r="AM68" s="62">
        <f t="shared" ref="AM68:AM131" si="59">AL68+(AD68+AE68)*44/12</f>
        <v>755.44538301781529</v>
      </c>
      <c r="AN68" s="62">
        <f ca="1">AVERAGE(OFFSET($AM$3,0,0,'Données projet'!$E$10+1,1))-AVERAGE(OFFSET($H$3,0,0,'Données projet'!$E$10+1,1))</f>
        <v>272.2908884671595</v>
      </c>
      <c r="AO68" s="62">
        <f t="shared" si="36"/>
        <v>220.74777226152867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19</v>
      </c>
      <c r="AR68" s="17">
        <f>IF(ISNA(VLOOKUP(A68,'Données projet'!$A$61:$I$81,5,0)),0%,VLOOKUP(A68,'Données projet'!$A$61:$I$81,5,0)*VLOOKUP('Données projet'!$B$10,Paramètres!$A$1:$I$89,7,0))</f>
        <v>0.36</v>
      </c>
      <c r="AS68" s="17">
        <f>IF(ISNA(VLOOKUP(A68,'Données projet'!$A$61:$I$81,6,0)),0%,VLOOKUP(A68,'Données projet'!$A$61:$I$81,6,0)*VLOOKUP('Données projet'!$B$10,Paramètres!$A$1:$I$89,7,0))</f>
        <v>0.13200000000000001</v>
      </c>
      <c r="AT68" s="17">
        <f>IF(ISNA(VLOOKUP(A68,'Données projet'!$A$61:$I$81,7,0)),0%,VLOOKUP(A68,'Données projet'!$A$61:$I$81,7,0))</f>
        <v>0.18</v>
      </c>
      <c r="AU68" s="23">
        <f>EXP(-LN(2)/35)*AU67+(1-EXP(-LN(2)/35))/(LN(2)/35)*AQ68*AR68*VLOOKUP('Données projet'!$B$10,Paramètres!$A$1:$I$89,3,0)*0.475*44/12</f>
        <v>44.394124381124414</v>
      </c>
      <c r="AV68" s="23">
        <f>EXP(-LN(2)/25)*AV67+(1-EXP(-LN(2)/25))/(LN(2)/25)*Calculateur!AQ68*Calculateur!AS68*VLOOKUP('Données projet'!$B$10,Paramètres!$A$1:$I$89,3,0)*0.475*44/12</f>
        <v>23.376984337039232</v>
      </c>
      <c r="AW68" s="23">
        <f>EXP(-LN(2)/2)*AW67+(1-EXP(-LN(2)/2))/(LN(2)/2)*AQ68*AT68*VLOOKUP('Données projet'!$B$10,Paramètres!$A$1:$I$89,3,0)*0.475*44/12</f>
        <v>3.0623687437743166</v>
      </c>
      <c r="AX68" s="23">
        <f t="shared" ref="AX68:AX131" si="60">SUM(AU68:AW68)</f>
        <v>70.83347746193796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</v>
      </c>
      <c r="BD68" s="13">
        <f>IF('Données projet'!$A$88&gt;35,BD67+BC68-BL67,IF(A68&lt;'Données projet'!$A$88,$BA$205^A68,IF(A68='Données projet'!$A$88,'Données projet'!$B$88,BD67+BC68-BL67)))</f>
        <v>195.64</v>
      </c>
      <c r="BE68" s="14">
        <f>BD68*VLOOKUP('Données projet'!$B$11,Paramètres!$A$1:$I$89,3,0)*VLOOKUP('Données projet'!$B$11,Paramètres!$A$1:$I$89,5,0)</f>
        <v>177.01507199999998</v>
      </c>
      <c r="BF68" s="14">
        <f t="shared" si="37"/>
        <v>44.657449757861528</v>
      </c>
      <c r="BG68" s="22">
        <f t="shared" ref="BG68:BG131" si="61">(BE68+BF68)*0.475*44/12</f>
        <v>386.07964206160869</v>
      </c>
      <c r="BH68" s="62">
        <f t="shared" ref="BH68:BH131" si="62">BG68+(AY68+AZ68)*44/12</f>
        <v>679.41297539494201</v>
      </c>
      <c r="BI68" s="62">
        <f ca="1">AVERAGE(OFFSET($BH$3,0,0,'Données projet'!$E$11+1,1))-AVERAGE(OFFSET($H$3,0,0,'Données projet'!$E$11+1,1))</f>
        <v>320.80580551060069</v>
      </c>
      <c r="BJ68" s="62">
        <f t="shared" si="38"/>
        <v>225.55225019382294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10.947136050304215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10.947136050304215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306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305.99999999999983</v>
      </c>
      <c r="BZ68" s="14">
        <f>BY68*VLOOKUP('Données projet'!$B$12,Paramètres!$A$1:$I$89,3,0)*VLOOKUP('Données projet'!$B$12,Paramètres!$A$1:$I$89,5,0)</f>
        <v>224.35919999999987</v>
      </c>
      <c r="CA68" s="14">
        <f t="shared" si="39"/>
        <v>55.061251669487255</v>
      </c>
      <c r="CB68" s="22">
        <f t="shared" ref="CB68:CB131" si="64">(BZ68+CA68)*0.475*44/12</f>
        <v>486.65728665769001</v>
      </c>
      <c r="CC68" s="62">
        <f t="shared" ref="CC68:CC131" si="65">CB68+(BT68+BU68)*44/12</f>
        <v>779.99061999102332</v>
      </c>
      <c r="CD68" s="62">
        <f ca="1">AVERAGE(OFFSET($CC$3,0,0,'Données projet'!$E$12+1,1))-AVERAGE(OFFSET($H$3,0,0,'Données projet'!$E$12+1,1))</f>
        <v>254.67898541152096</v>
      </c>
      <c r="CE68" s="62">
        <f t="shared" si="40"/>
        <v>251.52653810702509</v>
      </c>
      <c r="CF68" s="16">
        <f>IF(ISNA(VLOOKUP(A68,'Données projet'!$A$113:$I$133,3,0)),0,VLOOKUP(A68,'Données projet'!$A$113:$I$133,3,0))</f>
        <v>12</v>
      </c>
      <c r="CG68" s="16">
        <f>IF(ISNA(VLOOKUP(A68,'Données projet'!$A$113:$I$133,4,0)),0,VLOOKUP(A68,'Données projet'!$A$113:$I$133,4,0))</f>
        <v>13</v>
      </c>
      <c r="CH68" s="17">
        <f>IF(ISNA(VLOOKUP(A68,'Données projet'!$A$113:$I$133,5,0)),0%,VLOOKUP(A68,'Données projet'!$A$113:$I$133,5,0)*VLOOKUP('Données projet'!$B$12,Paramètres!$A$1:$I$89,7,0))</f>
        <v>0.30099999999999999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18.836816514993508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18.836816514993508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16.745000000000005</v>
      </c>
      <c r="N69" s="14">
        <f>IF('Données projet'!$A$36&gt;35,N68+M69-V68,IF(A69&lt;'Données projet'!$A$36,$K$205^A69,IF(A69='Données projet'!$A$36,'Données projet'!$B$36,N68+M69-V68)))</f>
        <v>519.74500000000012</v>
      </c>
      <c r="O69" s="14">
        <f>N69*VLOOKUP('Données projet'!$B$9,Paramètres!$A$1:$I$89,3,0)*VLOOKUP('Données projet'!$B$9,Paramètres!$A$1:$I$89,5,0)</f>
        <v>290.53745500000008</v>
      </c>
      <c r="P69" s="14">
        <f t="shared" ref="P69:P132" si="87">EXP(-1.0587+0.8836*LN(O69)+0.284)</f>
        <v>69.189065543116882</v>
      </c>
      <c r="Q69" s="22">
        <f t="shared" si="54"/>
        <v>626.52368994592871</v>
      </c>
      <c r="R69" s="62">
        <f t="shared" si="55"/>
        <v>919.85702327926197</v>
      </c>
      <c r="S69" s="62">
        <f ca="1">AVERAGE(OFFSET($R$3,0,0,'Données projet'!$E$9+1,1))-AVERAGE(OFFSET($H$3,0,0,'Données projet'!$E$9+1,1))</f>
        <v>321.56347025977988</v>
      </c>
      <c r="T69" s="62">
        <f t="shared" ref="T69:T132" si="88">$T$3</f>
        <v>285.79375360040717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98.804751765349408</v>
      </c>
      <c r="AA69" s="23">
        <f>EXP(-LN(2)/25)*AA68+(1-EXP(-LN(2)/25))/(LN(2)/25)*Calculateur!V69*Calculateur!X69*VLOOKUP('Données projet'!$B$9,Paramètres!$A$1:$I$89,3,0)*0.475*44/12</f>
        <v>33.363129556624031</v>
      </c>
      <c r="AB69" s="23">
        <f>EXP(-LN(2)/2)*AB68+(1-EXP(-LN(2)/2))/(LN(2)/2)*V69*Y69*VLOOKUP('Données projet'!$B$9,Paramètres!$A$1:$I$89,3,0)*0.475*44/12</f>
        <v>2.2859923984997601</v>
      </c>
      <c r="AC69" s="24">
        <f t="shared" si="57"/>
        <v>134.45387372047318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6.2</v>
      </c>
      <c r="AI69" s="14">
        <f>IF('Données projet'!$A$62&gt;35,AI68+AH69-AQ68,IF(A69&lt;'Données projet'!$A$62,$AF$205^A69,IF(A69='Données projet'!$A$62,'Données projet'!$B$62,AI68+AH69-AQ68)))</f>
        <v>328.1999999999997</v>
      </c>
      <c r="AJ69" s="14">
        <f>AI69*VLOOKUP('Données projet'!$B$10,Paramètres!$A$1:$I$89,3,0)*VLOOKUP('Données projet'!$B$10,Paramètres!$A$1:$I$89,5,0)</f>
        <v>204.79679999999982</v>
      </c>
      <c r="AK69" s="14">
        <f t="shared" ref="AK69:AK132" si="89">EXP(-1.0587+0.8836*LN(AJ69)+0.284)</f>
        <v>50.796900637128751</v>
      </c>
      <c r="AL69" s="22">
        <f t="shared" si="58"/>
        <v>445.15902860966554</v>
      </c>
      <c r="AM69" s="62">
        <f t="shared" si="59"/>
        <v>738.49236194299885</v>
      </c>
      <c r="AN69" s="62">
        <f ca="1">AVERAGE(OFFSET($AM$3,0,0,'Données projet'!$E$10+1,1))-AVERAGE(OFFSET($H$3,0,0,'Données projet'!$E$10+1,1))</f>
        <v>272.2908884671595</v>
      </c>
      <c r="AO69" s="62">
        <f t="shared" ref="AO69:AO132" si="90">$AO$3</f>
        <v>220.74777226152867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43.523582679752728</v>
      </c>
      <c r="AV69" s="23">
        <f>EXP(-LN(2)/25)*AV68+(1-EXP(-LN(2)/25))/(LN(2)/25)*Calculateur!AQ69*Calculateur!AS69*VLOOKUP('Données projet'!$B$10,Paramètres!$A$1:$I$89,3,0)*0.475*44/12</f>
        <v>22.737739471000715</v>
      </c>
      <c r="AW69" s="23">
        <f>EXP(-LN(2)/2)*AW68+(1-EXP(-LN(2)/2))/(LN(2)/2)*AQ69*AT69*VLOOKUP('Données projet'!$B$10,Paramètres!$A$1:$I$89,3,0)*0.475*44/12</f>
        <v>2.1654217052165481</v>
      </c>
      <c r="AX69" s="23">
        <f t="shared" si="60"/>
        <v>68.426743855969988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</v>
      </c>
      <c r="BD69" s="13">
        <f>IF('Données projet'!$A$88&gt;35,BD68+BC69-BL68,IF(A69&lt;'Données projet'!$A$88,$BA$205^A69,IF(A69='Données projet'!$A$88,'Données projet'!$B$88,BD68+BC69-BL68)))</f>
        <v>203.64</v>
      </c>
      <c r="BE69" s="14">
        <f>BD69*VLOOKUP('Données projet'!$B$11,Paramètres!$A$1:$I$89,3,0)*VLOOKUP('Données projet'!$B$11,Paramètres!$A$1:$I$89,5,0)</f>
        <v>184.25347199999999</v>
      </c>
      <c r="BF69" s="14">
        <f t="shared" ref="BF69:BF132" si="91">EXP(-1.0587+0.8836*LN(BE69)+0.284)</f>
        <v>46.267215162006252</v>
      </c>
      <c r="BG69" s="22">
        <f t="shared" si="61"/>
        <v>401.49019680716083</v>
      </c>
      <c r="BH69" s="62">
        <f t="shared" si="62"/>
        <v>694.82353014049409</v>
      </c>
      <c r="BI69" s="62">
        <f ca="1">AVERAGE(OFFSET($BH$3,0,0,'Données projet'!$E$11+1,1))-AVERAGE(OFFSET($H$3,0,0,'Données projet'!$E$11+1,1))</f>
        <v>320.80580551060069</v>
      </c>
      <c r="BJ69" s="62">
        <f t="shared" ref="BJ69:BJ132" si="92">$BJ$3</f>
        <v>225.55225019382294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10.732469389451431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10.732469389451431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4.5999999999999996</v>
      </c>
      <c r="BY69" s="13">
        <f>IF('Données projet'!$A$114&gt;35,BY68+BX69-CG68,IF(A69&lt;'Données projet'!$A$114,$BV$205^A69,IF(A69='Données projet'!$A$114,'Données projet'!$B$114,BY68+BX69-CG68)))</f>
        <v>297.59999999999985</v>
      </c>
      <c r="BZ69" s="14">
        <f>BY69*VLOOKUP('Données projet'!$B$12,Paramètres!$A$1:$I$89,3,0)*VLOOKUP('Données projet'!$B$12,Paramètres!$A$1:$I$89,5,0)</f>
        <v>218.20031999999989</v>
      </c>
      <c r="CA69" s="14">
        <f t="shared" ref="CA69:CA132" si="93">EXP(-1.0587+0.8836*LN(BZ69)+0.284)</f>
        <v>53.723547368945667</v>
      </c>
      <c r="CB69" s="22">
        <f t="shared" si="64"/>
        <v>473.60073566758007</v>
      </c>
      <c r="CC69" s="62">
        <f t="shared" si="65"/>
        <v>766.93406900091338</v>
      </c>
      <c r="CD69" s="62">
        <f ca="1">AVERAGE(OFFSET($CC$3,0,0,'Données projet'!$E$12+1,1))-AVERAGE(OFFSET($H$3,0,0,'Données projet'!$E$12+1,1))</f>
        <v>254.67898541152096</v>
      </c>
      <c r="CE69" s="62">
        <f t="shared" ref="CE69:CE132" si="94">$CE$3</f>
        <v>251.52653810702509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18.467438032458084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18.467438032458084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16.745000000000005</v>
      </c>
      <c r="N70" s="14">
        <f>IF('Données projet'!$A$36&gt;35,N69+M70-V69,IF(A70&lt;'Données projet'!$A$36,$K$205^A70,IF(A70='Données projet'!$A$36,'Données projet'!$B$36,N69+M70-V69)))</f>
        <v>536.49000000000012</v>
      </c>
      <c r="O70" s="14">
        <f>N70*VLOOKUP('Données projet'!$B$9,Paramètres!$A$1:$I$89,3,0)*VLOOKUP('Données projet'!$B$9,Paramètres!$A$1:$I$89,5,0)</f>
        <v>299.89791000000008</v>
      </c>
      <c r="P70" s="14">
        <f t="shared" si="87"/>
        <v>71.155061066438293</v>
      </c>
      <c r="Q70" s="22">
        <f t="shared" si="54"/>
        <v>646.25059127404677</v>
      </c>
      <c r="R70" s="62">
        <f t="shared" si="55"/>
        <v>939.58392460738014</v>
      </c>
      <c r="S70" s="62">
        <f ca="1">AVERAGE(OFFSET($R$3,0,0,'Données projet'!$E$9+1,1))-AVERAGE(OFFSET($H$3,0,0,'Données projet'!$E$9+1,1))</f>
        <v>321.56347025977988</v>
      </c>
      <c r="T70" s="62">
        <f t="shared" si="88"/>
        <v>285.79375360040717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96.867250848178813</v>
      </c>
      <c r="AA70" s="23">
        <f>EXP(-LN(2)/25)*AA69+(1-EXP(-LN(2)/25))/(LN(2)/25)*Calculateur!V70*Calculateur!X70*VLOOKUP('Données projet'!$B$9,Paramètres!$A$1:$I$89,3,0)*0.475*44/12</f>
        <v>32.450813024407417</v>
      </c>
      <c r="AB70" s="23">
        <f>EXP(-LN(2)/2)*AB69+(1-EXP(-LN(2)/2))/(LN(2)/2)*V70*Y70*VLOOKUP('Données projet'!$B$9,Paramètres!$A$1:$I$89,3,0)*0.475*44/12</f>
        <v>1.6164407267200809</v>
      </c>
      <c r="AC70" s="24">
        <f t="shared" si="57"/>
        <v>130.93450459930631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6.2</v>
      </c>
      <c r="AI70" s="14">
        <f>IF('Données projet'!$A$62&gt;35,AI69+AH70-AQ69,IF(A70&lt;'Données projet'!$A$62,$AF$205^A70,IF(A70='Données projet'!$A$62,'Données projet'!$B$62,AI69+AH70-AQ69)))</f>
        <v>334.39999999999969</v>
      </c>
      <c r="AJ70" s="14">
        <f>AI70*VLOOKUP('Données projet'!$B$10,Paramètres!$A$1:$I$89,3,0)*VLOOKUP('Données projet'!$B$10,Paramètres!$A$1:$I$89,5,0)</f>
        <v>208.66559999999981</v>
      </c>
      <c r="AK70" s="14">
        <f t="shared" si="89"/>
        <v>51.643877630088546</v>
      </c>
      <c r="AL70" s="22">
        <f t="shared" si="58"/>
        <v>453.37234020573715</v>
      </c>
      <c r="AM70" s="62">
        <f t="shared" si="59"/>
        <v>746.7056735390704</v>
      </c>
      <c r="AN70" s="62">
        <f ca="1">AVERAGE(OFFSET($AM$3,0,0,'Données projet'!$E$10+1,1))-AVERAGE(OFFSET($H$3,0,0,'Données projet'!$E$10+1,1))</f>
        <v>272.2908884671595</v>
      </c>
      <c r="AO70" s="62">
        <f t="shared" si="90"/>
        <v>220.74777226152867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42.670111770166933</v>
      </c>
      <c r="AV70" s="23">
        <f>EXP(-LN(2)/25)*AV69+(1-EXP(-LN(2)/25))/(LN(2)/25)*Calculateur!AQ70*Calculateur!AS70*VLOOKUP('Données projet'!$B$10,Paramètres!$A$1:$I$89,3,0)*0.475*44/12</f>
        <v>22.11597478944045</v>
      </c>
      <c r="AW70" s="23">
        <f>EXP(-LN(2)/2)*AW69+(1-EXP(-LN(2)/2))/(LN(2)/2)*AQ70*AT70*VLOOKUP('Données projet'!$B$10,Paramètres!$A$1:$I$89,3,0)*0.475*44/12</f>
        <v>1.5311843718871583</v>
      </c>
      <c r="AX70" s="23">
        <f t="shared" si="60"/>
        <v>66.317270931494548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>
        <f>VLOOKUP(A70,'Données projet'!$A$87:$I$107,2,0)</f>
        <v>211.64</v>
      </c>
      <c r="BB70" s="13">
        <f>VLOOKUP(A70,'Données projet'!$A$87:$I$107,9,0)</f>
        <v>8</v>
      </c>
      <c r="BC70" s="13">
        <f t="array" ref="BC70">INDEX(BB:BB,MIN(IF(ISNUMBER(BB70:BB266),ROW(BB70:BB266),"")))</f>
        <v>8</v>
      </c>
      <c r="BD70" s="13">
        <f>IF('Données projet'!$A$88&gt;35,BD69+BC70-BL69,IF(A70&lt;'Données projet'!$A$88,$BA$205^A70,IF(A70='Données projet'!$A$88,'Données projet'!$B$88,BD69+BC70-BL69)))</f>
        <v>211.64</v>
      </c>
      <c r="BE70" s="14">
        <f>BD70*VLOOKUP('Données projet'!$B$11,Paramètres!$A$1:$I$89,3,0)*VLOOKUP('Données projet'!$B$11,Paramètres!$A$1:$I$89,5,0)</f>
        <v>191.49187199999997</v>
      </c>
      <c r="BF70" s="14">
        <f t="shared" si="91"/>
        <v>47.86963427931142</v>
      </c>
      <c r="BG70" s="22">
        <f t="shared" si="61"/>
        <v>416.88795676980067</v>
      </c>
      <c r="BH70" s="62">
        <f t="shared" si="62"/>
        <v>710.22129010313392</v>
      </c>
      <c r="BI70" s="62">
        <f ca="1">AVERAGE(OFFSET($BH$3,0,0,'Données projet'!$E$11+1,1))-AVERAGE(OFFSET($H$3,0,0,'Données projet'!$E$11+1,1))</f>
        <v>320.80580551060069</v>
      </c>
      <c r="BJ70" s="62">
        <f t="shared" si="92"/>
        <v>225.55225019382294</v>
      </c>
      <c r="BK70" s="16">
        <f>IF(ISNA(VLOOKUP(A70,'Données projet'!$A$87:$I$107,3,0)),0,VLOOKUP(A70,'Données projet'!$A$87:$I$107,3,0))</f>
        <v>4</v>
      </c>
      <c r="BL70" s="16">
        <f>IF(ISNA(VLOOKUP(A70,'Données projet'!$A$87:$I$107,4,0)),0,VLOOKUP(A70,'Données projet'!$A$87:$I$107,4,0))</f>
        <v>40.630000000000003</v>
      </c>
      <c r="BM70" s="17">
        <f>IF(ISNA(VLOOKUP(A70,'Données projet'!$A$87:$I$107,5,0)),0%,VLOOKUP(A70,'Données projet'!$A$87:$I$107,5,0)*VLOOKUP('Données projet'!$B$11,Paramètres!$A$1:$I$89,7,0))</f>
        <v>0.129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15.764485603338882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15.764485603338882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4.5999999999999996</v>
      </c>
      <c r="BY70" s="13">
        <f>IF('Données projet'!$A$114&gt;35,BY69+BX70-CG69,IF(A70&lt;'Données projet'!$A$114,$BV$205^A70,IF(A70='Données projet'!$A$114,'Données projet'!$B$114,BY69+BX70-CG69)))</f>
        <v>302.19999999999987</v>
      </c>
      <c r="BZ70" s="14">
        <f>BY70*VLOOKUP('Données projet'!$B$12,Paramètres!$A$1:$I$89,3,0)*VLOOKUP('Données projet'!$B$12,Paramètres!$A$1:$I$89,5,0)</f>
        <v>221.57303999999991</v>
      </c>
      <c r="CA70" s="14">
        <f t="shared" si="93"/>
        <v>54.456636294321989</v>
      </c>
      <c r="CB70" s="22">
        <f t="shared" si="64"/>
        <v>480.75168621261065</v>
      </c>
      <c r="CC70" s="62">
        <f t="shared" si="65"/>
        <v>774.08501954594396</v>
      </c>
      <c r="CD70" s="62">
        <f ca="1">AVERAGE(OFFSET($CC$3,0,0,'Données projet'!$E$12+1,1))-AVERAGE(OFFSET($H$3,0,0,'Données projet'!$E$12+1,1))</f>
        <v>254.67898541152096</v>
      </c>
      <c r="CE70" s="62">
        <f t="shared" si="94"/>
        <v>251.52653810702509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18.105302836666549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18.105302836666549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16.745000000000005</v>
      </c>
      <c r="N71" s="14">
        <f>IF('Données projet'!$A$36&gt;35,N70+M71-V70,IF(A71&lt;'Données projet'!$A$36,$K$205^A71,IF(A71='Données projet'!$A$36,'Données projet'!$B$36,N70+M71-V70)))</f>
        <v>553.23500000000013</v>
      </c>
      <c r="O71" s="14">
        <f>N71*VLOOKUP('Données projet'!$B$9,Paramètres!$A$1:$I$89,3,0)*VLOOKUP('Données projet'!$B$9,Paramètres!$A$1:$I$89,5,0)</f>
        <v>309.25836500000008</v>
      </c>
      <c r="P71" s="14">
        <f t="shared" si="87"/>
        <v>73.113925681396637</v>
      </c>
      <c r="Q71" s="22">
        <f t="shared" si="54"/>
        <v>665.96507293676598</v>
      </c>
      <c r="R71" s="62">
        <f t="shared" si="55"/>
        <v>959.29840627009935</v>
      </c>
      <c r="S71" s="62">
        <f ca="1">AVERAGE(OFFSET($R$3,0,0,'Données projet'!$E$9+1,1))-AVERAGE(OFFSET($H$3,0,0,'Données projet'!$E$9+1,1))</f>
        <v>321.56347025977988</v>
      </c>
      <c r="T71" s="62">
        <f t="shared" si="88"/>
        <v>285.79375360040717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94.967743142235065</v>
      </c>
      <c r="AA71" s="23">
        <f>EXP(-LN(2)/25)*AA70+(1-EXP(-LN(2)/25))/(LN(2)/25)*Calculateur!V71*Calculateur!X71*VLOOKUP('Données projet'!$B$9,Paramètres!$A$1:$I$89,3,0)*0.475*44/12</f>
        <v>31.563443835740905</v>
      </c>
      <c r="AB71" s="23">
        <f>EXP(-LN(2)/2)*AB70+(1-EXP(-LN(2)/2))/(LN(2)/2)*V71*Y71*VLOOKUP('Données projet'!$B$9,Paramètres!$A$1:$I$89,3,0)*0.475*44/12</f>
        <v>1.1429961992498803</v>
      </c>
      <c r="AC71" s="24">
        <f t="shared" si="57"/>
        <v>127.67418317722586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6.2</v>
      </c>
      <c r="AI71" s="14">
        <f>IF('Données projet'!$A$62&gt;35,AI70+AH71-AQ70,IF(A71&lt;'Données projet'!$A$62,$AF$205^A71,IF(A71='Données projet'!$A$62,'Données projet'!$B$62,AI70+AH71-AQ70)))</f>
        <v>340.59999999999968</v>
      </c>
      <c r="AJ71" s="14">
        <f>AI71*VLOOKUP('Données projet'!$B$10,Paramètres!$A$1:$I$89,3,0)*VLOOKUP('Données projet'!$B$10,Paramètres!$A$1:$I$89,5,0)</f>
        <v>212.53439999999978</v>
      </c>
      <c r="AK71" s="14">
        <f t="shared" si="89"/>
        <v>52.489028593627538</v>
      </c>
      <c r="AL71" s="22">
        <f t="shared" si="58"/>
        <v>461.5824714672342</v>
      </c>
      <c r="AM71" s="62">
        <f t="shared" si="59"/>
        <v>754.91580480056746</v>
      </c>
      <c r="AN71" s="62">
        <f ca="1">AVERAGE(OFFSET($AM$3,0,0,'Données projet'!$E$10+1,1))-AVERAGE(OFFSET($H$3,0,0,'Données projet'!$E$10+1,1))</f>
        <v>272.2908884671595</v>
      </c>
      <c r="AO71" s="62">
        <f t="shared" si="90"/>
        <v>220.74777226152867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41.833376904552267</v>
      </c>
      <c r="AV71" s="23">
        <f>EXP(-LN(2)/25)*AV70+(1-EXP(-LN(2)/25))/(LN(2)/25)*Calculateur!AQ71*Calculateur!AS71*VLOOKUP('Données projet'!$B$10,Paramètres!$A$1:$I$89,3,0)*0.475*44/12</f>
        <v>21.511212295794635</v>
      </c>
      <c r="AW71" s="23">
        <f>EXP(-LN(2)/2)*AW70+(1-EXP(-LN(2)/2))/(LN(2)/2)*AQ71*AT71*VLOOKUP('Données projet'!$B$10,Paramètres!$A$1:$I$89,3,0)*0.475*44/12</f>
        <v>1.082710852608274</v>
      </c>
      <c r="AX71" s="23">
        <f t="shared" si="60"/>
        <v>64.427300052955175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7.3250000000000028</v>
      </c>
      <c r="BD71" s="13">
        <f>IF('Données projet'!$A$88&gt;35,BD70+BC71-BL70,IF(A71&lt;'Données projet'!$A$88,$BA$205^A71,IF(A71='Données projet'!$A$88,'Données projet'!$B$88,BD70+BC71-BL70)))</f>
        <v>178.33499999999998</v>
      </c>
      <c r="BE71" s="14">
        <f>BD71*VLOOKUP('Données projet'!$B$11,Paramètres!$A$1:$I$89,3,0)*VLOOKUP('Données projet'!$B$11,Paramètres!$A$1:$I$89,5,0)</f>
        <v>161.35750799999997</v>
      </c>
      <c r="BF71" s="14">
        <f t="shared" si="91"/>
        <v>41.148554406090135</v>
      </c>
      <c r="BG71" s="22">
        <f t="shared" si="61"/>
        <v>352.69805869060696</v>
      </c>
      <c r="BH71" s="62">
        <f t="shared" si="62"/>
        <v>646.03139202394027</v>
      </c>
      <c r="BI71" s="62">
        <f ca="1">AVERAGE(OFFSET($BH$3,0,0,'Données projet'!$E$11+1,1))-AVERAGE(OFFSET($H$3,0,0,'Données projet'!$E$11+1,1))</f>
        <v>320.80580551060069</v>
      </c>
      <c r="BJ71" s="62">
        <f t="shared" si="92"/>
        <v>225.55225019382294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15.455353656044183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15.455353656044183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4.5999999999999996</v>
      </c>
      <c r="BY71" s="13">
        <f>IF('Données projet'!$A$114&gt;35,BY70+BX71-CG70,IF(A71&lt;'Données projet'!$A$114,$BV$205^A71,IF(A71='Données projet'!$A$114,'Données projet'!$B$114,BY70+BX71-CG70)))</f>
        <v>306.7999999999999</v>
      </c>
      <c r="BZ71" s="14">
        <f>BY71*VLOOKUP('Données projet'!$B$12,Paramètres!$A$1:$I$89,3,0)*VLOOKUP('Données projet'!$B$12,Paramètres!$A$1:$I$89,5,0)</f>
        <v>224.94575999999992</v>
      </c>
      <c r="CA71" s="14">
        <f t="shared" si="93"/>
        <v>55.188427424815572</v>
      </c>
      <c r="CB71" s="22">
        <f t="shared" si="64"/>
        <v>487.90037643155364</v>
      </c>
      <c r="CC71" s="62">
        <f t="shared" si="65"/>
        <v>781.23370976488695</v>
      </c>
      <c r="CD71" s="62">
        <f ca="1">AVERAGE(OFFSET($CC$3,0,0,'Données projet'!$E$12+1,1))-AVERAGE(OFFSET($H$3,0,0,'Données projet'!$E$12+1,1))</f>
        <v>254.67898541152096</v>
      </c>
      <c r="CE71" s="62">
        <f t="shared" si="94"/>
        <v>251.52653810702509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17.750268891183829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17.750268891183829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569.98</v>
      </c>
      <c r="L72" s="13">
        <f>VLOOKUP(A72,'Données projet'!$A$35:$I$55,9,0)</f>
        <v>16.745000000000005</v>
      </c>
      <c r="M72" s="13">
        <f t="array" ref="M72">INDEX(L:L,MIN(IF(ISNUMBER(L72:L268),ROW(L72:L268),"")))</f>
        <v>16.745000000000005</v>
      </c>
      <c r="N72" s="14">
        <f>IF('Données projet'!$A$36&gt;35,N71+M72-V71,IF(A72&lt;'Données projet'!$A$36,$K$205^A72,IF(A72='Données projet'!$A$36,'Données projet'!$B$36,N71+M72-V71)))</f>
        <v>569.98000000000013</v>
      </c>
      <c r="O72" s="14">
        <f>N72*VLOOKUP('Données projet'!$B$9,Paramètres!$A$1:$I$89,3,0)*VLOOKUP('Données projet'!$B$9,Paramètres!$A$1:$I$89,5,0)</f>
        <v>318.61882000000008</v>
      </c>
      <c r="P72" s="14">
        <f t="shared" si="87"/>
        <v>75.065899995891868</v>
      </c>
      <c r="Q72" s="22">
        <f t="shared" si="54"/>
        <v>685.66755399284511</v>
      </c>
      <c r="R72" s="62">
        <f t="shared" si="55"/>
        <v>979.00088732617837</v>
      </c>
      <c r="S72" s="62">
        <f ca="1">AVERAGE(OFFSET($R$3,0,0,'Données projet'!$E$9+1,1))-AVERAGE(OFFSET($H$3,0,0,'Données projet'!$E$9+1,1))</f>
        <v>321.56347025977988</v>
      </c>
      <c r="T72" s="62">
        <f t="shared" si="88"/>
        <v>285.79375360040717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93.105483623819566</v>
      </c>
      <c r="AA72" s="23">
        <f>EXP(-LN(2)/25)*AA71+(1-EXP(-LN(2)/25))/(LN(2)/25)*Calculateur!V72*Calculateur!X72*VLOOKUP('Données projet'!$B$9,Paramètres!$A$1:$I$89,3,0)*0.475*44/12</f>
        <v>30.7003398042032</v>
      </c>
      <c r="AB72" s="23">
        <f>EXP(-LN(2)/2)*AB71+(1-EXP(-LN(2)/2))/(LN(2)/2)*V72*Y72*VLOOKUP('Données projet'!$B$9,Paramètres!$A$1:$I$89,3,0)*0.475*44/12</f>
        <v>0.80822036336004066</v>
      </c>
      <c r="AC72" s="24">
        <f t="shared" si="57"/>
        <v>124.6140437913828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6.2</v>
      </c>
      <c r="AI72" s="14">
        <f>IF('Données projet'!$A$62&gt;35,AI71+AH72-AQ71,IF(A72&lt;'Données projet'!$A$62,$AF$205^A72,IF(A72='Données projet'!$A$62,'Données projet'!$B$62,AI71+AH72-AQ71)))</f>
        <v>346.79999999999967</v>
      </c>
      <c r="AJ72" s="14">
        <f>AI72*VLOOKUP('Données projet'!$B$10,Paramètres!$A$1:$I$89,3,0)*VLOOKUP('Données projet'!$B$10,Paramètres!$A$1:$I$89,5,0)</f>
        <v>216.40319999999977</v>
      </c>
      <c r="AK72" s="14">
        <f t="shared" si="89"/>
        <v>53.332390601194746</v>
      </c>
      <c r="AL72" s="22">
        <f t="shared" si="58"/>
        <v>469.78948696374715</v>
      </c>
      <c r="AM72" s="62">
        <f t="shared" si="59"/>
        <v>763.12282029708047</v>
      </c>
      <c r="AN72" s="62">
        <f ca="1">AVERAGE(OFFSET($AM$3,0,0,'Données projet'!$E$10+1,1))-AVERAGE(OFFSET($H$3,0,0,'Données projet'!$E$10+1,1))</f>
        <v>272.2908884671595</v>
      </c>
      <c r="AO72" s="62">
        <f t="shared" si="90"/>
        <v>220.74777226152867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41.01304989929443</v>
      </c>
      <c r="AV72" s="23">
        <f>EXP(-LN(2)/25)*AV71+(1-EXP(-LN(2)/25))/(LN(2)/25)*Calculateur!AQ72*Calculateur!AS72*VLOOKUP('Données projet'!$B$10,Paramètres!$A$1:$I$89,3,0)*0.475*44/12</f>
        <v>20.922987064340642</v>
      </c>
      <c r="AW72" s="23">
        <f>EXP(-LN(2)/2)*AW71+(1-EXP(-LN(2)/2))/(LN(2)/2)*AQ72*AT72*VLOOKUP('Données projet'!$B$10,Paramètres!$A$1:$I$89,3,0)*0.475*44/12</f>
        <v>0.76559218594357914</v>
      </c>
      <c r="AX72" s="23">
        <f t="shared" si="60"/>
        <v>62.701629149578658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7.3250000000000028</v>
      </c>
      <c r="BD72" s="13">
        <f>IF('Données projet'!$A$88&gt;35,BD71+BC72-BL71,IF(A72&lt;'Données projet'!$A$88,$BA$205^A72,IF(A72='Données projet'!$A$88,'Données projet'!$B$88,BD71+BC72-BL71)))</f>
        <v>185.65999999999997</v>
      </c>
      <c r="BE72" s="14">
        <f>BD72*VLOOKUP('Données projet'!$B$11,Paramètres!$A$1:$I$89,3,0)*VLOOKUP('Données projet'!$B$11,Paramètres!$A$1:$I$89,5,0)</f>
        <v>167.98516799999996</v>
      </c>
      <c r="BF72" s="14">
        <f t="shared" si="91"/>
        <v>42.638455591914493</v>
      </c>
      <c r="BG72" s="22">
        <f t="shared" si="61"/>
        <v>366.83614442258431</v>
      </c>
      <c r="BH72" s="62">
        <f t="shared" si="62"/>
        <v>660.16947775591757</v>
      </c>
      <c r="BI72" s="62">
        <f ca="1">AVERAGE(OFFSET($BH$3,0,0,'Données projet'!$E$11+1,1))-AVERAGE(OFFSET($H$3,0,0,'Données projet'!$E$11+1,1))</f>
        <v>320.80580551060069</v>
      </c>
      <c r="BJ72" s="62">
        <f t="shared" si="92"/>
        <v>225.55225019382294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15.152283597684065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15.152283597684065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4.5999999999999996</v>
      </c>
      <c r="BY72" s="13">
        <f>IF('Données projet'!$A$114&gt;35,BY71+BX72-CG71,IF(A72&lt;'Données projet'!$A$114,$BV$205^A72,IF(A72='Données projet'!$A$114,'Données projet'!$B$114,BY71+BX72-CG71)))</f>
        <v>311.39999999999992</v>
      </c>
      <c r="BZ72" s="14">
        <f>BY72*VLOOKUP('Données projet'!$B$12,Paramètres!$A$1:$I$89,3,0)*VLOOKUP('Données projet'!$B$12,Paramètres!$A$1:$I$89,5,0)</f>
        <v>228.31847999999994</v>
      </c>
      <c r="CA72" s="14">
        <f t="shared" si="93"/>
        <v>55.918942466546987</v>
      </c>
      <c r="CB72" s="22">
        <f t="shared" si="64"/>
        <v>495.04684412923598</v>
      </c>
      <c r="CC72" s="62">
        <f t="shared" si="65"/>
        <v>788.38017746256924</v>
      </c>
      <c r="CD72" s="62">
        <f ca="1">AVERAGE(OFFSET($CC$3,0,0,'Données projet'!$E$12+1,1))-AVERAGE(OFFSET($H$3,0,0,'Données projet'!$E$12+1,1))</f>
        <v>254.67898541152096</v>
      </c>
      <c r="CE72" s="62">
        <f t="shared" si="94"/>
        <v>251.52653810702509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17.402196944822702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17.402196944822702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586.05999999999995</v>
      </c>
      <c r="L73" s="13">
        <f>VLOOKUP(A73,'Données projet'!$A$35:$I$55,9,0)</f>
        <v>16.079999999999927</v>
      </c>
      <c r="M73" s="13">
        <f t="array" ref="M73">INDEX(L:L,MIN(IF(ISNUMBER(L73:L269),ROW(L73:L269),"")))</f>
        <v>16.079999999999927</v>
      </c>
      <c r="N73" s="14">
        <f>IF('Données projet'!$A$36&gt;35,N72+M73-V72,IF(A73&lt;'Données projet'!$A$36,$K$205^A73,IF(A73='Données projet'!$A$36,'Données projet'!$B$36,N72+M73-V72)))</f>
        <v>586.06000000000006</v>
      </c>
      <c r="O73" s="14">
        <f>N73*VLOOKUP('Données projet'!$B$9,Paramètres!$A$1:$I$89,3,0)*VLOOKUP('Données projet'!$B$9,Paramètres!$A$1:$I$89,5,0)</f>
        <v>327.60754000000003</v>
      </c>
      <c r="P73" s="14">
        <f t="shared" si="87"/>
        <v>76.934079315946775</v>
      </c>
      <c r="Q73" s="22">
        <f t="shared" si="54"/>
        <v>704.57665364194065</v>
      </c>
      <c r="R73" s="62">
        <f t="shared" si="55"/>
        <v>997.90998697527402</v>
      </c>
      <c r="S73" s="62">
        <f ca="1">AVERAGE(OFFSET($R$3,0,0,'Données projet'!$E$9+1,1))-AVERAGE(OFFSET($H$3,0,0,'Données projet'!$E$9+1,1))</f>
        <v>321.56347025977988</v>
      </c>
      <c r="T73" s="62">
        <f t="shared" si="88"/>
        <v>285.79375360040717</v>
      </c>
      <c r="U73" s="16">
        <f>IF(ISNA(VLOOKUP(A73,'Données projet'!$A$35:$I$55,3,0)),0,VLOOKUP(A73,'Données projet'!$A$35:$I$55,3,0))</f>
        <v>9</v>
      </c>
      <c r="V73" s="16">
        <f>IF(ISNA(VLOOKUP(A73,'Données projet'!$A$35:$I$55,4,0)),0,VLOOKUP(A73,'Données projet'!$A$35:$I$55,4,0))</f>
        <v>586.05999999999995</v>
      </c>
      <c r="W73" s="17">
        <f>IF(ISNA(VLOOKUP(A73,'Données projet'!$A$35:$I$55,5,0)),0%,VLOOKUP(A73,'Données projet'!$A$35:$I$55,5,0)*VLOOKUP('Données projet'!$B$9,Paramètres!$A$1:$I$89,7,0))</f>
        <v>0.49500000000000005</v>
      </c>
      <c r="X73" s="17">
        <f>IF(ISNA(VLOOKUP(A73,'Données projet'!$A$35:$I$55,6,0)),0%,VLOOKUP(A73,'Données projet'!$A$35:$I$55,6,0)*VLOOKUP('Données projet'!$B$9,Paramètres!$A$1:$I$89,7,0))</f>
        <v>3.3000000000000002E-2</v>
      </c>
      <c r="Y73" s="17">
        <f>IF(ISNA(VLOOKUP(A73,'Données projet'!$A$35:$I$55,7,0)),0%,VLOOKUP(A73,'Données projet'!$A$35:$I$55,7,0))</f>
        <v>0.04</v>
      </c>
      <c r="Z73" s="23">
        <f>EXP(-LN(2)/35)*Z72+(1-EXP(-LN(2)/35))/(LN(2)/35)*V73*W73*VLOOKUP('Données projet'!$B$9,Paramètres!$A$1:$I$89,3,0)*0.475*44/12</f>
        <v>306.40303823819784</v>
      </c>
      <c r="AA73" s="23">
        <f>EXP(-LN(2)/25)*AA72+(1-EXP(-LN(2)/25))/(LN(2)/25)*Calculateur!V73*Calculateur!X73*VLOOKUP('Données projet'!$B$9,Paramètres!$A$1:$I$89,3,0)*0.475*44/12</f>
        <v>44.145922329352175</v>
      </c>
      <c r="AB73" s="23">
        <f>EXP(-LN(2)/2)*AB72+(1-EXP(-LN(2)/2))/(LN(2)/2)*V73*Y73*VLOOKUP('Données projet'!$B$9,Paramètres!$A$1:$I$89,3,0)*0.475*44/12</f>
        <v>15.408611607672681</v>
      </c>
      <c r="AC73" s="24">
        <f t="shared" si="57"/>
        <v>365.95757217522271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353</v>
      </c>
      <c r="AG73" s="13">
        <f>VLOOKUP(A73,'Données projet'!$A$61:$I$81,9,0)</f>
        <v>6.2</v>
      </c>
      <c r="AH73" s="13">
        <f t="array" ref="AH73">INDEX(AG:AG,MIN(IF(ISNUMBER(AG73:AG269),ROW(AG73:AG269),"")))</f>
        <v>6.2</v>
      </c>
      <c r="AI73" s="14">
        <f>IF('Données projet'!$A$62&gt;35,AI72+AH73-AQ72,IF(A73&lt;'Données projet'!$A$62,$AF$205^A73,IF(A73='Données projet'!$A$62,'Données projet'!$B$62,AI72+AH73-AQ72)))</f>
        <v>352.99999999999966</v>
      </c>
      <c r="AJ73" s="14">
        <f>AI73*VLOOKUP('Données projet'!$B$10,Paramètres!$A$1:$I$89,3,0)*VLOOKUP('Données projet'!$B$10,Paramètres!$A$1:$I$89,5,0)</f>
        <v>220.27199999999979</v>
      </c>
      <c r="AK73" s="14">
        <f t="shared" si="89"/>
        <v>54.173999324746759</v>
      </c>
      <c r="AL73" s="22">
        <f t="shared" si="58"/>
        <v>477.99344882393348</v>
      </c>
      <c r="AM73" s="62">
        <f t="shared" si="59"/>
        <v>771.32678215726673</v>
      </c>
      <c r="AN73" s="62">
        <f ca="1">AVERAGE(OFFSET($AM$3,0,0,'Données projet'!$E$10+1,1))-AVERAGE(OFFSET($H$3,0,0,'Données projet'!$E$10+1,1))</f>
        <v>272.2908884671595</v>
      </c>
      <c r="AO73" s="62">
        <f t="shared" si="90"/>
        <v>220.74777226152867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0.42</v>
      </c>
      <c r="AS73" s="17">
        <f>IF(ISNA(VLOOKUP(A73,'Données projet'!$A$61:$I$81,6,0)),0%,VLOOKUP(A73,'Données projet'!$A$61:$I$81,6,0)*VLOOKUP('Données projet'!$B$10,Paramètres!$A$1:$I$89,7,0))</f>
        <v>0.10200000000000001</v>
      </c>
      <c r="AT73" s="17">
        <f>IF(ISNA(VLOOKUP(A73,'Données projet'!$A$61:$I$81,7,0)),0%,VLOOKUP(A73,'Données projet'!$A$61:$I$81,7,0))</f>
        <v>0.13</v>
      </c>
      <c r="AU73" s="23">
        <f>EXP(-LN(2)/35)*AU72+(1-EXP(-LN(2)/35))/(LN(2)/35)*AQ73*AR73*VLOOKUP('Données projet'!$B$10,Paramètres!$A$1:$I$89,3,0)*0.475*44/12</f>
        <v>46.119131218446739</v>
      </c>
      <c r="AV73" s="23">
        <f>EXP(-LN(2)/25)*AV72+(1-EXP(-LN(2)/25))/(LN(2)/25)*Calculateur!AQ73*Calculateur!AS73*VLOOKUP('Données projet'!$B$10,Paramètres!$A$1:$I$89,3,0)*0.475*44/12</f>
        <v>21.78055927374108</v>
      </c>
      <c r="AW73" s="23">
        <f>EXP(-LN(2)/2)*AW72+(1-EXP(-LN(2)/2))/(LN(2)/2)*AQ73*AT73*VLOOKUP('Données projet'!$B$10,Paramètres!$A$1:$I$89,3,0)*0.475*44/12</f>
        <v>2.1027490538850344</v>
      </c>
      <c r="AX73" s="23">
        <f t="shared" si="60"/>
        <v>70.00243954607285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7.3250000000000028</v>
      </c>
      <c r="BD73" s="13">
        <f>IF('Données projet'!$A$88&gt;35,BD72+BC73-BL72,IF(A73&lt;'Données projet'!$A$88,$BA$205^A73,IF(A73='Données projet'!$A$88,'Données projet'!$B$88,BD72+BC73-BL72)))</f>
        <v>192.98499999999996</v>
      </c>
      <c r="BE73" s="14">
        <f>BD73*VLOOKUP('Données projet'!$B$11,Paramètres!$A$1:$I$89,3,0)*VLOOKUP('Données projet'!$B$11,Paramètres!$A$1:$I$89,5,0)</f>
        <v>174.61282799999995</v>
      </c>
      <c r="BF73" s="14">
        <f t="shared" si="91"/>
        <v>44.121528331511364</v>
      </c>
      <c r="BG73" s="22">
        <f t="shared" si="61"/>
        <v>380.96233727738223</v>
      </c>
      <c r="BH73" s="62">
        <f t="shared" si="62"/>
        <v>674.29567061071555</v>
      </c>
      <c r="BI73" s="62">
        <f ca="1">AVERAGE(OFFSET($BH$3,0,0,'Données projet'!$E$11+1,1))-AVERAGE(OFFSET($H$3,0,0,'Données projet'!$E$11+1,1))</f>
        <v>320.80580551060069</v>
      </c>
      <c r="BJ73" s="62">
        <f t="shared" si="92"/>
        <v>225.55225019382294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14.855156558313904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14.855156558313904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316</v>
      </c>
      <c r="BW73" s="13">
        <f>VLOOKUP(A73,'Données projet'!$A$113:$I$133,9,0)</f>
        <v>4.5999999999999996</v>
      </c>
      <c r="BX73" s="13">
        <f t="array" ref="BX73">INDEX(BW:BW,MIN(IF(ISNUMBER(BW73:BW269),ROW(BW73:BW269),"")))</f>
        <v>4.5999999999999996</v>
      </c>
      <c r="BY73" s="13">
        <f>IF('Données projet'!$A$114&gt;35,BY72+BX73-CG72,IF(A73&lt;'Données projet'!$A$114,$BV$205^A73,IF(A73='Données projet'!$A$114,'Données projet'!$B$114,BY72+BX73-CG72)))</f>
        <v>315.99999999999994</v>
      </c>
      <c r="BZ73" s="14">
        <f>BY73*VLOOKUP('Données projet'!$B$12,Paramètres!$A$1:$I$89,3,0)*VLOOKUP('Données projet'!$B$12,Paramètres!$A$1:$I$89,5,0)</f>
        <v>231.69119999999992</v>
      </c>
      <c r="CA73" s="14">
        <f t="shared" si="93"/>
        <v>56.648202447537749</v>
      </c>
      <c r="CB73" s="22">
        <f t="shared" si="64"/>
        <v>502.19112592946141</v>
      </c>
      <c r="CC73" s="62">
        <f t="shared" si="65"/>
        <v>795.52445926279472</v>
      </c>
      <c r="CD73" s="62">
        <f ca="1">AVERAGE(OFFSET($CC$3,0,0,'Données projet'!$E$12+1,1))-AVERAGE(OFFSET($H$3,0,0,'Données projet'!$E$12+1,1))</f>
        <v>254.67898541152096</v>
      </c>
      <c r="CE73" s="62">
        <f t="shared" si="94"/>
        <v>251.52653810702509</v>
      </c>
      <c r="CF73" s="16">
        <f>IF(ISNA(VLOOKUP(A73,'Données projet'!$A$113:$I$133,3,0)),0,VLOOKUP(A73,'Données projet'!$A$113:$I$133,3,0))</f>
        <v>13</v>
      </c>
      <c r="CG73" s="16">
        <f>IF(ISNA(VLOOKUP(A73,'Données projet'!$A$113:$I$133,4,0)),0,VLOOKUP(A73,'Données projet'!$A$113:$I$133,4,0))</f>
        <v>13</v>
      </c>
      <c r="CH73" s="17">
        <f>IF(ISNA(VLOOKUP(A73,'Données projet'!$A$113:$I$133,5,0)),0%,VLOOKUP(A73,'Données projet'!$A$113:$I$133,5,0)*VLOOKUP('Données projet'!$B$12,Paramètres!$A$1:$I$89,7,0))</f>
        <v>0.30099999999999999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20.232557819363226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20.232557819363226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6.3550942286383367E-14</v>
      </c>
      <c r="P74" s="14">
        <f t="shared" si="87"/>
        <v>1.0064464192543978E-12</v>
      </c>
      <c r="Q74" s="22">
        <f t="shared" si="54"/>
        <v>1.8635787380168604E-12</v>
      </c>
      <c r="R74" s="62">
        <f t="shared" si="55"/>
        <v>293.33333333333519</v>
      </c>
      <c r="S74" s="62">
        <f ca="1">AVERAGE(OFFSET($R$3,0,0,'Données projet'!$E$9+1,1))-AVERAGE(OFFSET($H$3,0,0,'Données projet'!$E$9+1,1))</f>
        <v>321.56347025977988</v>
      </c>
      <c r="T74" s="62">
        <f t="shared" si="88"/>
        <v>285.79375360040717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300.39466154574649</v>
      </c>
      <c r="AA74" s="23">
        <f>EXP(-LN(2)/25)*AA73+(1-EXP(-LN(2)/25))/(LN(2)/25)*Calculateur!V74*Calculateur!X74*VLOOKUP('Données projet'!$B$9,Paramètres!$A$1:$I$89,3,0)*0.475*44/12</f>
        <v>42.938749761722882</v>
      </c>
      <c r="AB74" s="23">
        <f>EXP(-LN(2)/2)*AB73+(1-EXP(-LN(2)/2))/(LN(2)/2)*V74*Y74*VLOOKUP('Données projet'!$B$9,Paramètres!$A$1:$I$89,3,0)*0.475*44/12</f>
        <v>10.895533756455103</v>
      </c>
      <c r="AC74" s="24">
        <f t="shared" si="57"/>
        <v>354.22894506392447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5.4</v>
      </c>
      <c r="AI74" s="14">
        <f>IF('Données projet'!$A$62&gt;35,AI73+AH74-AQ73,IF(A74&lt;'Données projet'!$A$62,$AF$205^A74,IF(A74='Données projet'!$A$62,'Données projet'!$B$62,AI73+AH74-AQ73)))</f>
        <v>341.39999999999964</v>
      </c>
      <c r="AJ74" s="14">
        <f>AI74*VLOOKUP('Données projet'!$B$10,Paramètres!$A$1:$I$89,3,0)*VLOOKUP('Données projet'!$B$10,Paramètres!$A$1:$I$89,5,0)</f>
        <v>213.03359999999978</v>
      </c>
      <c r="AK74" s="14">
        <f t="shared" si="89"/>
        <v>52.597949253995594</v>
      </c>
      <c r="AL74" s="22">
        <f t="shared" si="58"/>
        <v>462.64161495070863</v>
      </c>
      <c r="AM74" s="62">
        <f t="shared" si="59"/>
        <v>755.97494828404194</v>
      </c>
      <c r="AN74" s="62">
        <f ca="1">AVERAGE(OFFSET($AM$3,0,0,'Données projet'!$E$10+1,1))-AVERAGE(OFFSET($H$3,0,0,'Données projet'!$E$10+1,1))</f>
        <v>272.2908884671595</v>
      </c>
      <c r="AO74" s="62">
        <f t="shared" si="90"/>
        <v>220.74777226152867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45.214763185145443</v>
      </c>
      <c r="AV74" s="23">
        <f>EXP(-LN(2)/25)*AV73+(1-EXP(-LN(2)/25))/(LN(2)/25)*Calculateur!AQ74*Calculateur!AS74*VLOOKUP('Données projet'!$B$10,Paramètres!$A$1:$I$89,3,0)*0.475*44/12</f>
        <v>21.184968735010798</v>
      </c>
      <c r="AW74" s="23">
        <f>EXP(-LN(2)/2)*AW73+(1-EXP(-LN(2)/2))/(LN(2)/2)*AQ74*AT74*VLOOKUP('Données projet'!$B$10,Paramètres!$A$1:$I$89,3,0)*0.475*44/12</f>
        <v>1.486868115135705</v>
      </c>
      <c r="AX74" s="23">
        <f t="shared" si="60"/>
        <v>67.886600035291949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7.3250000000000028</v>
      </c>
      <c r="BD74" s="13">
        <f>IF('Données projet'!$A$88&gt;35,BD73+BC74-BL73,IF(A74&lt;'Données projet'!$A$88,$BA$205^A74,IF(A74='Données projet'!$A$88,'Données projet'!$B$88,BD73+BC74-BL73)))</f>
        <v>200.30999999999995</v>
      </c>
      <c r="BE74" s="14">
        <f>BD74*VLOOKUP('Données projet'!$B$11,Paramètres!$A$1:$I$89,3,0)*VLOOKUP('Données projet'!$B$11,Paramètres!$A$1:$I$89,5,0)</f>
        <v>181.24048799999994</v>
      </c>
      <c r="BF74" s="14">
        <f t="shared" si="91"/>
        <v>45.598061479363125</v>
      </c>
      <c r="BG74" s="22">
        <f t="shared" si="61"/>
        <v>395.07714034322402</v>
      </c>
      <c r="BH74" s="62">
        <f t="shared" si="62"/>
        <v>688.41047367655733</v>
      </c>
      <c r="BI74" s="62">
        <f ca="1">AVERAGE(OFFSET($BH$3,0,0,'Données projet'!$E$11+1,1))-AVERAGE(OFFSET($H$3,0,0,'Données projet'!$E$11+1,1))</f>
        <v>320.80580551060069</v>
      </c>
      <c r="BJ74" s="62">
        <f t="shared" si="92"/>
        <v>225.55225019382294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14.563855998956194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14.563855998956194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4.2</v>
      </c>
      <c r="BY74" s="13">
        <f>IF('Données projet'!$A$114&gt;35,BY73+BX74-CG73,IF(A74&lt;'Données projet'!$A$114,$BV$205^A74,IF(A74='Données projet'!$A$114,'Données projet'!$B$114,BY73+BX74-CG73)))</f>
        <v>307.19999999999993</v>
      </c>
      <c r="BZ74" s="14">
        <f>BY74*VLOOKUP('Données projet'!$B$12,Paramètres!$A$1:$I$89,3,0)*VLOOKUP('Données projet'!$B$12,Paramètres!$A$1:$I$89,5,0)</f>
        <v>225.23903999999993</v>
      </c>
      <c r="CA74" s="14">
        <f t="shared" si="93"/>
        <v>55.252000822487368</v>
      </c>
      <c r="CB74" s="22">
        <f t="shared" si="64"/>
        <v>488.52189609916542</v>
      </c>
      <c r="CC74" s="62">
        <f t="shared" si="65"/>
        <v>781.85522943249873</v>
      </c>
      <c r="CD74" s="62">
        <f ca="1">AVERAGE(OFFSET($CC$3,0,0,'Données projet'!$E$12+1,1))-AVERAGE(OFFSET($H$3,0,0,'Données projet'!$E$12+1,1))</f>
        <v>254.67898541152096</v>
      </c>
      <c r="CE74" s="62">
        <f t="shared" si="94"/>
        <v>251.52653810702509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19.835809701167246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19.835809701167246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6.3550942286383367E-14</v>
      </c>
      <c r="P75" s="14">
        <f t="shared" si="87"/>
        <v>1.0064464192543978E-12</v>
      </c>
      <c r="Q75" s="22">
        <f t="shared" si="54"/>
        <v>1.8635787380168604E-12</v>
      </c>
      <c r="R75" s="62">
        <f t="shared" si="55"/>
        <v>293.33333333333519</v>
      </c>
      <c r="S75" s="62">
        <f ca="1">AVERAGE(OFFSET($R$3,0,0,'Données projet'!$E$9+1,1))-AVERAGE(OFFSET($H$3,0,0,'Données projet'!$E$9+1,1))</f>
        <v>321.56347025977988</v>
      </c>
      <c r="T75" s="62">
        <f t="shared" si="88"/>
        <v>285.79375360040717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294.50410545548618</v>
      </c>
      <c r="AA75" s="23">
        <f>EXP(-LN(2)/25)*AA74+(1-EXP(-LN(2)/25))/(LN(2)/25)*Calculateur!V75*Calculateur!X75*VLOOKUP('Données projet'!$B$9,Paramètres!$A$1:$I$89,3,0)*0.475*44/12</f>
        <v>41.764587391437857</v>
      </c>
      <c r="AB75" s="23">
        <f>EXP(-LN(2)/2)*AB74+(1-EXP(-LN(2)/2))/(LN(2)/2)*V75*Y75*VLOOKUP('Données projet'!$B$9,Paramètres!$A$1:$I$89,3,0)*0.475*44/12</f>
        <v>7.7043058038363412</v>
      </c>
      <c r="AC75" s="24">
        <f t="shared" si="57"/>
        <v>343.97299865076042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5.4</v>
      </c>
      <c r="AI75" s="14">
        <f>IF('Données projet'!$A$62&gt;35,AI74+AH75-AQ74,IF(A75&lt;'Données projet'!$A$62,$AF$205^A75,IF(A75='Données projet'!$A$62,'Données projet'!$B$62,AI74+AH75-AQ74)))</f>
        <v>346.79999999999961</v>
      </c>
      <c r="AJ75" s="14">
        <f>AI75*VLOOKUP('Données projet'!$B$10,Paramètres!$A$1:$I$89,3,0)*VLOOKUP('Données projet'!$B$10,Paramètres!$A$1:$I$89,5,0)</f>
        <v>216.40319999999974</v>
      </c>
      <c r="AK75" s="14">
        <f t="shared" si="89"/>
        <v>53.332390601194746</v>
      </c>
      <c r="AL75" s="22">
        <f t="shared" si="58"/>
        <v>469.78948696374704</v>
      </c>
      <c r="AM75" s="62">
        <f t="shared" si="59"/>
        <v>763.12282029708035</v>
      </c>
      <c r="AN75" s="62">
        <f ca="1">AVERAGE(OFFSET($AM$3,0,0,'Données projet'!$E$10+1,1))-AVERAGE(OFFSET($H$3,0,0,'Données projet'!$E$10+1,1))</f>
        <v>272.2908884671595</v>
      </c>
      <c r="AO75" s="62">
        <f t="shared" si="90"/>
        <v>220.74777226152867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44.328129257367152</v>
      </c>
      <c r="AV75" s="23">
        <f>EXP(-LN(2)/25)*AV74+(1-EXP(-LN(2)/25))/(LN(2)/25)*Calculateur!AQ75*Calculateur!AS75*VLOOKUP('Données projet'!$B$10,Paramètres!$A$1:$I$89,3,0)*0.475*44/12</f>
        <v>20.60566465088284</v>
      </c>
      <c r="AW75" s="23">
        <f>EXP(-LN(2)/2)*AW74+(1-EXP(-LN(2)/2))/(LN(2)/2)*AQ75*AT75*VLOOKUP('Données projet'!$B$10,Paramètres!$A$1:$I$89,3,0)*0.475*44/12</f>
        <v>1.0513745269425174</v>
      </c>
      <c r="AX75" s="23">
        <f t="shared" si="60"/>
        <v>65.98516843519252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7.3250000000000028</v>
      </c>
      <c r="BD75" s="13">
        <f>IF('Données projet'!$A$88&gt;35,BD74+BC75-BL74,IF(A75&lt;'Données projet'!$A$88,$BA$205^A75,IF(A75='Données projet'!$A$88,'Données projet'!$B$88,BD74+BC75-BL74)))</f>
        <v>207.63499999999993</v>
      </c>
      <c r="BE75" s="14">
        <f>BD75*VLOOKUP('Données projet'!$B$11,Paramètres!$A$1:$I$89,3,0)*VLOOKUP('Données projet'!$B$11,Paramètres!$A$1:$I$89,5,0)</f>
        <v>187.86814799999993</v>
      </c>
      <c r="BF75" s="14">
        <f t="shared" si="91"/>
        <v>47.068321566912815</v>
      </c>
      <c r="BG75" s="22">
        <f t="shared" si="61"/>
        <v>409.18101782903972</v>
      </c>
      <c r="BH75" s="62">
        <f t="shared" si="62"/>
        <v>702.51435116237303</v>
      </c>
      <c r="BI75" s="62">
        <f ca="1">AVERAGE(OFFSET($BH$3,0,0,'Données projet'!$E$11+1,1))-AVERAGE(OFFSET($H$3,0,0,'Données projet'!$E$11+1,1))</f>
        <v>320.80580551060069</v>
      </c>
      <c r="BJ75" s="62">
        <f t="shared" si="92"/>
        <v>225.55225019382294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14.278267665891692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14.278267665891692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4.2</v>
      </c>
      <c r="BY75" s="13">
        <f>IF('Données projet'!$A$114&gt;35,BY74+BX75-CG74,IF(A75&lt;'Données projet'!$A$114,$BV$205^A75,IF(A75='Données projet'!$A$114,'Données projet'!$B$114,BY74+BX75-CG74)))</f>
        <v>311.39999999999992</v>
      </c>
      <c r="BZ75" s="14">
        <f>BY75*VLOOKUP('Données projet'!$B$12,Paramètres!$A$1:$I$89,3,0)*VLOOKUP('Données projet'!$B$12,Paramètres!$A$1:$I$89,5,0)</f>
        <v>228.31847999999994</v>
      </c>
      <c r="CA75" s="14">
        <f t="shared" si="93"/>
        <v>55.918942466546987</v>
      </c>
      <c r="CB75" s="22">
        <f t="shared" si="64"/>
        <v>495.04684412923598</v>
      </c>
      <c r="CC75" s="62">
        <f t="shared" si="65"/>
        <v>788.38017746256924</v>
      </c>
      <c r="CD75" s="62">
        <f ca="1">AVERAGE(OFFSET($CC$3,0,0,'Données projet'!$E$12+1,1))-AVERAGE(OFFSET($H$3,0,0,'Données projet'!$E$12+1,1))</f>
        <v>254.67898541152096</v>
      </c>
      <c r="CE75" s="62">
        <f t="shared" si="94"/>
        <v>251.52653810702509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19.446841571576631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19.446841571576631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6.3550942286383367E-14</v>
      </c>
      <c r="P76" s="14">
        <f t="shared" si="87"/>
        <v>1.0064464192543978E-12</v>
      </c>
      <c r="Q76" s="22">
        <f t="shared" si="54"/>
        <v>1.8635787380168604E-12</v>
      </c>
      <c r="R76" s="62">
        <f t="shared" si="55"/>
        <v>293.33333333333519</v>
      </c>
      <c r="S76" s="62">
        <f ca="1">AVERAGE(OFFSET($R$3,0,0,'Données projet'!$E$9+1,1))-AVERAGE(OFFSET($H$3,0,0,'Données projet'!$E$9+1,1))</f>
        <v>321.56347025977988</v>
      </c>
      <c r="T76" s="62">
        <f t="shared" si="88"/>
        <v>285.79375360040717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288.72905957727147</v>
      </c>
      <c r="AA76" s="23">
        <f>EXP(-LN(2)/25)*AA75+(1-EXP(-LN(2)/25))/(LN(2)/25)*Calculateur!V76*Calculateur!X76*VLOOKUP('Données projet'!$B$9,Paramètres!$A$1:$I$89,3,0)*0.475*44/12</f>
        <v>40.622532552914791</v>
      </c>
      <c r="AB76" s="23">
        <f>EXP(-LN(2)/2)*AB75+(1-EXP(-LN(2)/2))/(LN(2)/2)*V76*Y76*VLOOKUP('Données projet'!$B$9,Paramètres!$A$1:$I$89,3,0)*0.475*44/12</f>
        <v>5.4477668782275526</v>
      </c>
      <c r="AC76" s="24">
        <f t="shared" si="57"/>
        <v>334.79935900841377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5.4</v>
      </c>
      <c r="AI76" s="14">
        <f>IF('Données projet'!$A$62&gt;35,AI75+AH76-AQ75,IF(A76&lt;'Données projet'!$A$62,$AF$205^A76,IF(A76='Données projet'!$A$62,'Données projet'!$B$62,AI75+AH76-AQ75)))</f>
        <v>352.19999999999959</v>
      </c>
      <c r="AJ76" s="14">
        <f>AI76*VLOOKUP('Données projet'!$B$10,Paramètres!$A$1:$I$89,3,0)*VLOOKUP('Données projet'!$B$10,Paramètres!$A$1:$I$89,5,0)</f>
        <v>219.77279999999973</v>
      </c>
      <c r="AK76" s="14">
        <f t="shared" si="89"/>
        <v>54.065501953986434</v>
      </c>
      <c r="AL76" s="22">
        <f t="shared" si="58"/>
        <v>476.93504256985921</v>
      </c>
      <c r="AM76" s="62">
        <f t="shared" si="59"/>
        <v>770.26837590319246</v>
      </c>
      <c r="AN76" s="62">
        <f ca="1">AVERAGE(OFFSET($AM$3,0,0,'Données projet'!$E$10+1,1))-AVERAGE(OFFSET($H$3,0,0,'Données projet'!$E$10+1,1))</f>
        <v>272.2908884671595</v>
      </c>
      <c r="AO76" s="62">
        <f t="shared" si="90"/>
        <v>220.74777226152867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43.458881680119298</v>
      </c>
      <c r="AV76" s="23">
        <f>EXP(-LN(2)/25)*AV75+(1-EXP(-LN(2)/25))/(LN(2)/25)*Calculateur!AQ76*Calculateur!AS76*VLOOKUP('Données projet'!$B$10,Paramètres!$A$1:$I$89,3,0)*0.475*44/12</f>
        <v>20.042201667399638</v>
      </c>
      <c r="AW76" s="23">
        <f>EXP(-LN(2)/2)*AW75+(1-EXP(-LN(2)/2))/(LN(2)/2)*AQ76*AT76*VLOOKUP('Données projet'!$B$10,Paramètres!$A$1:$I$89,3,0)*0.475*44/12</f>
        <v>0.74343405756785264</v>
      </c>
      <c r="AX76" s="23">
        <f t="shared" si="60"/>
        <v>64.244517405086782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7.3250000000000028</v>
      </c>
      <c r="BD76" s="13">
        <f>IF('Données projet'!$A$88&gt;35,BD75+BC76-BL75,IF(A76&lt;'Données projet'!$A$88,$BA$205^A76,IF(A76='Données projet'!$A$88,'Données projet'!$B$88,BD75+BC76-BL75)))</f>
        <v>214.95999999999992</v>
      </c>
      <c r="BE76" s="14">
        <f>BD76*VLOOKUP('Données projet'!$B$11,Paramètres!$A$1:$I$89,3,0)*VLOOKUP('Données projet'!$B$11,Paramètres!$A$1:$I$89,5,0)</f>
        <v>194.49580799999993</v>
      </c>
      <c r="BF76" s="14">
        <f t="shared" si="91"/>
        <v>48.532555253837756</v>
      </c>
      <c r="BG76" s="22">
        <f t="shared" si="61"/>
        <v>423.27439933376724</v>
      </c>
      <c r="BH76" s="62">
        <f t="shared" si="62"/>
        <v>716.60773266710055</v>
      </c>
      <c r="BI76" s="62">
        <f ca="1">AVERAGE(OFFSET($BH$3,0,0,'Données projet'!$E$11+1,1))-AVERAGE(OFFSET($H$3,0,0,'Données projet'!$E$11+1,1))</f>
        <v>320.80580551060069</v>
      </c>
      <c r="BJ76" s="62">
        <f t="shared" si="92"/>
        <v>225.55225019382294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13.9982795458469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13.9982795458469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4.2</v>
      </c>
      <c r="BY76" s="13">
        <f>IF('Données projet'!$A$114&gt;35,BY75+BX76-CG75,IF(A76&lt;'Données projet'!$A$114,$BV$205^A76,IF(A76='Données projet'!$A$114,'Données projet'!$B$114,BY75+BX76-CG75)))</f>
        <v>315.59999999999991</v>
      </c>
      <c r="BZ76" s="14">
        <f>BY76*VLOOKUP('Données projet'!$B$12,Paramètres!$A$1:$I$89,3,0)*VLOOKUP('Données projet'!$B$12,Paramètres!$A$1:$I$89,5,0)</f>
        <v>231.39791999999991</v>
      </c>
      <c r="CA76" s="14">
        <f t="shared" si="93"/>
        <v>56.584837838715806</v>
      </c>
      <c r="CB76" s="22">
        <f t="shared" si="64"/>
        <v>501.56996990242982</v>
      </c>
      <c r="CC76" s="62">
        <f t="shared" si="65"/>
        <v>794.90330323576313</v>
      </c>
      <c r="CD76" s="62">
        <f ca="1">AVERAGE(OFFSET($CC$3,0,0,'Données projet'!$E$12+1,1))-AVERAGE(OFFSET($H$3,0,0,'Données projet'!$E$12+1,1))</f>
        <v>254.67898541152096</v>
      </c>
      <c r="CE76" s="62">
        <f t="shared" si="94"/>
        <v>251.52653810702509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19.065500869760154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19.065500869760154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6.3550942286383367E-14</v>
      </c>
      <c r="P77" s="14">
        <f t="shared" si="87"/>
        <v>1.0064464192543978E-12</v>
      </c>
      <c r="Q77" s="22">
        <f t="shared" si="54"/>
        <v>1.8635787380168604E-12</v>
      </c>
      <c r="R77" s="62">
        <f t="shared" si="55"/>
        <v>293.33333333333519</v>
      </c>
      <c r="S77" s="62">
        <f ca="1">AVERAGE(OFFSET($R$3,0,0,'Données projet'!$E$9+1,1))-AVERAGE(OFFSET($H$3,0,0,'Données projet'!$E$9+1,1))</f>
        <v>321.56347025977988</v>
      </c>
      <c r="T77" s="62">
        <f t="shared" si="88"/>
        <v>285.79375360040717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283.06725882629837</v>
      </c>
      <c r="AA77" s="23">
        <f>EXP(-LN(2)/25)*AA76+(1-EXP(-LN(2)/25))/(LN(2)/25)*Calculateur!V77*Calculateur!X77*VLOOKUP('Données projet'!$B$9,Paramètres!$A$1:$I$89,3,0)*0.475*44/12</f>
        <v>39.511707264009196</v>
      </c>
      <c r="AB77" s="23">
        <f>EXP(-LN(2)/2)*AB76+(1-EXP(-LN(2)/2))/(LN(2)/2)*V77*Y77*VLOOKUP('Données projet'!$B$9,Paramètres!$A$1:$I$89,3,0)*0.475*44/12</f>
        <v>3.8521529019181715</v>
      </c>
      <c r="AC77" s="24">
        <f t="shared" si="57"/>
        <v>326.43111899222572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5.4</v>
      </c>
      <c r="AI77" s="14">
        <f>IF('Données projet'!$A$62&gt;35,AI76+AH77-AQ76,IF(A77&lt;'Données projet'!$A$62,$AF$205^A77,IF(A77='Données projet'!$A$62,'Données projet'!$B$62,AI76+AH77-AQ76)))</f>
        <v>357.59999999999957</v>
      </c>
      <c r="AJ77" s="14">
        <f>AI77*VLOOKUP('Données projet'!$B$10,Paramètres!$A$1:$I$89,3,0)*VLOOKUP('Données projet'!$B$10,Paramètres!$A$1:$I$89,5,0)</f>
        <v>223.14239999999975</v>
      </c>
      <c r="AK77" s="14">
        <f t="shared" si="89"/>
        <v>54.797306059198398</v>
      </c>
      <c r="AL77" s="22">
        <f t="shared" si="58"/>
        <v>484.07832138643676</v>
      </c>
      <c r="AM77" s="62">
        <f t="shared" si="59"/>
        <v>777.41165471977001</v>
      </c>
      <c r="AN77" s="62">
        <f ca="1">AVERAGE(OFFSET($AM$3,0,0,'Données projet'!$E$10+1,1))-AVERAGE(OFFSET($H$3,0,0,'Données projet'!$E$10+1,1))</f>
        <v>272.2908884671595</v>
      </c>
      <c r="AO77" s="62">
        <f t="shared" si="90"/>
        <v>220.74777226152867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42.606679517672603</v>
      </c>
      <c r="AV77" s="23">
        <f>EXP(-LN(2)/25)*AV76+(1-EXP(-LN(2)/25))/(LN(2)/25)*Calculateur!AQ77*Calculateur!AS77*VLOOKUP('Données projet'!$B$10,Paramètres!$A$1:$I$89,3,0)*0.475*44/12</f>
        <v>19.494146608831016</v>
      </c>
      <c r="AW77" s="23">
        <f>EXP(-LN(2)/2)*AW76+(1-EXP(-LN(2)/2))/(LN(2)/2)*AQ77*AT77*VLOOKUP('Données projet'!$B$10,Paramètres!$A$1:$I$89,3,0)*0.475*44/12</f>
        <v>0.52568726347125883</v>
      </c>
      <c r="AX77" s="23">
        <f t="shared" si="60"/>
        <v>62.626513389974882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7.3250000000000028</v>
      </c>
      <c r="BD77" s="13">
        <f>IF('Données projet'!$A$88&gt;35,BD76+BC77-BL76,IF(A77&lt;'Données projet'!$A$88,$BA$205^A77,IF(A77='Données projet'!$A$88,'Données projet'!$B$88,BD76+BC77-BL76)))</f>
        <v>222.28499999999991</v>
      </c>
      <c r="BE77" s="14">
        <f>BD77*VLOOKUP('Données projet'!$B$11,Paramètres!$A$1:$I$89,3,0)*VLOOKUP('Données projet'!$B$11,Paramètres!$A$1:$I$89,5,0)</f>
        <v>201.12346799999992</v>
      </c>
      <c r="BF77" s="14">
        <f t="shared" si="91"/>
        <v>49.990991435816952</v>
      </c>
      <c r="BG77" s="22">
        <f t="shared" si="61"/>
        <v>437.35768351738102</v>
      </c>
      <c r="BH77" s="62">
        <f t="shared" si="62"/>
        <v>730.69101685071428</v>
      </c>
      <c r="BI77" s="62">
        <f ca="1">AVERAGE(OFFSET($BH$3,0,0,'Données projet'!$E$11+1,1))-AVERAGE(OFFSET($H$3,0,0,'Données projet'!$E$11+1,1))</f>
        <v>320.80580551060069</v>
      </c>
      <c r="BJ77" s="62">
        <f t="shared" si="92"/>
        <v>225.55225019382294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13.723781822060298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13.723781822060298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4.2</v>
      </c>
      <c r="BY77" s="13">
        <f>IF('Données projet'!$A$114&gt;35,BY76+BX77-CG76,IF(A77&lt;'Données projet'!$A$114,$BV$205^A77,IF(A77='Données projet'!$A$114,'Données projet'!$B$114,BY76+BX77-CG76)))</f>
        <v>319.7999999999999</v>
      </c>
      <c r="BZ77" s="14">
        <f>BY77*VLOOKUP('Données projet'!$B$12,Paramètres!$A$1:$I$89,3,0)*VLOOKUP('Données projet'!$B$12,Paramètres!$A$1:$I$89,5,0)</f>
        <v>234.47735999999995</v>
      </c>
      <c r="CA77" s="14">
        <f t="shared" si="93"/>
        <v>57.249702472380292</v>
      </c>
      <c r="CB77" s="22">
        <f t="shared" si="64"/>
        <v>508.09130047272885</v>
      </c>
      <c r="CC77" s="62">
        <f t="shared" si="65"/>
        <v>801.42463380606216</v>
      </c>
      <c r="CD77" s="62">
        <f ca="1">AVERAGE(OFFSET($CC$3,0,0,'Données projet'!$E$12+1,1))-AVERAGE(OFFSET($H$3,0,0,'Données projet'!$E$12+1,1))</f>
        <v>254.67898541152096</v>
      </c>
      <c r="CE77" s="62">
        <f t="shared" si="94"/>
        <v>251.52653810702509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18.691638026511438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18.691638026511438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6.3550942286383367E-14</v>
      </c>
      <c r="P78" s="14">
        <f t="shared" si="87"/>
        <v>1.0064464192543978E-12</v>
      </c>
      <c r="Q78" s="22">
        <f t="shared" si="54"/>
        <v>1.8635787380168604E-12</v>
      </c>
      <c r="R78" s="62">
        <f t="shared" si="55"/>
        <v>293.33333333333519</v>
      </c>
      <c r="S78" s="62">
        <f ca="1">AVERAGE(OFFSET($R$3,0,0,'Données projet'!$E$9+1,1))-AVERAGE(OFFSET($H$3,0,0,'Données projet'!$E$9+1,1))</f>
        <v>321.56347025977988</v>
      </c>
      <c r="T78" s="62">
        <f t="shared" si="88"/>
        <v>285.79375360040717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277.51648253469438</v>
      </c>
      <c r="AA78" s="23">
        <f>EXP(-LN(2)/25)*AA77+(1-EXP(-LN(2)/25))/(LN(2)/25)*Calculateur!V78*Calculateur!X78*VLOOKUP('Données projet'!$B$9,Paramètres!$A$1:$I$89,3,0)*0.475*44/12</f>
        <v>38.431257551044482</v>
      </c>
      <c r="AB78" s="23">
        <f>EXP(-LN(2)/2)*AB77+(1-EXP(-LN(2)/2))/(LN(2)/2)*V78*Y78*VLOOKUP('Données projet'!$B$9,Paramètres!$A$1:$I$89,3,0)*0.475*44/12</f>
        <v>2.7238834391137767</v>
      </c>
      <c r="AC78" s="24">
        <f t="shared" si="57"/>
        <v>318.67162352485263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363</v>
      </c>
      <c r="AG78" s="13">
        <f>VLOOKUP(A78,'Données projet'!$A$61:$I$81,9,0)</f>
        <v>5.4</v>
      </c>
      <c r="AH78" s="13">
        <f t="array" ref="AH78">INDEX(AG:AG,MIN(IF(ISNUMBER(AG78:AG274),ROW(AG78:AG274),"")))</f>
        <v>5.4</v>
      </c>
      <c r="AI78" s="14">
        <f>IF('Données projet'!$A$62&gt;35,AI77+AH78-AQ77,IF(A78&lt;'Données projet'!$A$62,$AF$205^A78,IF(A78='Données projet'!$A$62,'Données projet'!$B$62,AI77+AH78-AQ77)))</f>
        <v>362.99999999999955</v>
      </c>
      <c r="AJ78" s="14">
        <f>AI78*VLOOKUP('Données projet'!$B$10,Paramètres!$A$1:$I$89,3,0)*VLOOKUP('Données projet'!$B$10,Paramètres!$A$1:$I$89,5,0)</f>
        <v>226.51199999999972</v>
      </c>
      <c r="AK78" s="14">
        <f t="shared" si="89"/>
        <v>55.527824937247445</v>
      </c>
      <c r="AL78" s="22">
        <f t="shared" si="58"/>
        <v>491.2193617657054</v>
      </c>
      <c r="AM78" s="62">
        <f t="shared" si="59"/>
        <v>784.55269509903871</v>
      </c>
      <c r="AN78" s="62">
        <f ca="1">AVERAGE(OFFSET($AM$3,0,0,'Données projet'!$E$10+1,1))-AVERAGE(OFFSET($H$3,0,0,'Données projet'!$E$10+1,1))</f>
        <v>272.2908884671595</v>
      </c>
      <c r="AO78" s="62">
        <f t="shared" si="90"/>
        <v>220.74777226152867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0.42</v>
      </c>
      <c r="AS78" s="17">
        <f>IF(ISNA(VLOOKUP(A78,'Données projet'!$A$61:$I$81,6,0)),0%,VLOOKUP(A78,'Données projet'!$A$61:$I$81,6,0)*VLOOKUP('Données projet'!$B$10,Paramètres!$A$1:$I$89,7,0))</f>
        <v>0.10200000000000001</v>
      </c>
      <c r="AT78" s="17">
        <f>IF(ISNA(VLOOKUP(A78,'Données projet'!$A$61:$I$81,7,0)),0%,VLOOKUP(A78,'Données projet'!$A$61:$I$81,7,0))</f>
        <v>0.13</v>
      </c>
      <c r="AU78" s="23">
        <f>EXP(-LN(2)/35)*AU77+(1-EXP(-LN(2)/35))/(LN(2)/35)*AQ78*AR78*VLOOKUP('Données projet'!$B$10,Paramètres!$A$1:$I$89,3,0)*0.475*44/12</f>
        <v>46.986178707063416</v>
      </c>
      <c r="AV78" s="23">
        <f>EXP(-LN(2)/25)*AV77+(1-EXP(-LN(2)/25))/(LN(2)/25)*Calculateur!AQ78*Calculateur!AS78*VLOOKUP('Données projet'!$B$10,Paramètres!$A$1:$I$89,3,0)*0.475*44/12</f>
        <v>20.222589077866008</v>
      </c>
      <c r="AW78" s="23">
        <f>EXP(-LN(2)/2)*AW77+(1-EXP(-LN(2)/2))/(LN(2)/2)*AQ78*AT78*VLOOKUP('Données projet'!$B$10,Paramètres!$A$1:$I$89,3,0)*0.475*44/12</f>
        <v>1.7494172884141299</v>
      </c>
      <c r="AX78" s="23">
        <f t="shared" si="60"/>
        <v>68.958185073343557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229.61</v>
      </c>
      <c r="BB78" s="13">
        <f>VLOOKUP(A78,'Données projet'!$A$87:$I$107,9,0)</f>
        <v>7.3250000000000028</v>
      </c>
      <c r="BC78" s="13">
        <f t="array" ref="BC78">INDEX(BB:BB,MIN(IF(ISNUMBER(BB78:BB274),ROW(BB78:BB274),"")))</f>
        <v>7.3250000000000028</v>
      </c>
      <c r="BD78" s="13">
        <f>IF('Données projet'!$A$88&gt;35,BD77+BC78-BL77,IF(A78&lt;'Données projet'!$A$88,$BA$205^A78,IF(A78='Données projet'!$A$88,'Données projet'!$B$88,BD77+BC78-BL77)))</f>
        <v>229.6099999999999</v>
      </c>
      <c r="BE78" s="14">
        <f>BD78*VLOOKUP('Données projet'!$B$11,Paramètres!$A$1:$I$89,3,0)*VLOOKUP('Données projet'!$B$11,Paramètres!$A$1:$I$89,5,0)</f>
        <v>207.75112799999991</v>
      </c>
      <c r="BF78" s="14">
        <f t="shared" si="91"/>
        <v>51.443843066664108</v>
      </c>
      <c r="BG78" s="22">
        <f t="shared" si="61"/>
        <v>451.43124127443986</v>
      </c>
      <c r="BH78" s="62">
        <f t="shared" si="62"/>
        <v>744.76457460777317</v>
      </c>
      <c r="BI78" s="62">
        <f ca="1">AVERAGE(OFFSET($BH$3,0,0,'Données projet'!$E$11+1,1))-AVERAGE(OFFSET($H$3,0,0,'Données projet'!$E$11+1,1))</f>
        <v>320.80580551060069</v>
      </c>
      <c r="BJ78" s="62">
        <f t="shared" si="92"/>
        <v>225.55225019382294</v>
      </c>
      <c r="BK78" s="16">
        <f>IF(ISNA(VLOOKUP(A78,'Données projet'!$A$87:$I$107,3,0)),0,VLOOKUP(A78,'Données projet'!$A$87:$I$107,3,0))</f>
        <v>5</v>
      </c>
      <c r="BL78" s="16">
        <f>IF(ISNA(VLOOKUP(A78,'Données projet'!$A$87:$I$107,4,0)),0,VLOOKUP(A78,'Données projet'!$A$87:$I$107,4,0))</f>
        <v>39.54</v>
      </c>
      <c r="BM78" s="17">
        <f>IF(ISNA(VLOOKUP(A78,'Données projet'!$A$87:$I$107,5,0)),0%,VLOOKUP(A78,'Données projet'!$A$87:$I$107,5,0)*VLOOKUP('Données projet'!$B$11,Paramètres!$A$1:$I$89,7,0))</f>
        <v>0.129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18.556497939692882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18.556497939692882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324</v>
      </c>
      <c r="BW78" s="13">
        <f>VLOOKUP(A78,'Données projet'!$A$113:$I$133,9,0)</f>
        <v>4.2</v>
      </c>
      <c r="BX78" s="13">
        <f t="array" ref="BX78">INDEX(BW:BW,MIN(IF(ISNUMBER(BW78:BW274),ROW(BW78:BW274),"")))</f>
        <v>4.2</v>
      </c>
      <c r="BY78" s="13">
        <f>IF('Données projet'!$A$114&gt;35,BY77+BX78-CG77,IF(A78&lt;'Données projet'!$A$114,$BV$205^A78,IF(A78='Données projet'!$A$114,'Données projet'!$B$114,BY77+BX78-CG77)))</f>
        <v>323.99999999999989</v>
      </c>
      <c r="BZ78" s="14">
        <f>BY78*VLOOKUP('Données projet'!$B$12,Paramètres!$A$1:$I$89,3,0)*VLOOKUP('Données projet'!$B$12,Paramètres!$A$1:$I$89,5,0)</f>
        <v>237.55679999999992</v>
      </c>
      <c r="CA78" s="14">
        <f t="shared" si="93"/>
        <v>57.913551469467308</v>
      </c>
      <c r="CB78" s="22">
        <f t="shared" si="64"/>
        <v>514.61086214265538</v>
      </c>
      <c r="CC78" s="62">
        <f t="shared" si="65"/>
        <v>807.94419547598864</v>
      </c>
      <c r="CD78" s="62">
        <f ca="1">AVERAGE(OFFSET($CC$3,0,0,'Données projet'!$E$12+1,1))-AVERAGE(OFFSET($H$3,0,0,'Données projet'!$E$12+1,1))</f>
        <v>254.67898541152096</v>
      </c>
      <c r="CE78" s="62">
        <f t="shared" si="94"/>
        <v>251.52653810702509</v>
      </c>
      <c r="CF78" s="16">
        <f>IF(ISNA(VLOOKUP(A78,'Données projet'!$A$113:$I$133,3,0)),0,VLOOKUP(A78,'Données projet'!$A$113:$I$133,3,0))</f>
        <v>14</v>
      </c>
      <c r="CG78" s="16">
        <f>IF(ISNA(VLOOKUP(A78,'Données projet'!$A$113:$I$133,4,0)),0,VLOOKUP(A78,'Données projet'!$A$113:$I$133,4,0))</f>
        <v>12</v>
      </c>
      <c r="CH78" s="17">
        <f>IF(ISNA(VLOOKUP(A78,'Données projet'!$A$113:$I$133,5,0)),0%,VLOOKUP(A78,'Données projet'!$A$113:$I$133,5,0)*VLOOKUP('Données projet'!$B$12,Paramètres!$A$1:$I$89,7,0))</f>
        <v>0.34400000000000003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21.670977887610263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21.670977887610263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6.3550942286383367E-14</v>
      </c>
      <c r="P79" s="14">
        <f t="shared" si="87"/>
        <v>1.0064464192543978E-12</v>
      </c>
      <c r="Q79" s="22">
        <f t="shared" si="54"/>
        <v>1.8635787380168604E-12</v>
      </c>
      <c r="R79" s="62">
        <f t="shared" si="55"/>
        <v>293.33333333333519</v>
      </c>
      <c r="S79" s="62">
        <f ca="1">AVERAGE(OFFSET($R$3,0,0,'Données projet'!$E$9+1,1))-AVERAGE(OFFSET($H$3,0,0,'Données projet'!$E$9+1,1))</f>
        <v>321.56347025977988</v>
      </c>
      <c r="T79" s="62">
        <f t="shared" si="88"/>
        <v>285.79375360040717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272.07455358052948</v>
      </c>
      <c r="AA79" s="23">
        <f>EXP(-LN(2)/25)*AA78+(1-EXP(-LN(2)/25))/(LN(2)/25)*Calculateur!V79*Calculateur!X79*VLOOKUP('Données projet'!$B$9,Paramètres!$A$1:$I$89,3,0)*0.475*44/12</f>
        <v>37.380352792299171</v>
      </c>
      <c r="AB79" s="23">
        <f>EXP(-LN(2)/2)*AB78+(1-EXP(-LN(2)/2))/(LN(2)/2)*V79*Y79*VLOOKUP('Données projet'!$B$9,Paramètres!$A$1:$I$89,3,0)*0.475*44/12</f>
        <v>1.926076450959086</v>
      </c>
      <c r="AC79" s="24">
        <f t="shared" si="57"/>
        <v>311.38098282378775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4.8</v>
      </c>
      <c r="AI79" s="14">
        <f>IF('Données projet'!$A$62&gt;35,AI78+AH79-AQ78,IF(A79&lt;'Données projet'!$A$62,$AF$205^A79,IF(A79='Données projet'!$A$62,'Données projet'!$B$62,AI78+AH79-AQ78)))</f>
        <v>352.79999999999956</v>
      </c>
      <c r="AJ79" s="14">
        <f>AI79*VLOOKUP('Données projet'!$B$10,Paramètres!$A$1:$I$89,3,0)*VLOOKUP('Données projet'!$B$10,Paramètres!$A$1:$I$89,5,0)</f>
        <v>220.14719999999971</v>
      </c>
      <c r="AK79" s="14">
        <f t="shared" si="89"/>
        <v>54.146877667769587</v>
      </c>
      <c r="AL79" s="22">
        <f t="shared" si="58"/>
        <v>477.72885193803154</v>
      </c>
      <c r="AM79" s="62">
        <f t="shared" si="59"/>
        <v>771.0621852713648</v>
      </c>
      <c r="AN79" s="62">
        <f ca="1">AVERAGE(OFFSET($AM$3,0,0,'Données projet'!$E$10+1,1))-AVERAGE(OFFSET($H$3,0,0,'Données projet'!$E$10+1,1))</f>
        <v>272.2908884671595</v>
      </c>
      <c r="AO79" s="62">
        <f t="shared" si="90"/>
        <v>220.74777226152867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46.064808401357098</v>
      </c>
      <c r="AV79" s="23">
        <f>EXP(-LN(2)/25)*AV78+(1-EXP(-LN(2)/25))/(LN(2)/25)*Calculateur!AQ79*Calculateur!AS79*VLOOKUP('Données projet'!$B$10,Paramètres!$A$1:$I$89,3,0)*0.475*44/12</f>
        <v>19.669601316072022</v>
      </c>
      <c r="AW79" s="23">
        <f>EXP(-LN(2)/2)*AW78+(1-EXP(-LN(2)/2))/(LN(2)/2)*AQ79*AT79*VLOOKUP('Données projet'!$B$10,Paramètres!$A$1:$I$89,3,0)*0.475*44/12</f>
        <v>1.2370248277626135</v>
      </c>
      <c r="AX79" s="23">
        <f t="shared" si="60"/>
        <v>66.971434545191727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7.0711111111111098</v>
      </c>
      <c r="BD79" s="13">
        <f>IF('Données projet'!$A$88&gt;35,BD78+BC79-BL78,IF(A79&lt;'Données projet'!$A$88,$BA$205^A79,IF(A79='Données projet'!$A$88,'Données projet'!$B$88,BD78+BC79-BL78)))</f>
        <v>197.14111111111103</v>
      </c>
      <c r="BE79" s="14">
        <f>BD79*VLOOKUP('Données projet'!$B$11,Paramètres!$A$1:$I$89,3,0)*VLOOKUP('Données projet'!$B$11,Paramètres!$A$1:$I$89,5,0)</f>
        <v>178.37327733333325</v>
      </c>
      <c r="BF79" s="14">
        <f t="shared" si="91"/>
        <v>44.960079342354881</v>
      </c>
      <c r="BG79" s="22">
        <f t="shared" si="61"/>
        <v>388.97226287682344</v>
      </c>
      <c r="BH79" s="62">
        <f t="shared" si="62"/>
        <v>682.30559621015675</v>
      </c>
      <c r="BI79" s="62">
        <f ca="1">AVERAGE(OFFSET($BH$3,0,0,'Données projet'!$E$11+1,1))-AVERAGE(OFFSET($H$3,0,0,'Données projet'!$E$11+1,1))</f>
        <v>320.80580551060069</v>
      </c>
      <c r="BJ79" s="62">
        <f t="shared" si="92"/>
        <v>225.55225019382294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18.192616333441652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18.192616333441652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IF('Données projet'!$A$114&gt;35,BY78+BX79-CG78,IF(A79&lt;'Données projet'!$A$114,$BV$205^A79,IF(A79='Données projet'!$A$114,'Données projet'!$B$114,BY78+BX79-CG78)))</f>
        <v>315.59999999999991</v>
      </c>
      <c r="BZ79" s="14">
        <f>BY79*VLOOKUP('Données projet'!$B$12,Paramètres!$A$1:$I$89,3,0)*VLOOKUP('Données projet'!$B$12,Paramètres!$A$1:$I$89,5,0)</f>
        <v>231.39791999999991</v>
      </c>
      <c r="CA79" s="14">
        <f t="shared" si="93"/>
        <v>56.584837838715806</v>
      </c>
      <c r="CB79" s="22">
        <f t="shared" si="64"/>
        <v>501.56996990242982</v>
      </c>
      <c r="CC79" s="62">
        <f t="shared" si="65"/>
        <v>794.90330323576313</v>
      </c>
      <c r="CD79" s="62">
        <f ca="1">AVERAGE(OFFSET($CC$3,0,0,'Données projet'!$E$12+1,1))-AVERAGE(OFFSET($H$3,0,0,'Données projet'!$E$12+1,1))</f>
        <v>254.67898541152096</v>
      </c>
      <c r="CE79" s="62">
        <f t="shared" si="94"/>
        <v>251.52653810702509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21.246023229225568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21.246023229225568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6.3550942286383367E-14</v>
      </c>
      <c r="P80" s="14">
        <f t="shared" si="87"/>
        <v>1.0064464192543978E-12</v>
      </c>
      <c r="Q80" s="22">
        <f t="shared" si="54"/>
        <v>1.8635787380168604E-12</v>
      </c>
      <c r="R80" s="62">
        <f t="shared" si="55"/>
        <v>293.33333333333519</v>
      </c>
      <c r="S80" s="62">
        <f ca="1">AVERAGE(OFFSET($R$3,0,0,'Données projet'!$E$9+1,1))-AVERAGE(OFFSET($H$3,0,0,'Données projet'!$E$9+1,1))</f>
        <v>321.56347025977988</v>
      </c>
      <c r="T80" s="62">
        <f t="shared" si="88"/>
        <v>285.79375360040717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266.73933753390685</v>
      </c>
      <c r="AA80" s="23">
        <f>EXP(-LN(2)/25)*AA79+(1-EXP(-LN(2)/25))/(LN(2)/25)*Calculateur!V80*Calculateur!X80*VLOOKUP('Données projet'!$B$9,Paramètres!$A$1:$I$89,3,0)*0.475*44/12</f>
        <v>36.358185079446429</v>
      </c>
      <c r="AB80" s="23">
        <f>EXP(-LN(2)/2)*AB79+(1-EXP(-LN(2)/2))/(LN(2)/2)*V80*Y80*VLOOKUP('Données projet'!$B$9,Paramètres!$A$1:$I$89,3,0)*0.475*44/12</f>
        <v>1.3619417195568886</v>
      </c>
      <c r="AC80" s="24">
        <f t="shared" si="57"/>
        <v>304.45946433291016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4.8</v>
      </c>
      <c r="AI80" s="14">
        <f>IF('Données projet'!$A$62&gt;35,AI79+AH80-AQ79,IF(A80&lt;'Données projet'!$A$62,$AF$205^A80,IF(A80='Données projet'!$A$62,'Données projet'!$B$62,AI79+AH80-AQ79)))</f>
        <v>357.59999999999957</v>
      </c>
      <c r="AJ80" s="14">
        <f>AI80*VLOOKUP('Données projet'!$B$10,Paramètres!$A$1:$I$89,3,0)*VLOOKUP('Données projet'!$B$10,Paramètres!$A$1:$I$89,5,0)</f>
        <v>223.14239999999975</v>
      </c>
      <c r="AK80" s="14">
        <f t="shared" si="89"/>
        <v>54.797306059198398</v>
      </c>
      <c r="AL80" s="22">
        <f t="shared" si="58"/>
        <v>484.07832138643676</v>
      </c>
      <c r="AM80" s="62">
        <f t="shared" si="59"/>
        <v>777.41165471977001</v>
      </c>
      <c r="AN80" s="62">
        <f ca="1">AVERAGE(OFFSET($AM$3,0,0,'Données projet'!$E$10+1,1))-AVERAGE(OFFSET($H$3,0,0,'Données projet'!$E$10+1,1))</f>
        <v>272.2908884671595</v>
      </c>
      <c r="AO80" s="62">
        <f t="shared" si="90"/>
        <v>220.74777226152867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45.161505605365285</v>
      </c>
      <c r="AV80" s="23">
        <f>EXP(-LN(2)/25)*AV79+(1-EXP(-LN(2)/25))/(LN(2)/25)*Calculateur!AQ80*Calculateur!AS80*VLOOKUP('Données projet'!$B$10,Paramètres!$A$1:$I$89,3,0)*0.475*44/12</f>
        <v>19.131735033704654</v>
      </c>
      <c r="AW80" s="23">
        <f>EXP(-LN(2)/2)*AW79+(1-EXP(-LN(2)/2))/(LN(2)/2)*AQ80*AT80*VLOOKUP('Données projet'!$B$10,Paramètres!$A$1:$I$89,3,0)*0.475*44/12</f>
        <v>0.87470864420706507</v>
      </c>
      <c r="AX80" s="23">
        <f t="shared" si="60"/>
        <v>65.167949283276997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7.0711111111111098</v>
      </c>
      <c r="BD80" s="13">
        <f>IF('Données projet'!$A$88&gt;35,BD79+BC80-BL79,IF(A80&lt;'Données projet'!$A$88,$BA$205^A80,IF(A80='Données projet'!$A$88,'Données projet'!$B$88,BD79+BC80-BL79)))</f>
        <v>204.21222222222215</v>
      </c>
      <c r="BE80" s="14">
        <f>BD80*VLOOKUP('Données projet'!$B$11,Paramètres!$A$1:$I$89,3,0)*VLOOKUP('Données projet'!$B$11,Paramètres!$A$1:$I$89,5,0)</f>
        <v>184.77121866666658</v>
      </c>
      <c r="BF80" s="14">
        <f t="shared" si="91"/>
        <v>46.382072763296506</v>
      </c>
      <c r="BG80" s="22">
        <f t="shared" si="61"/>
        <v>402.59198257385236</v>
      </c>
      <c r="BH80" s="62">
        <f t="shared" si="62"/>
        <v>695.92531590718568</v>
      </c>
      <c r="BI80" s="62">
        <f ca="1">AVERAGE(OFFSET($BH$3,0,0,'Données projet'!$E$11+1,1))-AVERAGE(OFFSET($H$3,0,0,'Données projet'!$E$11+1,1))</f>
        <v>320.80580551060069</v>
      </c>
      <c r="BJ80" s="62">
        <f t="shared" si="92"/>
        <v>225.55225019382294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17.835870223543147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17.835870223543147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IF('Données projet'!$A$114&gt;35,BY79+BX80-CG79,IF(A80&lt;'Données projet'!$A$114,$BV$205^A80,IF(A80='Données projet'!$A$114,'Données projet'!$B$114,BY79+BX80-CG79)))</f>
        <v>319.19999999999993</v>
      </c>
      <c r="BZ80" s="14">
        <f>BY80*VLOOKUP('Données projet'!$B$12,Paramètres!$A$1:$I$89,3,0)*VLOOKUP('Données projet'!$B$12,Paramètres!$A$1:$I$89,5,0)</f>
        <v>234.03743999999998</v>
      </c>
      <c r="CA80" s="14">
        <f t="shared" si="93"/>
        <v>57.154784339928739</v>
      </c>
      <c r="CB80" s="22">
        <f t="shared" si="64"/>
        <v>507.15979072537579</v>
      </c>
      <c r="CC80" s="62">
        <f t="shared" si="65"/>
        <v>800.4931240587091</v>
      </c>
      <c r="CD80" s="62">
        <f ca="1">AVERAGE(OFFSET($CC$3,0,0,'Données projet'!$E$12+1,1))-AVERAGE(OFFSET($H$3,0,0,'Données projet'!$E$12+1,1))</f>
        <v>254.67898541152096</v>
      </c>
      <c r="CE80" s="62">
        <f t="shared" si="94"/>
        <v>251.52653810702509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20.829401672495049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20.829401672495049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6.3550942286383367E-14</v>
      </c>
      <c r="P81" s="14">
        <f t="shared" si="87"/>
        <v>1.0064464192543978E-12</v>
      </c>
      <c r="Q81" s="22">
        <f t="shared" si="54"/>
        <v>1.8635787380168604E-12</v>
      </c>
      <c r="R81" s="62">
        <f t="shared" si="55"/>
        <v>293.33333333333519</v>
      </c>
      <c r="S81" s="62">
        <f ca="1">AVERAGE(OFFSET($R$3,0,0,'Données projet'!$E$9+1,1))-AVERAGE(OFFSET($H$3,0,0,'Données projet'!$E$9+1,1))</f>
        <v>321.56347025977988</v>
      </c>
      <c r="T81" s="62">
        <f t="shared" si="88"/>
        <v>285.79375360040717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261.50874181979805</v>
      </c>
      <c r="AA81" s="23">
        <f>EXP(-LN(2)/25)*AA80+(1-EXP(-LN(2)/25))/(LN(2)/25)*Calculateur!V81*Calculateur!X81*VLOOKUP('Données projet'!$B$9,Paramètres!$A$1:$I$89,3,0)*0.475*44/12</f>
        <v>35.363968596455109</v>
      </c>
      <c r="AB81" s="23">
        <f>EXP(-LN(2)/2)*AB80+(1-EXP(-LN(2)/2))/(LN(2)/2)*V81*Y81*VLOOKUP('Données projet'!$B$9,Paramètres!$A$1:$I$89,3,0)*0.475*44/12</f>
        <v>0.96303822547954321</v>
      </c>
      <c r="AC81" s="24">
        <f t="shared" si="57"/>
        <v>297.83574864173266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4.8</v>
      </c>
      <c r="AI81" s="14">
        <f>IF('Données projet'!$A$62&gt;35,AI80+AH81-AQ80,IF(A81&lt;'Données projet'!$A$62,$AF$205^A81,IF(A81='Données projet'!$A$62,'Données projet'!$B$62,AI80+AH81-AQ80)))</f>
        <v>362.39999999999958</v>
      </c>
      <c r="AJ81" s="14">
        <f>AI81*VLOOKUP('Données projet'!$B$10,Paramètres!$A$1:$I$89,3,0)*VLOOKUP('Données projet'!$B$10,Paramètres!$A$1:$I$89,5,0)</f>
        <v>226.13759999999974</v>
      </c>
      <c r="AK81" s="14">
        <f t="shared" si="89"/>
        <v>55.446718972068723</v>
      </c>
      <c r="AL81" s="22">
        <f t="shared" si="58"/>
        <v>490.42602220968575</v>
      </c>
      <c r="AM81" s="62">
        <f t="shared" si="59"/>
        <v>783.75935554301907</v>
      </c>
      <c r="AN81" s="62">
        <f ca="1">AVERAGE(OFFSET($AM$3,0,0,'Données projet'!$E$10+1,1))-AVERAGE(OFFSET($H$3,0,0,'Données projet'!$E$10+1,1))</f>
        <v>272.2908884671595</v>
      </c>
      <c r="AO81" s="62">
        <f t="shared" si="90"/>
        <v>220.74777226152867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44.27591602624257</v>
      </c>
      <c r="AV81" s="23">
        <f>EXP(-LN(2)/25)*AV80+(1-EXP(-LN(2)/25))/(LN(2)/25)*Calculateur!AQ81*Calculateur!AS81*VLOOKUP('Données projet'!$B$10,Paramètres!$A$1:$I$89,3,0)*0.475*44/12</f>
        <v>18.608576733113782</v>
      </c>
      <c r="AW81" s="23">
        <f>EXP(-LN(2)/2)*AW80+(1-EXP(-LN(2)/2))/(LN(2)/2)*AQ81*AT81*VLOOKUP('Données projet'!$B$10,Paramètres!$A$1:$I$89,3,0)*0.475*44/12</f>
        <v>0.61851241388130684</v>
      </c>
      <c r="AX81" s="23">
        <f t="shared" si="60"/>
        <v>63.503005173237653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7.0711111111111098</v>
      </c>
      <c r="BD81" s="13">
        <f>IF('Données projet'!$A$88&gt;35,BD80+BC81-BL80,IF(A81&lt;'Données projet'!$A$88,$BA$205^A81,IF(A81='Données projet'!$A$88,'Données projet'!$B$88,BD80+BC81-BL80)))</f>
        <v>211.28333333333327</v>
      </c>
      <c r="BE81" s="14">
        <f>BD81*VLOOKUP('Données projet'!$B$11,Paramètres!$A$1:$I$89,3,0)*VLOOKUP('Données projet'!$B$11,Paramètres!$A$1:$I$89,5,0)</f>
        <v>191.16915999999992</v>
      </c>
      <c r="BF81" s="14">
        <f t="shared" si="91"/>
        <v>47.798345166860187</v>
      </c>
      <c r="BG81" s="22">
        <f t="shared" si="61"/>
        <v>416.2017381656147</v>
      </c>
      <c r="BH81" s="62">
        <f t="shared" si="62"/>
        <v>709.53507149894801</v>
      </c>
      <c r="BI81" s="62">
        <f ca="1">AVERAGE(OFFSET($BH$3,0,0,'Données projet'!$E$11+1,1))-AVERAGE(OFFSET($H$3,0,0,'Données projet'!$E$11+1,1))</f>
        <v>320.80580551060069</v>
      </c>
      <c r="BJ81" s="62">
        <f t="shared" si="92"/>
        <v>225.55225019382294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17.486119687266108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17.486119687266108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IF('Données projet'!$A$114&gt;35,BY80+BX81-CG80,IF(A81&lt;'Données projet'!$A$114,$BV$205^A81,IF(A81='Données projet'!$A$114,'Données projet'!$B$114,BY80+BX81-CG80)))</f>
        <v>322.79999999999995</v>
      </c>
      <c r="BZ81" s="14">
        <f>BY81*VLOOKUP('Données projet'!$B$12,Paramètres!$A$1:$I$89,3,0)*VLOOKUP('Données projet'!$B$12,Paramètres!$A$1:$I$89,5,0)</f>
        <v>236.67695999999998</v>
      </c>
      <c r="CA81" s="14">
        <f t="shared" si="93"/>
        <v>57.723983099802702</v>
      </c>
      <c r="CB81" s="22">
        <f t="shared" si="64"/>
        <v>512.74830923215643</v>
      </c>
      <c r="CC81" s="62">
        <f t="shared" si="65"/>
        <v>806.0816425654898</v>
      </c>
      <c r="CD81" s="62">
        <f ca="1">AVERAGE(OFFSET($CC$3,0,0,'Données projet'!$E$12+1,1))-AVERAGE(OFFSET($H$3,0,0,'Données projet'!$E$12+1,1))</f>
        <v>254.67898541152096</v>
      </c>
      <c r="CE81" s="62">
        <f t="shared" si="94"/>
        <v>251.52653810702509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20.420949810377959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20.420949810377959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6.3550942286383367E-14</v>
      </c>
      <c r="P82" s="14">
        <f t="shared" si="87"/>
        <v>1.0064464192543978E-12</v>
      </c>
      <c r="Q82" s="22">
        <f t="shared" si="54"/>
        <v>1.8635787380168604E-12</v>
      </c>
      <c r="R82" s="62">
        <f t="shared" si="55"/>
        <v>293.33333333333519</v>
      </c>
      <c r="S82" s="62">
        <f ca="1">AVERAGE(OFFSET($R$3,0,0,'Données projet'!$E$9+1,1))-AVERAGE(OFFSET($H$3,0,0,'Données projet'!$E$9+1,1))</f>
        <v>321.56347025977988</v>
      </c>
      <c r="T82" s="62">
        <f t="shared" si="88"/>
        <v>285.79375360040717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256.38071489729452</v>
      </c>
      <c r="AA82" s="23">
        <f>EXP(-LN(2)/25)*AA81+(1-EXP(-LN(2)/25))/(LN(2)/25)*Calculateur!V82*Calculateur!X82*VLOOKUP('Données projet'!$B$9,Paramètres!$A$1:$I$89,3,0)*0.475*44/12</f>
        <v>34.396939015474764</v>
      </c>
      <c r="AB82" s="23">
        <f>EXP(-LN(2)/2)*AB81+(1-EXP(-LN(2)/2))/(LN(2)/2)*V82*Y82*VLOOKUP('Données projet'!$B$9,Paramètres!$A$1:$I$89,3,0)*0.475*44/12</f>
        <v>0.6809708597784444</v>
      </c>
      <c r="AC82" s="24">
        <f t="shared" si="57"/>
        <v>291.45862477254769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4.8</v>
      </c>
      <c r="AI82" s="14">
        <f>IF('Données projet'!$A$62&gt;35,AI81+AH82-AQ81,IF(A82&lt;'Données projet'!$A$62,$AF$205^A82,IF(A82='Données projet'!$A$62,'Données projet'!$B$62,AI81+AH82-AQ81)))</f>
        <v>367.19999999999959</v>
      </c>
      <c r="AJ82" s="14">
        <f>AI82*VLOOKUP('Données projet'!$B$10,Paramètres!$A$1:$I$89,3,0)*VLOOKUP('Données projet'!$B$10,Paramètres!$A$1:$I$89,5,0)</f>
        <v>229.13279999999975</v>
      </c>
      <c r="AK82" s="14">
        <f t="shared" si="89"/>
        <v>56.095131411326882</v>
      </c>
      <c r="AL82" s="22">
        <f t="shared" si="58"/>
        <v>496.77198054139382</v>
      </c>
      <c r="AM82" s="62">
        <f t="shared" si="59"/>
        <v>790.10531387472713</v>
      </c>
      <c r="AN82" s="62">
        <f ca="1">AVERAGE(OFFSET($AM$3,0,0,'Données projet'!$E$10+1,1))-AVERAGE(OFFSET($H$3,0,0,'Données projet'!$E$10+1,1))</f>
        <v>272.2908884671595</v>
      </c>
      <c r="AO82" s="62">
        <f t="shared" si="90"/>
        <v>220.74777226152867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43.407692318610145</v>
      </c>
      <c r="AV82" s="23">
        <f>EXP(-LN(2)/25)*AV81+(1-EXP(-LN(2)/25))/(LN(2)/25)*Calculateur!AQ82*Calculateur!AS82*VLOOKUP('Données projet'!$B$10,Paramètres!$A$1:$I$89,3,0)*0.475*44/12</f>
        <v>18.099724223764266</v>
      </c>
      <c r="AW82" s="23">
        <f>EXP(-LN(2)/2)*AW81+(1-EXP(-LN(2)/2))/(LN(2)/2)*AQ82*AT82*VLOOKUP('Données projet'!$B$10,Paramètres!$A$1:$I$89,3,0)*0.475*44/12</f>
        <v>0.43735432210353259</v>
      </c>
      <c r="AX82" s="23">
        <f t="shared" si="60"/>
        <v>61.944770864477945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7.0711111111111098</v>
      </c>
      <c r="BD82" s="13">
        <f>IF('Données projet'!$A$88&gt;35,BD81+BC82-BL81,IF(A82&lt;'Données projet'!$A$88,$BA$205^A82,IF(A82='Données projet'!$A$88,'Données projet'!$B$88,BD81+BC82-BL81)))</f>
        <v>218.3544444444444</v>
      </c>
      <c r="BE82" s="14">
        <f>BD82*VLOOKUP('Données projet'!$B$11,Paramètres!$A$1:$I$89,3,0)*VLOOKUP('Données projet'!$B$11,Paramètres!$A$1:$I$89,5,0)</f>
        <v>197.56710133333328</v>
      </c>
      <c r="BF82" s="14">
        <f t="shared" si="91"/>
        <v>49.209109972785043</v>
      </c>
      <c r="BG82" s="22">
        <f t="shared" si="61"/>
        <v>429.8019013581561</v>
      </c>
      <c r="BH82" s="62">
        <f t="shared" si="62"/>
        <v>723.13523469148936</v>
      </c>
      <c r="BI82" s="62">
        <f ca="1">AVERAGE(OFFSET($BH$3,0,0,'Données projet'!$E$11+1,1))-AVERAGE(OFFSET($H$3,0,0,'Données projet'!$E$11+1,1))</f>
        <v>320.80580551060069</v>
      </c>
      <c r="BJ82" s="62">
        <f t="shared" si="92"/>
        <v>225.55225019382294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17.143227545678698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17.143227545678698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IF('Données projet'!$A$114&gt;35,BY81+BX82-CG81,IF(A82&lt;'Données projet'!$A$114,$BV$205^A82,IF(A82='Données projet'!$A$114,'Données projet'!$B$114,BY81+BX82-CG81)))</f>
        <v>326.39999999999998</v>
      </c>
      <c r="BZ82" s="14">
        <f>BY82*VLOOKUP('Données projet'!$B$12,Paramètres!$A$1:$I$89,3,0)*VLOOKUP('Données projet'!$B$12,Paramètres!$A$1:$I$89,5,0)</f>
        <v>239.31647999999998</v>
      </c>
      <c r="CA82" s="14">
        <f t="shared" si="93"/>
        <v>58.292443422481945</v>
      </c>
      <c r="CB82" s="22">
        <f t="shared" si="64"/>
        <v>518.33554162748942</v>
      </c>
      <c r="CC82" s="62">
        <f t="shared" si="65"/>
        <v>811.66887496082268</v>
      </c>
      <c r="CD82" s="62">
        <f ca="1">AVERAGE(OFFSET($CC$3,0,0,'Données projet'!$E$12+1,1))-AVERAGE(OFFSET($H$3,0,0,'Données projet'!$E$12+1,1))</f>
        <v>254.67898541152096</v>
      </c>
      <c r="CE82" s="62">
        <f t="shared" si="94"/>
        <v>251.52653810702509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20.020507440145948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20.020507440145948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6.3550942286383367E-14</v>
      </c>
      <c r="P83" s="14">
        <f t="shared" si="87"/>
        <v>1.0064464192543978E-12</v>
      </c>
      <c r="Q83" s="22">
        <f t="shared" si="54"/>
        <v>1.8635787380168604E-12</v>
      </c>
      <c r="R83" s="62">
        <f t="shared" si="55"/>
        <v>293.33333333333519</v>
      </c>
      <c r="S83" s="62">
        <f ca="1">AVERAGE(OFFSET($R$3,0,0,'Données projet'!$E$9+1,1))-AVERAGE(OFFSET($H$3,0,0,'Données projet'!$E$9+1,1))</f>
        <v>321.56347025977988</v>
      </c>
      <c r="T83" s="62">
        <f t="shared" si="88"/>
        <v>285.79375360040717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251.35324545495374</v>
      </c>
      <c r="AA83" s="23">
        <f>EXP(-LN(2)/25)*AA82+(1-EXP(-LN(2)/25))/(LN(2)/25)*Calculateur!V83*Calculateur!X83*VLOOKUP('Données projet'!$B$9,Paramètres!$A$1:$I$89,3,0)*0.475*44/12</f>
        <v>33.456352909240202</v>
      </c>
      <c r="AB83" s="23">
        <f>EXP(-LN(2)/2)*AB82+(1-EXP(-LN(2)/2))/(LN(2)/2)*V83*Y83*VLOOKUP('Données projet'!$B$9,Paramètres!$A$1:$I$89,3,0)*0.475*44/12</f>
        <v>0.48151911273977166</v>
      </c>
      <c r="AC83" s="24">
        <f t="shared" si="57"/>
        <v>285.29111747693372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372</v>
      </c>
      <c r="AG83" s="13">
        <f>VLOOKUP(A83,'Données projet'!$A$61:$I$81,9,0)</f>
        <v>4.8</v>
      </c>
      <c r="AH83" s="13">
        <f t="array" ref="AH83">INDEX(AG:AG,MIN(IF(ISNUMBER(AG83:AG279),ROW(AG83:AG279),"")))</f>
        <v>4.8</v>
      </c>
      <c r="AI83" s="14">
        <f>IF('Données projet'!$A$62&gt;35,AI82+AH83-AQ82,IF(A83&lt;'Données projet'!$A$62,$AF$205^A83,IF(A83='Données projet'!$A$62,'Données projet'!$B$62,AI82+AH83-AQ82)))</f>
        <v>371.9999999999996</v>
      </c>
      <c r="AJ83" s="14">
        <f>AI83*VLOOKUP('Données projet'!$B$10,Paramètres!$A$1:$I$89,3,0)*VLOOKUP('Données projet'!$B$10,Paramètres!$A$1:$I$89,5,0)</f>
        <v>232.12799999999976</v>
      </c>
      <c r="AK83" s="14">
        <f t="shared" si="89"/>
        <v>56.742557967082348</v>
      </c>
      <c r="AL83" s="22">
        <f t="shared" si="58"/>
        <v>503.11622179266806</v>
      </c>
      <c r="AM83" s="62">
        <f t="shared" si="59"/>
        <v>796.44955512600131</v>
      </c>
      <c r="AN83" s="62">
        <f ca="1">AVERAGE(OFFSET($AM$3,0,0,'Données projet'!$E$10+1,1))-AVERAGE(OFFSET($H$3,0,0,'Données projet'!$E$10+1,1))</f>
        <v>272.2908884671595</v>
      </c>
      <c r="AO83" s="62">
        <f t="shared" si="90"/>
        <v>220.74777226152867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0.42</v>
      </c>
      <c r="AS83" s="17">
        <f>IF(ISNA(VLOOKUP(A83,'Données projet'!$A$61:$I$81,6,0)),0%,VLOOKUP(A83,'Données projet'!$A$61:$I$81,6,0)*VLOOKUP('Données projet'!$B$10,Paramètres!$A$1:$I$89,7,0))</f>
        <v>0.10200000000000001</v>
      </c>
      <c r="AT83" s="17">
        <f>IF(ISNA(VLOOKUP(A83,'Données projet'!$A$61:$I$81,7,0)),0%,VLOOKUP(A83,'Données projet'!$A$61:$I$81,7,0))</f>
        <v>0.13</v>
      </c>
      <c r="AU83" s="23">
        <f>EXP(-LN(2)/35)*AU82+(1-EXP(-LN(2)/35))/(LN(2)/35)*AQ83*AR83*VLOOKUP('Données projet'!$B$10,Paramètres!$A$1:$I$89,3,0)*0.475*44/12</f>
        <v>47.423818123062539</v>
      </c>
      <c r="AV83" s="23">
        <f>EXP(-LN(2)/25)*AV82+(1-EXP(-LN(2)/25))/(LN(2)/25)*Calculateur!AQ83*Calculateur!AS83*VLOOKUP('Données projet'!$B$10,Paramètres!$A$1:$I$89,3,0)*0.475*44/12</f>
        <v>18.782196517367986</v>
      </c>
      <c r="AW83" s="23">
        <f>EXP(-LN(2)/2)*AW82+(1-EXP(-LN(2)/2))/(LN(2)/2)*AQ83*AT83*VLOOKUP('Données projet'!$B$10,Paramètres!$A$1:$I$89,3,0)*0.475*44/12</f>
        <v>1.5951097825955103</v>
      </c>
      <c r="AX83" s="23">
        <f t="shared" si="60"/>
        <v>67.801124423026039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7.0711111111111098</v>
      </c>
      <c r="BD83" s="13">
        <f>IF('Données projet'!$A$88&gt;35,BD82+BC83-BL82,IF(A83&lt;'Données projet'!$A$88,$BA$205^A83,IF(A83='Données projet'!$A$88,'Données projet'!$B$88,BD82+BC83-BL82)))</f>
        <v>225.42555555555552</v>
      </c>
      <c r="BE83" s="14">
        <f>BD83*VLOOKUP('Données projet'!$B$11,Paramètres!$A$1:$I$89,3,0)*VLOOKUP('Données projet'!$B$11,Paramètres!$A$1:$I$89,5,0)</f>
        <v>203.96504266666662</v>
      </c>
      <c r="BF83" s="14">
        <f t="shared" si="91"/>
        <v>50.614565993497123</v>
      </c>
      <c r="BG83" s="22">
        <f t="shared" si="61"/>
        <v>443.3928184164518</v>
      </c>
      <c r="BH83" s="62">
        <f t="shared" si="62"/>
        <v>736.72615174978512</v>
      </c>
      <c r="BI83" s="62">
        <f ca="1">AVERAGE(OFFSET($BH$3,0,0,'Données projet'!$E$11+1,1))-AVERAGE(OFFSET($H$3,0,0,'Données projet'!$E$11+1,1))</f>
        <v>320.80580551060069</v>
      </c>
      <c r="BJ83" s="62">
        <f t="shared" si="92"/>
        <v>225.55225019382294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16.807059309844263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16.807059309844263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330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IF('Données projet'!$A$114&gt;35,BY82+BX83-CG82,IF(A83&lt;'Données projet'!$A$114,$BV$205^A83,IF(A83='Données projet'!$A$114,'Données projet'!$B$114,BY82+BX83-CG82)))</f>
        <v>330</v>
      </c>
      <c r="BZ83" s="14">
        <f>BY83*VLOOKUP('Données projet'!$B$12,Paramètres!$A$1:$I$89,3,0)*VLOOKUP('Données projet'!$B$12,Paramètres!$A$1:$I$89,5,0)</f>
        <v>241.95599999999999</v>
      </c>
      <c r="CA83" s="14">
        <f t="shared" si="93"/>
        <v>58.860174395053612</v>
      </c>
      <c r="CB83" s="22">
        <f t="shared" si="64"/>
        <v>523.92150373805168</v>
      </c>
      <c r="CC83" s="62">
        <f t="shared" si="65"/>
        <v>817.25483707138505</v>
      </c>
      <c r="CD83" s="62">
        <f ca="1">AVERAGE(OFFSET($CC$3,0,0,'Données projet'!$E$12+1,1))-AVERAGE(OFFSET($H$3,0,0,'Données projet'!$E$12+1,1))</f>
        <v>254.67898541152096</v>
      </c>
      <c r="CE83" s="62">
        <f t="shared" si="94"/>
        <v>251.52653810702509</v>
      </c>
      <c r="CF83" s="16">
        <f>IF(ISNA(VLOOKUP(A83,'Données projet'!$A$113:$I$133,3,0)),0,VLOOKUP(A83,'Données projet'!$A$113:$I$133,3,0))</f>
        <v>15</v>
      </c>
      <c r="CG83" s="16">
        <f>IF(ISNA(VLOOKUP(A83,'Données projet'!$A$113:$I$133,4,0)),0,VLOOKUP(A83,'Données projet'!$A$113:$I$133,4,0))</f>
        <v>330</v>
      </c>
      <c r="CH83" s="17">
        <f>IF(ISNA(VLOOKUP(A83,'Données projet'!$A$113:$I$133,5,0)),0%,VLOOKUP(A83,'Données projet'!$A$113:$I$133,5,0)*VLOOKUP('Données projet'!$B$12,Paramètres!$A$1:$I$89,7,0))</f>
        <v>0.34400000000000003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111.63938325624289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111.63938325624289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6.3550942286383367E-14</v>
      </c>
      <c r="P84" s="14">
        <f t="shared" si="87"/>
        <v>1.0064464192543978E-12</v>
      </c>
      <c r="Q84" s="22">
        <f t="shared" si="54"/>
        <v>1.8635787380168604E-12</v>
      </c>
      <c r="R84" s="62">
        <f t="shared" si="55"/>
        <v>293.33333333333519</v>
      </c>
      <c r="S84" s="62">
        <f ca="1">AVERAGE(OFFSET($R$3,0,0,'Données projet'!$E$9+1,1))-AVERAGE(OFFSET($H$3,0,0,'Données projet'!$E$9+1,1))</f>
        <v>321.56347025977988</v>
      </c>
      <c r="T84" s="62">
        <f t="shared" si="88"/>
        <v>285.79375360040717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246.42436162192368</v>
      </c>
      <c r="AA84" s="23">
        <f>EXP(-LN(2)/25)*AA83+(1-EXP(-LN(2)/25))/(LN(2)/25)*Calculateur!V84*Calculateur!X84*VLOOKUP('Données projet'!$B$9,Paramètres!$A$1:$I$89,3,0)*0.475*44/12</f>
        <v>32.541487179543893</v>
      </c>
      <c r="AB84" s="23">
        <f>EXP(-LN(2)/2)*AB83+(1-EXP(-LN(2)/2))/(LN(2)/2)*V84*Y84*VLOOKUP('Données projet'!$B$9,Paramètres!$A$1:$I$89,3,0)*0.475*44/12</f>
        <v>0.34048542988922226</v>
      </c>
      <c r="AC84" s="24">
        <f t="shared" si="57"/>
        <v>279.3063342313568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</v>
      </c>
      <c r="AI84" s="14">
        <f>IF('Données projet'!$A$62&gt;35,AI83+AH84-AQ83,IF(A84&lt;'Données projet'!$A$62,$AF$205^A84,IF(A84='Données projet'!$A$62,'Données projet'!$B$62,AI83+AH84-AQ83)))</f>
        <v>361.9999999999996</v>
      </c>
      <c r="AJ84" s="14">
        <f>AI84*VLOOKUP('Données projet'!$B$10,Paramètres!$A$1:$I$89,3,0)*VLOOKUP('Données projet'!$B$10,Paramètres!$A$1:$I$89,5,0)</f>
        <v>225.88799999999975</v>
      </c>
      <c r="AK84" s="14">
        <f t="shared" si="89"/>
        <v>55.392639646029345</v>
      </c>
      <c r="AL84" s="22">
        <f t="shared" si="58"/>
        <v>489.89711405016737</v>
      </c>
      <c r="AM84" s="62">
        <f t="shared" si="59"/>
        <v>783.23044738350063</v>
      </c>
      <c r="AN84" s="62">
        <f ca="1">AVERAGE(OFFSET($AM$3,0,0,'Données projet'!$E$10+1,1))-AVERAGE(OFFSET($H$3,0,0,'Données projet'!$E$10+1,1))</f>
        <v>272.2908884671595</v>
      </c>
      <c r="AO84" s="62">
        <f t="shared" si="90"/>
        <v>220.74777226152867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46.493865975342167</v>
      </c>
      <c r="AV84" s="23">
        <f>EXP(-LN(2)/25)*AV83+(1-EXP(-LN(2)/25))/(LN(2)/25)*Calculateur!AQ84*Calculateur!AS84*VLOOKUP('Données projet'!$B$10,Paramètres!$A$1:$I$89,3,0)*0.475*44/12</f>
        <v>18.26859636588777</v>
      </c>
      <c r="AW84" s="23">
        <f>EXP(-LN(2)/2)*AW83+(1-EXP(-LN(2)/2))/(LN(2)/2)*AQ84*AT84*VLOOKUP('Données projet'!$B$10,Paramètres!$A$1:$I$89,3,0)*0.475*44/12</f>
        <v>1.1279129440102849</v>
      </c>
      <c r="AX84" s="23">
        <f t="shared" si="60"/>
        <v>65.890375285240225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7.0711111111111098</v>
      </c>
      <c r="BD84" s="13">
        <f>IF('Données projet'!$A$88&gt;35,BD83+BC84-BL83,IF(A84&lt;'Données projet'!$A$88,$BA$205^A84,IF(A84='Données projet'!$A$88,'Données projet'!$B$88,BD83+BC84-BL83)))</f>
        <v>232.49666666666664</v>
      </c>
      <c r="BE84" s="14">
        <f>BD84*VLOOKUP('Données projet'!$B$11,Paramètres!$A$1:$I$89,3,0)*VLOOKUP('Données projet'!$B$11,Paramètres!$A$1:$I$89,5,0)</f>
        <v>210.36298399999998</v>
      </c>
      <c r="BF84" s="14">
        <f t="shared" si="91"/>
        <v>52.014898860392101</v>
      </c>
      <c r="BG84" s="22">
        <f t="shared" si="61"/>
        <v>456.97481264851626</v>
      </c>
      <c r="BH84" s="62">
        <f t="shared" si="62"/>
        <v>750.30814598184952</v>
      </c>
      <c r="BI84" s="62">
        <f ca="1">AVERAGE(OFFSET($BH$3,0,0,'Données projet'!$E$11+1,1))-AVERAGE(OFFSET($H$3,0,0,'Données projet'!$E$11+1,1))</f>
        <v>320.80580551060069</v>
      </c>
      <c r="BJ84" s="62">
        <f t="shared" si="92"/>
        <v>225.55225019382294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16.477483128072166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16.477483128072166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254.67898541152096</v>
      </c>
      <c r="CE84" s="62">
        <f t="shared" si="94"/>
        <v>251.52653810702509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109.45020304388811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109.45020304388811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6.3550942286383367E-14</v>
      </c>
      <c r="P85" s="14">
        <f t="shared" si="87"/>
        <v>1.0064464192543978E-12</v>
      </c>
      <c r="Q85" s="22">
        <f t="shared" si="54"/>
        <v>1.8635787380168604E-12</v>
      </c>
      <c r="R85" s="62">
        <f t="shared" si="55"/>
        <v>293.33333333333519</v>
      </c>
      <c r="S85" s="62">
        <f ca="1">AVERAGE(OFFSET($R$3,0,0,'Données projet'!$E$9+1,1))-AVERAGE(OFFSET($H$3,0,0,'Données projet'!$E$9+1,1))</f>
        <v>321.56347025977988</v>
      </c>
      <c r="T85" s="62">
        <f t="shared" si="88"/>
        <v>285.79375360040717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241.59213019453705</v>
      </c>
      <c r="AA85" s="23">
        <f>EXP(-LN(2)/25)*AA84+(1-EXP(-LN(2)/25))/(LN(2)/25)*Calculateur!V85*Calculateur!X85*VLOOKUP('Données projet'!$B$9,Paramètres!$A$1:$I$89,3,0)*0.475*44/12</f>
        <v>31.65163850133683</v>
      </c>
      <c r="AB85" s="23">
        <f>EXP(-LN(2)/2)*AB84+(1-EXP(-LN(2)/2))/(LN(2)/2)*V85*Y85*VLOOKUP('Données projet'!$B$9,Paramètres!$A$1:$I$89,3,0)*0.475*44/12</f>
        <v>0.24075955636988586</v>
      </c>
      <c r="AC85" s="24">
        <f t="shared" si="57"/>
        <v>273.48452825224376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</v>
      </c>
      <c r="AI85" s="14">
        <f>IF('Données projet'!$A$62&gt;35,AI84+AH85-AQ84,IF(A85&lt;'Données projet'!$A$62,$AF$205^A85,IF(A85='Données projet'!$A$62,'Données projet'!$B$62,AI84+AH85-AQ84)))</f>
        <v>365.9999999999996</v>
      </c>
      <c r="AJ85" s="14">
        <f>AI85*VLOOKUP('Données projet'!$B$10,Paramètres!$A$1:$I$89,3,0)*VLOOKUP('Données projet'!$B$10,Paramètres!$A$1:$I$89,5,0)</f>
        <v>228.38399999999976</v>
      </c>
      <c r="AK85" s="14">
        <f t="shared" si="89"/>
        <v>55.93312129108724</v>
      </c>
      <c r="AL85" s="22">
        <f t="shared" si="58"/>
        <v>495.18565291530984</v>
      </c>
      <c r="AM85" s="62">
        <f t="shared" si="59"/>
        <v>788.51898624864316</v>
      </c>
      <c r="AN85" s="62">
        <f ca="1">AVERAGE(OFFSET($AM$3,0,0,'Données projet'!$E$10+1,1))-AVERAGE(OFFSET($H$3,0,0,'Données projet'!$E$10+1,1))</f>
        <v>272.2908884671595</v>
      </c>
      <c r="AO85" s="62">
        <f t="shared" si="90"/>
        <v>220.74777226152867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45.582149622023785</v>
      </c>
      <c r="AV85" s="23">
        <f>EXP(-LN(2)/25)*AV84+(1-EXP(-LN(2)/25))/(LN(2)/25)*Calculateur!AQ85*Calculateur!AS85*VLOOKUP('Données projet'!$B$10,Paramètres!$A$1:$I$89,3,0)*0.475*44/12</f>
        <v>17.769040637558838</v>
      </c>
      <c r="AW85" s="23">
        <f>EXP(-LN(2)/2)*AW84+(1-EXP(-LN(2)/2))/(LN(2)/2)*AQ85*AT85*VLOOKUP('Données projet'!$B$10,Paramètres!$A$1:$I$89,3,0)*0.475*44/12</f>
        <v>0.79755489129775514</v>
      </c>
      <c r="AX85" s="23">
        <f t="shared" si="60"/>
        <v>64.148745150880373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7.0711111111111098</v>
      </c>
      <c r="BD85" s="13">
        <f>IF('Données projet'!$A$88&gt;35,BD84+BC85-BL84,IF(A85&lt;'Données projet'!$A$88,$BA$205^A85,IF(A85='Données projet'!$A$88,'Données projet'!$B$88,BD84+BC85-BL84)))</f>
        <v>239.56777777777776</v>
      </c>
      <c r="BE85" s="14">
        <f>BD85*VLOOKUP('Données projet'!$B$11,Paramètres!$A$1:$I$89,3,0)*VLOOKUP('Données projet'!$B$11,Paramètres!$A$1:$I$89,5,0)</f>
        <v>216.76092533333329</v>
      </c>
      <c r="BF85" s="14">
        <f t="shared" si="91"/>
        <v>53.410282271728782</v>
      </c>
      <c r="BG85" s="22">
        <f t="shared" si="61"/>
        <v>470.54818657881646</v>
      </c>
      <c r="BH85" s="62">
        <f t="shared" si="62"/>
        <v>763.88151991214977</v>
      </c>
      <c r="BI85" s="62">
        <f ca="1">AVERAGE(OFFSET($BH$3,0,0,'Données projet'!$E$11+1,1))-AVERAGE(OFFSET($H$3,0,0,'Données projet'!$E$11+1,1))</f>
        <v>320.80580551060069</v>
      </c>
      <c r="BJ85" s="62">
        <f t="shared" si="92"/>
        <v>225.55225019382294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16.154369734202998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16.154369734202998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254.67898541152096</v>
      </c>
      <c r="CE85" s="62">
        <f t="shared" si="94"/>
        <v>251.52653810702509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107.30395132022952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107.30395132022952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6.3550942286383367E-14</v>
      </c>
      <c r="P86" s="14">
        <f t="shared" si="87"/>
        <v>1.0064464192543978E-12</v>
      </c>
      <c r="Q86" s="22">
        <f t="shared" si="54"/>
        <v>1.8635787380168604E-12</v>
      </c>
      <c r="R86" s="62">
        <f t="shared" si="55"/>
        <v>293.33333333333519</v>
      </c>
      <c r="S86" s="62">
        <f ca="1">AVERAGE(OFFSET($R$3,0,0,'Données projet'!$E$9+1,1))-AVERAGE(OFFSET($H$3,0,0,'Données projet'!$E$9+1,1))</f>
        <v>321.56347025977988</v>
      </c>
      <c r="T86" s="62">
        <f t="shared" si="88"/>
        <v>285.79375360040717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236.85465587807133</v>
      </c>
      <c r="AA86" s="23">
        <f>EXP(-LN(2)/25)*AA85+(1-EXP(-LN(2)/25))/(LN(2)/25)*Calculateur!V86*Calculateur!X86*VLOOKUP('Données projet'!$B$9,Paramètres!$A$1:$I$89,3,0)*0.475*44/12</f>
        <v>30.786122782030446</v>
      </c>
      <c r="AB86" s="23">
        <f>EXP(-LN(2)/2)*AB85+(1-EXP(-LN(2)/2))/(LN(2)/2)*V86*Y86*VLOOKUP('Données projet'!$B$9,Paramètres!$A$1:$I$89,3,0)*0.475*44/12</f>
        <v>0.17024271494461116</v>
      </c>
      <c r="AC86" s="24">
        <f t="shared" si="57"/>
        <v>267.81102137504638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</v>
      </c>
      <c r="AI86" s="14">
        <f>IF('Données projet'!$A$62&gt;35,AI85+AH86-AQ85,IF(A86&lt;'Données projet'!$A$62,$AF$205^A86,IF(A86='Données projet'!$A$62,'Données projet'!$B$62,AI85+AH86-AQ85)))</f>
        <v>369.9999999999996</v>
      </c>
      <c r="AJ86" s="14">
        <f>AI86*VLOOKUP('Données projet'!$B$10,Paramètres!$A$1:$I$89,3,0)*VLOOKUP('Données projet'!$B$10,Paramètres!$A$1:$I$89,5,0)</f>
        <v>230.87999999999974</v>
      </c>
      <c r="AK86" s="14">
        <f t="shared" si="89"/>
        <v>56.472915795293623</v>
      </c>
      <c r="AL86" s="22">
        <f t="shared" si="58"/>
        <v>500.47299501013589</v>
      </c>
      <c r="AM86" s="62">
        <f t="shared" si="59"/>
        <v>793.8063283434692</v>
      </c>
      <c r="AN86" s="62">
        <f ca="1">AVERAGE(OFFSET($AM$3,0,0,'Données projet'!$E$10+1,1))-AVERAGE(OFFSET($H$3,0,0,'Données projet'!$E$10+1,1))</f>
        <v>272.2908884671595</v>
      </c>
      <c r="AO86" s="62">
        <f t="shared" si="90"/>
        <v>220.74777226152867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44.688311470301912</v>
      </c>
      <c r="AV86" s="23">
        <f>EXP(-LN(2)/25)*AV85+(1-EXP(-LN(2)/25))/(LN(2)/25)*Calculateur!AQ86*Calculateur!AS86*VLOOKUP('Données projet'!$B$10,Paramètres!$A$1:$I$89,3,0)*0.475*44/12</f>
        <v>17.283145286891557</v>
      </c>
      <c r="AW86" s="23">
        <f>EXP(-LN(2)/2)*AW85+(1-EXP(-LN(2)/2))/(LN(2)/2)*AQ86*AT86*VLOOKUP('Données projet'!$B$10,Paramètres!$A$1:$I$89,3,0)*0.475*44/12</f>
        <v>0.56395647200514243</v>
      </c>
      <c r="AX86" s="23">
        <f t="shared" si="60"/>
        <v>62.53541322919861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7.0711111111111098</v>
      </c>
      <c r="BD86" s="13">
        <f>IF('Données projet'!$A$88&gt;35,BD85+BC86-BL85,IF(A86&lt;'Données projet'!$A$88,$BA$205^A86,IF(A86='Données projet'!$A$88,'Données projet'!$B$88,BD85+BC86-BL85)))</f>
        <v>246.63888888888889</v>
      </c>
      <c r="BE86" s="14">
        <f>BD86*VLOOKUP('Données projet'!$B$11,Paramètres!$A$1:$I$89,3,0)*VLOOKUP('Données projet'!$B$11,Paramètres!$A$1:$I$89,5,0)</f>
        <v>223.15886666666665</v>
      </c>
      <c r="BF86" s="14">
        <f t="shared" si="91"/>
        <v>54.800879089050497</v>
      </c>
      <c r="BG86" s="22">
        <f t="shared" si="61"/>
        <v>484.11322385787395</v>
      </c>
      <c r="BH86" s="62">
        <f t="shared" si="62"/>
        <v>777.44655719120726</v>
      </c>
      <c r="BI86" s="62">
        <f ca="1">AVERAGE(OFFSET($BH$3,0,0,'Données projet'!$E$11+1,1))-AVERAGE(OFFSET($H$3,0,0,'Données projet'!$E$11+1,1))</f>
        <v>320.80580551060069</v>
      </c>
      <c r="BJ86" s="62">
        <f t="shared" si="92"/>
        <v>225.55225019382294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15.837592396907892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15.837592396907892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254.67898541152096</v>
      </c>
      <c r="CE86" s="62">
        <f t="shared" si="94"/>
        <v>251.52653810702509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105.19978628378757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105.19978628378757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6.3550942286383367E-14</v>
      </c>
      <c r="P87" s="14">
        <f t="shared" si="87"/>
        <v>1.0064464192543978E-12</v>
      </c>
      <c r="Q87" s="22">
        <f t="shared" si="54"/>
        <v>1.8635787380168604E-12</v>
      </c>
      <c r="R87" s="62">
        <f t="shared" si="55"/>
        <v>293.33333333333519</v>
      </c>
      <c r="S87" s="62">
        <f ca="1">AVERAGE(OFFSET($R$3,0,0,'Données projet'!$E$9+1,1))-AVERAGE(OFFSET($H$3,0,0,'Données projet'!$E$9+1,1))</f>
        <v>321.56347025977988</v>
      </c>
      <c r="T87" s="62">
        <f t="shared" si="88"/>
        <v>285.79375360040717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232.2100805433775</v>
      </c>
      <c r="AA87" s="23">
        <f>EXP(-LN(2)/25)*AA86+(1-EXP(-LN(2)/25))/(LN(2)/25)*Calculateur!V87*Calculateur!X87*VLOOKUP('Données projet'!$B$9,Paramètres!$A$1:$I$89,3,0)*0.475*44/12</f>
        <v>29.944274635583991</v>
      </c>
      <c r="AB87" s="23">
        <f>EXP(-LN(2)/2)*AB86+(1-EXP(-LN(2)/2))/(LN(2)/2)*V87*Y87*VLOOKUP('Données projet'!$B$9,Paramètres!$A$1:$I$89,3,0)*0.475*44/12</f>
        <v>0.12037977818494296</v>
      </c>
      <c r="AC87" s="24">
        <f t="shared" si="57"/>
        <v>262.27473495714645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</v>
      </c>
      <c r="AI87" s="14">
        <f>IF('Données projet'!$A$62&gt;35,AI86+AH87-AQ86,IF(A87&lt;'Données projet'!$A$62,$AF$205^A87,IF(A87='Données projet'!$A$62,'Données projet'!$B$62,AI86+AH87-AQ86)))</f>
        <v>373.9999999999996</v>
      </c>
      <c r="AJ87" s="14">
        <f>AI87*VLOOKUP('Données projet'!$B$10,Paramètres!$A$1:$I$89,3,0)*VLOOKUP('Données projet'!$B$10,Paramètres!$A$1:$I$89,5,0)</f>
        <v>233.37599999999975</v>
      </c>
      <c r="AK87" s="14">
        <f t="shared" si="89"/>
        <v>57.012031446990107</v>
      </c>
      <c r="AL87" s="22">
        <f t="shared" si="58"/>
        <v>505.75915477017401</v>
      </c>
      <c r="AM87" s="62">
        <f t="shared" si="59"/>
        <v>799.09248810350732</v>
      </c>
      <c r="AN87" s="62">
        <f ca="1">AVERAGE(OFFSET($AM$3,0,0,'Données projet'!$E$10+1,1))-AVERAGE(OFFSET($H$3,0,0,'Données projet'!$E$10+1,1))</f>
        <v>272.2908884671595</v>
      </c>
      <c r="AO87" s="62">
        <f t="shared" si="90"/>
        <v>220.74777226152867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43.812000939547865</v>
      </c>
      <c r="AV87" s="23">
        <f>EXP(-LN(2)/25)*AV86+(1-EXP(-LN(2)/25))/(LN(2)/25)*Calculateur!AQ87*Calculateur!AS87*VLOOKUP('Données projet'!$B$10,Paramètres!$A$1:$I$89,3,0)*0.475*44/12</f>
        <v>16.810536770140398</v>
      </c>
      <c r="AW87" s="23">
        <f>EXP(-LN(2)/2)*AW86+(1-EXP(-LN(2)/2))/(LN(2)/2)*AQ87*AT87*VLOOKUP('Données projet'!$B$10,Paramètres!$A$1:$I$89,3,0)*0.475*44/12</f>
        <v>0.39877744564887757</v>
      </c>
      <c r="AX87" s="23">
        <f t="shared" si="60"/>
        <v>61.021315155337135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253.71</v>
      </c>
      <c r="BB87" s="13">
        <f>VLOOKUP(A87,'Données projet'!$A$87:$I$107,9,0)</f>
        <v>7.0711111111111098</v>
      </c>
      <c r="BC87" s="13">
        <f t="array" ref="BC87">INDEX(BB:BB,MIN(IF(ISNUMBER(BB87:BB283),ROW(BB87:BB283),"")))</f>
        <v>7.0711111111111098</v>
      </c>
      <c r="BD87" s="13">
        <f>IF('Données projet'!$A$88&gt;35,BD86+BC87-BL86,IF(A87&lt;'Données projet'!$A$88,$BA$205^A87,IF(A87='Données projet'!$A$88,'Données projet'!$B$88,BD86+BC87-BL86)))</f>
        <v>253.71</v>
      </c>
      <c r="BE87" s="14">
        <f>BD87*VLOOKUP('Données projet'!$B$11,Paramètres!$A$1:$I$89,3,0)*VLOOKUP('Données projet'!$B$11,Paramètres!$A$1:$I$89,5,0)</f>
        <v>229.55680800000002</v>
      </c>
      <c r="BF87" s="14">
        <f t="shared" si="91"/>
        <v>56.186842304335308</v>
      </c>
      <c r="BG87" s="22">
        <f t="shared" si="61"/>
        <v>497.67019094671736</v>
      </c>
      <c r="BH87" s="62">
        <f t="shared" si="62"/>
        <v>791.00352428005067</v>
      </c>
      <c r="BI87" s="62">
        <f ca="1">AVERAGE(OFFSET($BH$3,0,0,'Données projet'!$E$11+1,1))-AVERAGE(OFFSET($H$3,0,0,'Données projet'!$E$11+1,1))</f>
        <v>320.80580551060069</v>
      </c>
      <c r="BJ87" s="62">
        <f t="shared" si="92"/>
        <v>225.55225019382294</v>
      </c>
      <c r="BK87" s="16">
        <f>IF(ISNA(VLOOKUP(A87,'Données projet'!$A$87:$I$107,3,0)),0,VLOOKUP(A87,'Données projet'!$A$87:$I$107,3,0))</f>
        <v>6</v>
      </c>
      <c r="BL87" s="16">
        <f>IF(ISNA(VLOOKUP(A87,'Données projet'!$A$87:$I$107,4,0)),0,VLOOKUP(A87,'Données projet'!$A$87:$I$107,4,0))</f>
        <v>44.89</v>
      </c>
      <c r="BM87" s="17">
        <f>IF(ISNA(VLOOKUP(A87,'Données projet'!$A$87:$I$107,5,0)),0%,VLOOKUP(A87,'Données projet'!$A$87:$I$107,5,0)*VLOOKUP('Données projet'!$B$11,Paramètres!$A$1:$I$89,7,0))</f>
        <v>0.17200000000000001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23.249879625328312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23.249879625328312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254.67898541152096</v>
      </c>
      <c r="CE87" s="62">
        <f t="shared" si="94"/>
        <v>251.52653810702509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103.13688264029631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103.13688264029631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6.3550942286383367E-14</v>
      </c>
      <c r="P88" s="14">
        <f t="shared" si="87"/>
        <v>1.0064464192543978E-12</v>
      </c>
      <c r="Q88" s="22">
        <f t="shared" si="54"/>
        <v>1.8635787380168604E-12</v>
      </c>
      <c r="R88" s="62">
        <f t="shared" si="55"/>
        <v>293.33333333333519</v>
      </c>
      <c r="S88" s="62">
        <f ca="1">AVERAGE(OFFSET($R$3,0,0,'Données projet'!$E$9+1,1))-AVERAGE(OFFSET($H$3,0,0,'Données projet'!$E$9+1,1))</f>
        <v>321.56347025977988</v>
      </c>
      <c r="T88" s="62">
        <f t="shared" si="88"/>
        <v>285.79375360040717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227.65658249808578</v>
      </c>
      <c r="AA88" s="23">
        <f>EXP(-LN(2)/25)*AA87+(1-EXP(-LN(2)/25))/(LN(2)/25)*Calculateur!V88*Calculateur!X88*VLOOKUP('Données projet'!$B$9,Paramètres!$A$1:$I$89,3,0)*0.475*44/12</f>
        <v>29.125446870972983</v>
      </c>
      <c r="AB88" s="23">
        <f>EXP(-LN(2)/2)*AB87+(1-EXP(-LN(2)/2))/(LN(2)/2)*V88*Y88*VLOOKUP('Données projet'!$B$9,Paramètres!$A$1:$I$89,3,0)*0.475*44/12</f>
        <v>8.5121357472305592E-2</v>
      </c>
      <c r="AC88" s="24">
        <f t="shared" si="57"/>
        <v>256.86715072653107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378</v>
      </c>
      <c r="AG88" s="13">
        <f>VLOOKUP(A88,'Données projet'!$A$61:$I$81,9,0)</f>
        <v>4</v>
      </c>
      <c r="AH88" s="13">
        <f t="array" ref="AH88">INDEX(AG:AG,MIN(IF(ISNUMBER(AG88:AG284),ROW(AG88:AG284),"")))</f>
        <v>4</v>
      </c>
      <c r="AI88" s="14">
        <f>IF('Données projet'!$A$62&gt;35,AI87+AH88-AQ87,IF(A88&lt;'Données projet'!$A$62,$AF$205^A88,IF(A88='Données projet'!$A$62,'Données projet'!$B$62,AI87+AH88-AQ87)))</f>
        <v>377.9999999999996</v>
      </c>
      <c r="AJ88" s="14">
        <f>AI88*VLOOKUP('Données projet'!$B$10,Paramètres!$A$1:$I$89,3,0)*VLOOKUP('Données projet'!$B$10,Paramètres!$A$1:$I$89,5,0)</f>
        <v>235.87199999999976</v>
      </c>
      <c r="AK88" s="14">
        <f t="shared" si="89"/>
        <v>57.55047634701522</v>
      </c>
      <c r="AL88" s="22">
        <f t="shared" si="58"/>
        <v>511.04414630438441</v>
      </c>
      <c r="AM88" s="62">
        <f t="shared" si="59"/>
        <v>804.37747963771767</v>
      </c>
      <c r="AN88" s="62">
        <f ca="1">AVERAGE(OFFSET($AM$3,0,0,'Données projet'!$E$10+1,1))-AVERAGE(OFFSET($H$3,0,0,'Données projet'!$E$10+1,1))</f>
        <v>272.2908884671595</v>
      </c>
      <c r="AO88" s="62">
        <f t="shared" si="90"/>
        <v>220.74777226152867</v>
      </c>
      <c r="AP88" s="16">
        <f>IF(ISNA(VLOOKUP(A88,'Données projet'!$A$61:$I$81,3,0)),0,VLOOKUP(A88,'Données projet'!$A$61:$I$81,3,0))</f>
        <v>16</v>
      </c>
      <c r="AQ88" s="16">
        <f>IF(ISNA(VLOOKUP(A88,'Données projet'!$A$61:$I$81,4,0)),0,VLOOKUP(A88,'Données projet'!$A$61:$I$81,4,0))</f>
        <v>12</v>
      </c>
      <c r="AR88" s="17">
        <f>IF(ISNA(VLOOKUP(A88,'Données projet'!$A$61:$I$81,5,0)),0%,VLOOKUP(A88,'Données projet'!$A$61:$I$81,5,0)*VLOOKUP('Données projet'!$B$10,Paramètres!$A$1:$I$89,7,0))</f>
        <v>0.48</v>
      </c>
      <c r="AS88" s="17">
        <f>IF(ISNA(VLOOKUP(A88,'Données projet'!$A$61:$I$81,6,0)),0%,VLOOKUP(A88,'Données projet'!$A$61:$I$81,6,0)*VLOOKUP('Données projet'!$B$10,Paramètres!$A$1:$I$89,7,0))</f>
        <v>6.6000000000000003E-2</v>
      </c>
      <c r="AT88" s="17">
        <f>IF(ISNA(VLOOKUP(A88,'Données projet'!$A$61:$I$81,7,0)),0%,VLOOKUP(A88,'Données projet'!$A$61:$I$81,7,0))</f>
        <v>0.09</v>
      </c>
      <c r="AU88" s="23">
        <f>EXP(-LN(2)/35)*AU87+(1-EXP(-LN(2)/35))/(LN(2)/35)*AQ88*AR88*VLOOKUP('Données projet'!$B$10,Paramètres!$A$1:$I$89,3,0)*0.475*44/12</f>
        <v>47.720865352124278</v>
      </c>
      <c r="AV88" s="23">
        <f>EXP(-LN(2)/25)*AV87+(1-EXP(-LN(2)/25))/(LN(2)/25)*Calculateur!AQ88*Calculateur!AS88*VLOOKUP('Données projet'!$B$10,Paramètres!$A$1:$I$89,3,0)*0.475*44/12</f>
        <v>17.003869182381059</v>
      </c>
      <c r="AW88" s="23">
        <f>EXP(-LN(2)/2)*AW87+(1-EXP(-LN(2)/2))/(LN(2)/2)*AQ88*AT88*VLOOKUP('Données projet'!$B$10,Paramètres!$A$1:$I$89,3,0)*0.475*44/12</f>
        <v>1.045012225951607</v>
      </c>
      <c r="AX88" s="23">
        <f t="shared" si="60"/>
        <v>65.76974676045694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6.4899999999999993</v>
      </c>
      <c r="BD88" s="13">
        <f>IF('Données projet'!$A$88&gt;35,BD87+BC88-BL87,IF(A88&lt;'Données projet'!$A$88,$BA$205^A88,IF(A88='Données projet'!$A$88,'Données projet'!$B$88,BD87+BC88-BL87)))</f>
        <v>215.31</v>
      </c>
      <c r="BE88" s="14">
        <f>BD88*VLOOKUP('Données projet'!$B$11,Paramètres!$A$1:$I$89,3,0)*VLOOKUP('Données projet'!$B$11,Paramètres!$A$1:$I$89,5,0)</f>
        <v>194.812488</v>
      </c>
      <c r="BF88" s="14">
        <f t="shared" si="91"/>
        <v>48.602371762034053</v>
      </c>
      <c r="BG88" s="22">
        <f t="shared" si="61"/>
        <v>423.9475474188759</v>
      </c>
      <c r="BH88" s="62">
        <f t="shared" si="62"/>
        <v>717.28088075220921</v>
      </c>
      <c r="BI88" s="62">
        <f ca="1">AVERAGE(OFFSET($BH$3,0,0,'Données projet'!$E$11+1,1))-AVERAGE(OFFSET($H$3,0,0,'Données projet'!$E$11+1,1))</f>
        <v>320.80580551060069</v>
      </c>
      <c r="BJ88" s="62">
        <f t="shared" si="92"/>
        <v>225.55225019382294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22.793963666901934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22.793963666901934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254.67898541152096</v>
      </c>
      <c r="CE88" s="62">
        <f t="shared" si="94"/>
        <v>251.52653810702509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101.11443127900692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101.11443127900692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6.3550942286383367E-14</v>
      </c>
      <c r="P89" s="14">
        <f t="shared" si="87"/>
        <v>1.0064464192543978E-12</v>
      </c>
      <c r="Q89" s="22">
        <f t="shared" si="54"/>
        <v>1.8635787380168604E-12</v>
      </c>
      <c r="R89" s="62">
        <f t="shared" si="55"/>
        <v>293.33333333333519</v>
      </c>
      <c r="S89" s="62">
        <f ca="1">AVERAGE(OFFSET($R$3,0,0,'Données projet'!$E$9+1,1))-AVERAGE(OFFSET($H$3,0,0,'Données projet'!$E$9+1,1))</f>
        <v>321.56347025977988</v>
      </c>
      <c r="T89" s="62">
        <f t="shared" si="88"/>
        <v>285.79375360040717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223.19237577210268</v>
      </c>
      <c r="AA89" s="23">
        <f>EXP(-LN(2)/25)*AA88+(1-EXP(-LN(2)/25))/(LN(2)/25)*Calculateur!V89*Calculateur!X89*VLOOKUP('Données projet'!$B$9,Paramètres!$A$1:$I$89,3,0)*0.475*44/12</f>
        <v>28.329009994645542</v>
      </c>
      <c r="AB89" s="23">
        <f>EXP(-LN(2)/2)*AB88+(1-EXP(-LN(2)/2))/(LN(2)/2)*V89*Y89*VLOOKUP('Données projet'!$B$9,Paramètres!$A$1:$I$89,3,0)*0.475*44/12</f>
        <v>6.0189889092471485E-2</v>
      </c>
      <c r="AC89" s="24">
        <f t="shared" si="57"/>
        <v>251.58157565584068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3.6</v>
      </c>
      <c r="AI89" s="14">
        <f>IF('Données projet'!$A$62&gt;35,AI88+AH89-AQ88,IF(A89&lt;'Données projet'!$A$62,$AF$205^A89,IF(A89='Données projet'!$A$62,'Données projet'!$B$62,AI88+AH89-AQ88)))</f>
        <v>369.59999999999962</v>
      </c>
      <c r="AJ89" s="14">
        <f>AI89*VLOOKUP('Données projet'!$B$10,Paramètres!$A$1:$I$89,3,0)*VLOOKUP('Données projet'!$B$10,Paramètres!$A$1:$I$89,5,0)</f>
        <v>230.63039999999978</v>
      </c>
      <c r="AK89" s="14">
        <f t="shared" si="89"/>
        <v>56.418967028503204</v>
      </c>
      <c r="AL89" s="22">
        <f t="shared" si="58"/>
        <v>499.94431424130926</v>
      </c>
      <c r="AM89" s="62">
        <f t="shared" si="59"/>
        <v>793.27764757464251</v>
      </c>
      <c r="AN89" s="62">
        <f ca="1">AVERAGE(OFFSET($AM$3,0,0,'Données projet'!$E$10+1,1))-AVERAGE(OFFSET($H$3,0,0,'Données projet'!$E$10+1,1))</f>
        <v>272.2908884671595</v>
      </c>
      <c r="AO89" s="62">
        <f t="shared" si="90"/>
        <v>220.74777226152867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46.785088289422923</v>
      </c>
      <c r="AV89" s="23">
        <f>EXP(-LN(2)/25)*AV88+(1-EXP(-LN(2)/25))/(LN(2)/25)*Calculateur!AQ89*Calculateur!AS89*VLOOKUP('Données projet'!$B$10,Paramètres!$A$1:$I$89,3,0)*0.475*44/12</f>
        <v>16.538897485394234</v>
      </c>
      <c r="AW89" s="23">
        <f>EXP(-LN(2)/2)*AW88+(1-EXP(-LN(2)/2))/(LN(2)/2)*AQ89*AT89*VLOOKUP('Données projet'!$B$10,Paramètres!$A$1:$I$89,3,0)*0.475*44/12</f>
        <v>0.73893523139323003</v>
      </c>
      <c r="AX89" s="23">
        <f t="shared" si="60"/>
        <v>64.062921006210388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6.4899999999999993</v>
      </c>
      <c r="BD89" s="13">
        <f>IF('Données projet'!$A$88&gt;35,BD88+BC89-BL88,IF(A89&lt;'Données projet'!$A$88,$BA$205^A89,IF(A89='Données projet'!$A$88,'Données projet'!$B$88,BD88+BC89-BL88)))</f>
        <v>221.8</v>
      </c>
      <c r="BE89" s="14">
        <f>BD89*VLOOKUP('Données projet'!$B$11,Paramètres!$A$1:$I$89,3,0)*VLOOKUP('Données projet'!$B$11,Paramètres!$A$1:$I$89,5,0)</f>
        <v>200.68464</v>
      </c>
      <c r="BF89" s="14">
        <f t="shared" si="91"/>
        <v>49.894600936700193</v>
      </c>
      <c r="BG89" s="22">
        <f t="shared" si="61"/>
        <v>436.42551129808612</v>
      </c>
      <c r="BH89" s="62">
        <f t="shared" si="62"/>
        <v>729.75884463141938</v>
      </c>
      <c r="BI89" s="62">
        <f ca="1">AVERAGE(OFFSET($BH$3,0,0,'Données projet'!$E$11+1,1))-AVERAGE(OFFSET($H$3,0,0,'Données projet'!$E$11+1,1))</f>
        <v>320.80580551060069</v>
      </c>
      <c r="BJ89" s="62">
        <f t="shared" si="92"/>
        <v>225.55225019382294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22.346987942339023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22.346987942339023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254.67898541152096</v>
      </c>
      <c r="CE89" s="62">
        <f t="shared" si="94"/>
        <v>251.52653810702509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99.1316389553389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99.1316389553389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6.3550942286383367E-14</v>
      </c>
      <c r="P90" s="14">
        <f t="shared" si="87"/>
        <v>1.0064464192543978E-12</v>
      </c>
      <c r="Q90" s="22">
        <f t="shared" si="54"/>
        <v>1.8635787380168604E-12</v>
      </c>
      <c r="R90" s="62">
        <f t="shared" si="55"/>
        <v>293.33333333333519</v>
      </c>
      <c r="S90" s="62">
        <f ca="1">AVERAGE(OFFSET($R$3,0,0,'Données projet'!$E$9+1,1))-AVERAGE(OFFSET($H$3,0,0,'Données projet'!$E$9+1,1))</f>
        <v>321.56347025977988</v>
      </c>
      <c r="T90" s="62">
        <f t="shared" si="88"/>
        <v>285.79375360040717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218.81570941711885</v>
      </c>
      <c r="AA90" s="23">
        <f>EXP(-LN(2)/25)*AA89+(1-EXP(-LN(2)/25))/(LN(2)/25)*Calculateur!V90*Calculateur!X90*VLOOKUP('Données projet'!$B$9,Paramètres!$A$1:$I$89,3,0)*0.475*44/12</f>
        <v>27.55435172658407</v>
      </c>
      <c r="AB90" s="23">
        <f>EXP(-LN(2)/2)*AB89+(1-EXP(-LN(2)/2))/(LN(2)/2)*V90*Y90*VLOOKUP('Données projet'!$B$9,Paramètres!$A$1:$I$89,3,0)*0.475*44/12</f>
        <v>4.2560678736152803E-2</v>
      </c>
      <c r="AC90" s="24">
        <f t="shared" si="57"/>
        <v>246.41262182243906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3.6</v>
      </c>
      <c r="AI90" s="14">
        <f>IF('Données projet'!$A$62&gt;35,AI89+AH90-AQ89,IF(A90&lt;'Données projet'!$A$62,$AF$205^A90,IF(A90='Données projet'!$A$62,'Données projet'!$B$62,AI89+AH90-AQ89)))</f>
        <v>373.19999999999965</v>
      </c>
      <c r="AJ90" s="14">
        <f>AI90*VLOOKUP('Données projet'!$B$10,Paramètres!$A$1:$I$89,3,0)*VLOOKUP('Données projet'!$B$10,Paramètres!$A$1:$I$89,5,0)</f>
        <v>232.87679999999978</v>
      </c>
      <c r="AK90" s="14">
        <f t="shared" si="89"/>
        <v>56.904262233361898</v>
      </c>
      <c r="AL90" s="22">
        <f t="shared" si="58"/>
        <v>504.70201672310486</v>
      </c>
      <c r="AM90" s="62">
        <f t="shared" si="59"/>
        <v>798.03535005643812</v>
      </c>
      <c r="AN90" s="62">
        <f ca="1">AVERAGE(OFFSET($AM$3,0,0,'Données projet'!$E$10+1,1))-AVERAGE(OFFSET($H$3,0,0,'Données projet'!$E$10+1,1))</f>
        <v>272.2908884671595</v>
      </c>
      <c r="AO90" s="62">
        <f t="shared" si="90"/>
        <v>220.74777226152867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45.867661244153489</v>
      </c>
      <c r="AV90" s="23">
        <f>EXP(-LN(2)/25)*AV89+(1-EXP(-LN(2)/25))/(LN(2)/25)*Calculateur!AQ90*Calculateur!AS90*VLOOKUP('Données projet'!$B$10,Paramètres!$A$1:$I$89,3,0)*0.475*44/12</f>
        <v>16.086640463913309</v>
      </c>
      <c r="AW90" s="23">
        <f>EXP(-LN(2)/2)*AW89+(1-EXP(-LN(2)/2))/(LN(2)/2)*AQ90*AT90*VLOOKUP('Données projet'!$B$10,Paramètres!$A$1:$I$89,3,0)*0.475*44/12</f>
        <v>0.52250611297580363</v>
      </c>
      <c r="AX90" s="23">
        <f t="shared" si="60"/>
        <v>62.476807821042598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6.4899999999999993</v>
      </c>
      <c r="BD90" s="13">
        <f>IF('Données projet'!$A$88&gt;35,BD89+BC90-BL89,IF(A90&lt;'Données projet'!$A$88,$BA$205^A90,IF(A90='Données projet'!$A$88,'Données projet'!$B$88,BD89+BC90-BL89)))</f>
        <v>228.29000000000002</v>
      </c>
      <c r="BE90" s="14">
        <f>BD90*VLOOKUP('Données projet'!$B$11,Paramètres!$A$1:$I$89,3,0)*VLOOKUP('Données projet'!$B$11,Paramètres!$A$1:$I$89,5,0)</f>
        <v>206.556792</v>
      </c>
      <c r="BF90" s="14">
        <f t="shared" si="91"/>
        <v>51.182435689122443</v>
      </c>
      <c r="BG90" s="22">
        <f t="shared" si="61"/>
        <v>448.89582155855493</v>
      </c>
      <c r="BH90" s="62">
        <f t="shared" si="62"/>
        <v>742.22915489188824</v>
      </c>
      <c r="BI90" s="62">
        <f ca="1">AVERAGE(OFFSET($BH$3,0,0,'Données projet'!$E$11+1,1))-AVERAGE(OFFSET($H$3,0,0,'Données projet'!$E$11+1,1))</f>
        <v>320.80580551060069</v>
      </c>
      <c r="BJ90" s="62">
        <f t="shared" si="92"/>
        <v>225.55225019382294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21.908777139106519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21.908777139106519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254.67898541152096</v>
      </c>
      <c r="CE90" s="62">
        <f t="shared" si="94"/>
        <v>251.52653810702509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97.187727979754115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97.187727979754115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6.3550942286383367E-14</v>
      </c>
      <c r="P91" s="14">
        <f t="shared" si="87"/>
        <v>1.0064464192543978E-12</v>
      </c>
      <c r="Q91" s="22">
        <f t="shared" si="54"/>
        <v>1.8635787380168604E-12</v>
      </c>
      <c r="R91" s="62">
        <f t="shared" si="55"/>
        <v>293.33333333333519</v>
      </c>
      <c r="S91" s="62">
        <f ca="1">AVERAGE(OFFSET($R$3,0,0,'Données projet'!$E$9+1,1))-AVERAGE(OFFSET($H$3,0,0,'Données projet'!$E$9+1,1))</f>
        <v>321.56347025977988</v>
      </c>
      <c r="T91" s="62">
        <f t="shared" si="88"/>
        <v>285.79375360040717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214.52486681985337</v>
      </c>
      <c r="AA91" s="23">
        <f>EXP(-LN(2)/25)*AA90+(1-EXP(-LN(2)/25))/(LN(2)/25)*Calculateur!V91*Calculateur!X91*VLOOKUP('Données projet'!$B$9,Paramètres!$A$1:$I$89,3,0)*0.475*44/12</f>
        <v>26.800876529600249</v>
      </c>
      <c r="AB91" s="23">
        <f>EXP(-LN(2)/2)*AB90+(1-EXP(-LN(2)/2))/(LN(2)/2)*V91*Y91*VLOOKUP('Données projet'!$B$9,Paramètres!$A$1:$I$89,3,0)*0.475*44/12</f>
        <v>3.009494454623575E-2</v>
      </c>
      <c r="AC91" s="24">
        <f t="shared" si="57"/>
        <v>241.35583829399988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3.6</v>
      </c>
      <c r="AI91" s="14">
        <f>IF('Données projet'!$A$62&gt;35,AI90+AH91-AQ90,IF(A91&lt;'Données projet'!$A$62,$AF$205^A91,IF(A91='Données projet'!$A$62,'Données projet'!$B$62,AI90+AH91-AQ90)))</f>
        <v>376.79999999999967</v>
      </c>
      <c r="AJ91" s="14">
        <f>AI91*VLOOKUP('Données projet'!$B$10,Paramètres!$A$1:$I$89,3,0)*VLOOKUP('Données projet'!$B$10,Paramètres!$A$1:$I$89,5,0)</f>
        <v>235.1231999999998</v>
      </c>
      <c r="AK91" s="14">
        <f t="shared" si="89"/>
        <v>57.389012831278478</v>
      </c>
      <c r="AL91" s="22">
        <f t="shared" si="58"/>
        <v>509.45877068114288</v>
      </c>
      <c r="AM91" s="62">
        <f t="shared" si="59"/>
        <v>802.79210401447619</v>
      </c>
      <c r="AN91" s="62">
        <f ca="1">AVERAGE(OFFSET($AM$3,0,0,'Données projet'!$E$10+1,1))-AVERAGE(OFFSET($H$3,0,0,'Données projet'!$E$10+1,1))</f>
        <v>272.2908884671595</v>
      </c>
      <c r="AO91" s="62">
        <f t="shared" si="90"/>
        <v>220.74777226152867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44.968224383666545</v>
      </c>
      <c r="AV91" s="23">
        <f>EXP(-LN(2)/25)*AV90+(1-EXP(-LN(2)/25))/(LN(2)/25)*Calculateur!AQ91*Calculateur!AS91*VLOOKUP('Données projet'!$B$10,Paramètres!$A$1:$I$89,3,0)*0.475*44/12</f>
        <v>15.646750434467943</v>
      </c>
      <c r="AW91" s="23">
        <f>EXP(-LN(2)/2)*AW90+(1-EXP(-LN(2)/2))/(LN(2)/2)*AQ91*AT91*VLOOKUP('Données projet'!$B$10,Paramètres!$A$1:$I$89,3,0)*0.475*44/12</f>
        <v>0.36946761569661507</v>
      </c>
      <c r="AX91" s="23">
        <f t="shared" si="60"/>
        <v>60.984442433831099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6.4899999999999993</v>
      </c>
      <c r="BD91" s="13">
        <f>IF('Données projet'!$A$88&gt;35,BD90+BC91-BL90,IF(A91&lt;'Données projet'!$A$88,$BA$205^A91,IF(A91='Données projet'!$A$88,'Données projet'!$B$88,BD90+BC91-BL90)))</f>
        <v>234.78000000000003</v>
      </c>
      <c r="BE91" s="14">
        <f>BD91*VLOOKUP('Données projet'!$B$11,Paramètres!$A$1:$I$89,3,0)*VLOOKUP('Données projet'!$B$11,Paramètres!$A$1:$I$89,5,0)</f>
        <v>212.42894400000003</v>
      </c>
      <c r="BF91" s="14">
        <f t="shared" si="91"/>
        <v>52.466015296367175</v>
      </c>
      <c r="BG91" s="22">
        <f t="shared" si="61"/>
        <v>461.35872077450625</v>
      </c>
      <c r="BH91" s="62">
        <f t="shared" si="62"/>
        <v>754.69205410783957</v>
      </c>
      <c r="BI91" s="62">
        <f ca="1">AVERAGE(OFFSET($BH$3,0,0,'Données projet'!$E$11+1,1))-AVERAGE(OFFSET($H$3,0,0,'Données projet'!$E$11+1,1))</f>
        <v>320.80580551060069</v>
      </c>
      <c r="BJ91" s="62">
        <f t="shared" si="92"/>
        <v>225.55225019382294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21.479159382443203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21.479159382443203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254.67898541152096</v>
      </c>
      <c r="CE91" s="62">
        <f t="shared" si="94"/>
        <v>251.52653810702509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95.281935912731925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95.281935912731925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6.3550942286383367E-14</v>
      </c>
      <c r="P92" s="14">
        <f t="shared" si="87"/>
        <v>1.0064464192543978E-12</v>
      </c>
      <c r="Q92" s="22">
        <f t="shared" si="54"/>
        <v>1.8635787380168604E-12</v>
      </c>
      <c r="R92" s="62">
        <f t="shared" si="55"/>
        <v>293.33333333333519</v>
      </c>
      <c r="S92" s="62">
        <f ca="1">AVERAGE(OFFSET($R$3,0,0,'Données projet'!$E$9+1,1))-AVERAGE(OFFSET($H$3,0,0,'Données projet'!$E$9+1,1))</f>
        <v>321.56347025977988</v>
      </c>
      <c r="T92" s="62">
        <f t="shared" si="88"/>
        <v>285.79375360040717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210.31816502876472</v>
      </c>
      <c r="AA92" s="23">
        <f>EXP(-LN(2)/25)*AA91+(1-EXP(-LN(2)/25))/(LN(2)/25)*Calculateur!V92*Calculateur!X92*VLOOKUP('Données projet'!$B$9,Paramètres!$A$1:$I$89,3,0)*0.475*44/12</f>
        <v>26.068005151501488</v>
      </c>
      <c r="AB92" s="23">
        <f>EXP(-LN(2)/2)*AB91+(1-EXP(-LN(2)/2))/(LN(2)/2)*V92*Y92*VLOOKUP('Données projet'!$B$9,Paramètres!$A$1:$I$89,3,0)*0.475*44/12</f>
        <v>2.1280339368076405E-2</v>
      </c>
      <c r="AC92" s="24">
        <f t="shared" si="57"/>
        <v>236.4074505196343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3.6</v>
      </c>
      <c r="AI92" s="14">
        <f>IF('Données projet'!$A$62&gt;35,AI91+AH92-AQ91,IF(A92&lt;'Données projet'!$A$62,$AF$205^A92,IF(A92='Données projet'!$A$62,'Données projet'!$B$62,AI91+AH92-AQ91)))</f>
        <v>380.39999999999969</v>
      </c>
      <c r="AJ92" s="14">
        <f>AI92*VLOOKUP('Données projet'!$B$10,Paramètres!$A$1:$I$89,3,0)*VLOOKUP('Données projet'!$B$10,Paramètres!$A$1:$I$89,5,0)</f>
        <v>237.36959999999979</v>
      </c>
      <c r="AK92" s="14">
        <f t="shared" si="89"/>
        <v>57.87322462811079</v>
      </c>
      <c r="AL92" s="22">
        <f t="shared" si="58"/>
        <v>514.21458622729256</v>
      </c>
      <c r="AM92" s="62">
        <f t="shared" si="59"/>
        <v>807.54791956062581</v>
      </c>
      <c r="AN92" s="62">
        <f ca="1">AVERAGE(OFFSET($AM$3,0,0,'Données projet'!$E$10+1,1))-AVERAGE(OFFSET($H$3,0,0,'Données projet'!$E$10+1,1))</f>
        <v>272.2908884671595</v>
      </c>
      <c r="AO92" s="62">
        <f t="shared" si="90"/>
        <v>220.74777226152867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44.086424931411436</v>
      </c>
      <c r="AV92" s="23">
        <f>EXP(-LN(2)/25)*AV91+(1-EXP(-LN(2)/25))/(LN(2)/25)*Calculateur!AQ92*Calculateur!AS92*VLOOKUP('Données projet'!$B$10,Paramètres!$A$1:$I$89,3,0)*0.475*44/12</f>
        <v>15.218889221010572</v>
      </c>
      <c r="AW92" s="23">
        <f>EXP(-LN(2)/2)*AW91+(1-EXP(-LN(2)/2))/(LN(2)/2)*AQ92*AT92*VLOOKUP('Données projet'!$B$10,Paramètres!$A$1:$I$89,3,0)*0.475*44/12</f>
        <v>0.26125305648790187</v>
      </c>
      <c r="AX92" s="23">
        <f t="shared" si="60"/>
        <v>59.566567208909909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6.4899999999999993</v>
      </c>
      <c r="BD92" s="13">
        <f>IF('Données projet'!$A$88&gt;35,BD91+BC92-BL91,IF(A92&lt;'Données projet'!$A$88,$BA$205^A92,IF(A92='Données projet'!$A$88,'Données projet'!$B$88,BD91+BC92-BL91)))</f>
        <v>241.27000000000004</v>
      </c>
      <c r="BE92" s="14">
        <f>BD92*VLOOKUP('Données projet'!$B$11,Paramètres!$A$1:$I$89,3,0)*VLOOKUP('Données projet'!$B$11,Paramètres!$A$1:$I$89,5,0)</f>
        <v>218.30109600000006</v>
      </c>
      <c r="BF92" s="14">
        <f t="shared" si="91"/>
        <v>53.745470897276093</v>
      </c>
      <c r="BG92" s="22">
        <f t="shared" si="61"/>
        <v>473.81443734608928</v>
      </c>
      <c r="BH92" s="62">
        <f t="shared" si="62"/>
        <v>767.14777067942259</v>
      </c>
      <c r="BI92" s="62">
        <f ca="1">AVERAGE(OFFSET($BH$3,0,0,'Données projet'!$E$11+1,1))-AVERAGE(OFFSET($H$3,0,0,'Données projet'!$E$11+1,1))</f>
        <v>320.80580551060069</v>
      </c>
      <c r="BJ92" s="62">
        <f t="shared" si="92"/>
        <v>225.55225019382294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21.0579661679471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21.0579661679471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254.67898541152096</v>
      </c>
      <c r="CE92" s="62">
        <f t="shared" si="94"/>
        <v>251.52653810702509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93.41351526572565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93.41351526572565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6.3550942286383367E-14</v>
      </c>
      <c r="P93" s="14">
        <f t="shared" si="87"/>
        <v>1.0064464192543978E-12</v>
      </c>
      <c r="Q93" s="22">
        <f t="shared" si="54"/>
        <v>1.8635787380168604E-12</v>
      </c>
      <c r="R93" s="62">
        <f t="shared" si="55"/>
        <v>293.33333333333519</v>
      </c>
      <c r="S93" s="62">
        <f ca="1">AVERAGE(OFFSET($R$3,0,0,'Données projet'!$E$9+1,1))-AVERAGE(OFFSET($H$3,0,0,'Données projet'!$E$9+1,1))</f>
        <v>321.56347025977988</v>
      </c>
      <c r="T93" s="62">
        <f t="shared" si="88"/>
        <v>285.79375360040717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206.19395409396458</v>
      </c>
      <c r="AA93" s="23">
        <f>EXP(-LN(2)/25)*AA92+(1-EXP(-LN(2)/25))/(LN(2)/25)*Calculateur!V93*Calculateur!X93*VLOOKUP('Données projet'!$B$9,Paramètres!$A$1:$I$89,3,0)*0.475*44/12</f>
        <v>25.355174179776867</v>
      </c>
      <c r="AB93" s="23">
        <f>EXP(-LN(2)/2)*AB92+(1-EXP(-LN(2)/2))/(LN(2)/2)*V93*Y93*VLOOKUP('Données projet'!$B$9,Paramètres!$A$1:$I$89,3,0)*0.475*44/12</f>
        <v>1.5047472273117877E-2</v>
      </c>
      <c r="AC93" s="24">
        <f t="shared" si="57"/>
        <v>231.56417574601457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384</v>
      </c>
      <c r="AG93" s="13">
        <f>VLOOKUP(A93,'Données projet'!$A$61:$I$81,9,0)</f>
        <v>3.6</v>
      </c>
      <c r="AH93" s="13">
        <f t="array" ref="AH93">INDEX(AG:AG,MIN(IF(ISNUMBER(AG93:AG289),ROW(AG93:AG289),"")))</f>
        <v>3.6</v>
      </c>
      <c r="AI93" s="14">
        <f>IF('Données projet'!$A$62&gt;35,AI92+AH93-AQ92,IF(A93&lt;'Données projet'!$A$62,$AF$205^A93,IF(A93='Données projet'!$A$62,'Données projet'!$B$62,AI92+AH93-AQ92)))</f>
        <v>383.99999999999972</v>
      </c>
      <c r="AJ93" s="14">
        <f>AI93*VLOOKUP('Données projet'!$B$10,Paramètres!$A$1:$I$89,3,0)*VLOOKUP('Données projet'!$B$10,Paramètres!$A$1:$I$89,5,0)</f>
        <v>239.61599999999981</v>
      </c>
      <c r="AK93" s="14">
        <f t="shared" si="89"/>
        <v>58.356903313490157</v>
      </c>
      <c r="AL93" s="22">
        <f t="shared" si="58"/>
        <v>518.96947327099497</v>
      </c>
      <c r="AM93" s="62">
        <f t="shared" si="59"/>
        <v>812.30280660432823</v>
      </c>
      <c r="AN93" s="62">
        <f ca="1">AVERAGE(OFFSET($AM$3,0,0,'Données projet'!$E$10+1,1))-AVERAGE(OFFSET($H$3,0,0,'Données projet'!$E$10+1,1))</f>
        <v>272.2908884671595</v>
      </c>
      <c r="AO93" s="62">
        <f t="shared" si="90"/>
        <v>220.74777226152867</v>
      </c>
      <c r="AP93" s="16">
        <f>IF(ISNA(VLOOKUP(A93,'Données projet'!$A$61:$I$81,3,0)),0,VLOOKUP(A93,'Données projet'!$A$61:$I$81,3,0))</f>
        <v>17</v>
      </c>
      <c r="AQ93" s="16">
        <f>IF(ISNA(VLOOKUP(A93,'Données projet'!$A$61:$I$81,4,0)),0,VLOOKUP(A93,'Données projet'!$A$61:$I$81,4,0))</f>
        <v>11</v>
      </c>
      <c r="AR93" s="17">
        <f>IF(ISNA(VLOOKUP(A93,'Données projet'!$A$61:$I$81,5,0)),0%,VLOOKUP(A93,'Données projet'!$A$61:$I$81,5,0)*VLOOKUP('Données projet'!$B$10,Paramètres!$A$1:$I$89,7,0))</f>
        <v>0.48</v>
      </c>
      <c r="AS93" s="17">
        <f>IF(ISNA(VLOOKUP(A93,'Données projet'!$A$61:$I$81,6,0)),0%,VLOOKUP(A93,'Données projet'!$A$61:$I$81,6,0)*VLOOKUP('Données projet'!$B$10,Paramètres!$A$1:$I$89,7,0))</f>
        <v>6.6000000000000003E-2</v>
      </c>
      <c r="AT93" s="17">
        <f>IF(ISNA(VLOOKUP(A93,'Données projet'!$A$61:$I$81,7,0)),0%,VLOOKUP(A93,'Données projet'!$A$61:$I$81,7,0))</f>
        <v>0.09</v>
      </c>
      <c r="AU93" s="23">
        <f>EXP(-LN(2)/35)*AU92+(1-EXP(-LN(2)/35))/(LN(2)/35)*AQ93*AR93*VLOOKUP('Données projet'!$B$10,Paramètres!$A$1:$I$89,3,0)*0.475*44/12</f>
        <v>47.592575471196255</v>
      </c>
      <c r="AV93" s="23">
        <f>EXP(-LN(2)/25)*AV92+(1-EXP(-LN(2)/25))/(LN(2)/25)*Calculateur!AQ93*Calculateur!AS93*VLOOKUP('Données projet'!$B$10,Paramètres!$A$1:$I$89,3,0)*0.475*44/12</f>
        <v>15.401327200495972</v>
      </c>
      <c r="AW93" s="23">
        <f>EXP(-LN(2)/2)*AW92+(1-EXP(-LN(2)/2))/(LN(2)/2)*AQ93*AT93*VLOOKUP('Données projet'!$B$10,Paramètres!$A$1:$I$89,3,0)*0.475*44/12</f>
        <v>0.88418163196825705</v>
      </c>
      <c r="AX93" s="23">
        <f t="shared" si="60"/>
        <v>63.878084303660479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247.76</v>
      </c>
      <c r="BB93" s="13">
        <f>VLOOKUP(A93,'Données projet'!$A$87:$I$107,9,0)</f>
        <v>6.4899999999999993</v>
      </c>
      <c r="BC93" s="13">
        <f t="array" ref="BC93">INDEX(BB:BB,MIN(IF(ISNUMBER(BB93:BB289),ROW(BB93:BB289),"")))</f>
        <v>6.4899999999999993</v>
      </c>
      <c r="BD93" s="13">
        <f>IF('Données projet'!$A$88&gt;35,BD92+BC93-BL92,IF(A93&lt;'Données projet'!$A$88,$BA$205^A93,IF(A93='Données projet'!$A$88,'Données projet'!$B$88,BD92+BC93-BL92)))</f>
        <v>247.76000000000005</v>
      </c>
      <c r="BE93" s="14">
        <f>BD93*VLOOKUP('Données projet'!$B$11,Paramètres!$A$1:$I$89,3,0)*VLOOKUP('Données projet'!$B$11,Paramètres!$A$1:$I$89,5,0)</f>
        <v>224.17324800000003</v>
      </c>
      <c r="BF93" s="14">
        <f t="shared" si="91"/>
        <v>55.020926173951459</v>
      </c>
      <c r="BG93" s="22">
        <f t="shared" si="61"/>
        <v>486.26318668629875</v>
      </c>
      <c r="BH93" s="62">
        <f t="shared" si="62"/>
        <v>779.59652001963207</v>
      </c>
      <c r="BI93" s="62">
        <f ca="1">AVERAGE(OFFSET($BH$3,0,0,'Données projet'!$E$11+1,1))-AVERAGE(OFFSET($H$3,0,0,'Données projet'!$E$11+1,1))</f>
        <v>320.80580551060069</v>
      </c>
      <c r="BJ93" s="62">
        <f t="shared" si="92"/>
        <v>225.55225019382294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20.645032295484771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20.645032295484771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254.67898541152096</v>
      </c>
      <c r="CE93" s="62">
        <f t="shared" si="94"/>
        <v>251.52653810702509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91.581733207983106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91.581733207983106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6.3550942286383367E-14</v>
      </c>
      <c r="P94" s="14">
        <f t="shared" si="87"/>
        <v>1.0064464192543978E-12</v>
      </c>
      <c r="Q94" s="22">
        <f t="shared" si="54"/>
        <v>1.8635787380168604E-12</v>
      </c>
      <c r="R94" s="62">
        <f t="shared" si="55"/>
        <v>293.33333333333519</v>
      </c>
      <c r="S94" s="62">
        <f ca="1">AVERAGE(OFFSET($R$3,0,0,'Données projet'!$E$9+1,1))-AVERAGE(OFFSET($H$3,0,0,'Données projet'!$E$9+1,1))</f>
        <v>321.56347025977988</v>
      </c>
      <c r="T94" s="62">
        <f t="shared" si="88"/>
        <v>285.79375360040717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202.15061642007558</v>
      </c>
      <c r="AA94" s="23">
        <f>EXP(-LN(2)/25)*AA93+(1-EXP(-LN(2)/25))/(LN(2)/25)*Calculateur!V94*Calculateur!X94*VLOOKUP('Données projet'!$B$9,Paramètres!$A$1:$I$89,3,0)*0.475*44/12</f>
        <v>24.661835608460208</v>
      </c>
      <c r="AB94" s="23">
        <f>EXP(-LN(2)/2)*AB93+(1-EXP(-LN(2)/2))/(LN(2)/2)*V94*Y94*VLOOKUP('Données projet'!$B$9,Paramètres!$A$1:$I$89,3,0)*0.475*44/12</f>
        <v>1.0640169684038204E-2</v>
      </c>
      <c r="AC94" s="24">
        <f t="shared" si="57"/>
        <v>226.82309219821985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3.4</v>
      </c>
      <c r="AI94" s="14">
        <f>IF('Données projet'!$A$62&gt;35,AI93+AH94-AQ93,IF(A94&lt;'Données projet'!$A$62,$AF$205^A94,IF(A94='Données projet'!$A$62,'Données projet'!$B$62,AI93+AH94-AQ93)))</f>
        <v>376.39999999999969</v>
      </c>
      <c r="AJ94" s="14">
        <f>AI94*VLOOKUP('Données projet'!$B$10,Paramètres!$A$1:$I$89,3,0)*VLOOKUP('Données projet'!$B$10,Paramètres!$A$1:$I$89,5,0)</f>
        <v>234.87359999999981</v>
      </c>
      <c r="AK94" s="14">
        <f t="shared" si="89"/>
        <v>57.335178366365206</v>
      </c>
      <c r="AL94" s="22">
        <f t="shared" si="58"/>
        <v>508.93028898808575</v>
      </c>
      <c r="AM94" s="62">
        <f t="shared" si="59"/>
        <v>802.26362232141901</v>
      </c>
      <c r="AN94" s="62">
        <f ca="1">AVERAGE(OFFSET($AM$3,0,0,'Données projet'!$E$10+1,1))-AVERAGE(OFFSET($H$3,0,0,'Données projet'!$E$10+1,1))</f>
        <v>272.2908884671595</v>
      </c>
      <c r="AO94" s="62">
        <f t="shared" si="90"/>
        <v>220.74777226152867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46.659314094810796</v>
      </c>
      <c r="AV94" s="23">
        <f>EXP(-LN(2)/25)*AV93+(1-EXP(-LN(2)/25))/(LN(2)/25)*Calculateur!AQ94*Calculateur!AS94*VLOOKUP('Données projet'!$B$10,Paramètres!$A$1:$I$89,3,0)*0.475*44/12</f>
        <v>14.980177098277812</v>
      </c>
      <c r="AW94" s="23">
        <f>EXP(-LN(2)/2)*AW93+(1-EXP(-LN(2)/2))/(LN(2)/2)*AQ94*AT94*VLOOKUP('Données projet'!$B$10,Paramètres!$A$1:$I$89,3,0)*0.475*44/12</f>
        <v>0.62521082776534287</v>
      </c>
      <c r="AX94" s="23">
        <f t="shared" si="60"/>
        <v>62.264702020853953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7.2533333333333303</v>
      </c>
      <c r="BD94" s="13">
        <f>IF('Données projet'!$A$88&gt;35,BD93+BC94-BL93,IF(A94&lt;'Données projet'!$A$88,$BA$205^A94,IF(A94='Données projet'!$A$88,'Données projet'!$B$88,BD93+BC94-BL93)))</f>
        <v>255.01333333333338</v>
      </c>
      <c r="BE94" s="14">
        <f>BD94*VLOOKUP('Données projet'!$B$11,Paramètres!$A$1:$I$89,3,0)*VLOOKUP('Données projet'!$B$11,Paramètres!$A$1:$I$89,5,0)</f>
        <v>230.73606400000003</v>
      </c>
      <c r="BF94" s="14">
        <f t="shared" si="91"/>
        <v>56.441806168899618</v>
      </c>
      <c r="BG94" s="22">
        <f t="shared" si="61"/>
        <v>500.16812387750014</v>
      </c>
      <c r="BH94" s="62">
        <f t="shared" si="62"/>
        <v>793.50145721083345</v>
      </c>
      <c r="BI94" s="62">
        <f ca="1">AVERAGE(OFFSET($BH$3,0,0,'Données projet'!$E$11+1,1))-AVERAGE(OFFSET($H$3,0,0,'Données projet'!$E$11+1,1))</f>
        <v>320.80580551060069</v>
      </c>
      <c r="BJ94" s="62">
        <f t="shared" si="92"/>
        <v>225.55225019382294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20.240195804396635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20.240195804396635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254.67898541152096</v>
      </c>
      <c r="CE94" s="62">
        <f t="shared" si="94"/>
        <v>251.52653810702509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89.785871279116165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89.785871279116165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6.3550942286383367E-14</v>
      </c>
      <c r="P95" s="14">
        <f t="shared" si="87"/>
        <v>1.0064464192543978E-12</v>
      </c>
      <c r="Q95" s="22">
        <f t="shared" si="54"/>
        <v>1.8635787380168604E-12</v>
      </c>
      <c r="R95" s="62">
        <f t="shared" si="55"/>
        <v>293.33333333333519</v>
      </c>
      <c r="S95" s="62">
        <f ca="1">AVERAGE(OFFSET($R$3,0,0,'Données projet'!$E$9+1,1))-AVERAGE(OFFSET($H$3,0,0,'Données projet'!$E$9+1,1))</f>
        <v>321.56347025977988</v>
      </c>
      <c r="T95" s="62">
        <f t="shared" si="88"/>
        <v>285.79375360040717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198.18656613177907</v>
      </c>
      <c r="AA95" s="23">
        <f>EXP(-LN(2)/25)*AA94+(1-EXP(-LN(2)/25))/(LN(2)/25)*Calculateur!V95*Calculateur!X95*VLOOKUP('Données projet'!$B$9,Paramètres!$A$1:$I$89,3,0)*0.475*44/12</f>
        <v>23.987456416837293</v>
      </c>
      <c r="AB95" s="23">
        <f>EXP(-LN(2)/2)*AB94+(1-EXP(-LN(2)/2))/(LN(2)/2)*V95*Y95*VLOOKUP('Données projet'!$B$9,Paramètres!$A$1:$I$89,3,0)*0.475*44/12</f>
        <v>7.5237361365589391E-3</v>
      </c>
      <c r="AC95" s="24">
        <f t="shared" si="57"/>
        <v>222.18154628475293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3.4</v>
      </c>
      <c r="AI95" s="14">
        <f>IF('Données projet'!$A$62&gt;35,AI94+AH95-AQ94,IF(A95&lt;'Données projet'!$A$62,$AF$205^A95,IF(A95='Données projet'!$A$62,'Données projet'!$B$62,AI94+AH95-AQ94)))</f>
        <v>379.79999999999967</v>
      </c>
      <c r="AJ95" s="14">
        <f>AI95*VLOOKUP('Données projet'!$B$10,Paramètres!$A$1:$I$89,3,0)*VLOOKUP('Données projet'!$B$10,Paramètres!$A$1:$I$89,5,0)</f>
        <v>236.99519999999978</v>
      </c>
      <c r="AK95" s="14">
        <f t="shared" si="89"/>
        <v>57.792559835841409</v>
      </c>
      <c r="AL95" s="22">
        <f t="shared" si="58"/>
        <v>513.42201504742343</v>
      </c>
      <c r="AM95" s="62">
        <f t="shared" si="59"/>
        <v>806.75534838075669</v>
      </c>
      <c r="AN95" s="62">
        <f ca="1">AVERAGE(OFFSET($AM$3,0,0,'Données projet'!$E$10+1,1))-AVERAGE(OFFSET($H$3,0,0,'Données projet'!$E$10+1,1))</f>
        <v>272.2908884671595</v>
      </c>
      <c r="AO95" s="62">
        <f t="shared" si="90"/>
        <v>220.74777226152867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45.744353404783027</v>
      </c>
      <c r="AV95" s="23">
        <f>EXP(-LN(2)/25)*AV94+(1-EXP(-LN(2)/25))/(LN(2)/25)*Calculateur!AQ95*Calculateur!AS95*VLOOKUP('Données projet'!$B$10,Paramètres!$A$1:$I$89,3,0)*0.475*44/12</f>
        <v>14.57054336775213</v>
      </c>
      <c r="AW95" s="23">
        <f>EXP(-LN(2)/2)*AW94+(1-EXP(-LN(2)/2))/(LN(2)/2)*AQ95*AT95*VLOOKUP('Données projet'!$B$10,Paramètres!$A$1:$I$89,3,0)*0.475*44/12</f>
        <v>0.44209081598412858</v>
      </c>
      <c r="AX95" s="23">
        <f t="shared" si="60"/>
        <v>60.756987588519287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7.2533333333333303</v>
      </c>
      <c r="BD95" s="13">
        <f>IF('Données projet'!$A$88&gt;35,BD94+BC95-BL94,IF(A95&lt;'Données projet'!$A$88,$BA$205^A95,IF(A95='Données projet'!$A$88,'Données projet'!$B$88,BD94+BC95-BL94)))</f>
        <v>262.26666666666671</v>
      </c>
      <c r="BE95" s="14">
        <f>BD95*VLOOKUP('Données projet'!$B$11,Paramètres!$A$1:$I$89,3,0)*VLOOKUP('Données projet'!$B$11,Paramètres!$A$1:$I$89,5,0)</f>
        <v>237.29888000000005</v>
      </c>
      <c r="BF95" s="14">
        <f t="shared" si="91"/>
        <v>57.857989080314709</v>
      </c>
      <c r="BG95" s="22">
        <f t="shared" si="61"/>
        <v>514.06488031488152</v>
      </c>
      <c r="BH95" s="62">
        <f t="shared" si="62"/>
        <v>807.39821364821478</v>
      </c>
      <c r="BI95" s="62">
        <f ca="1">AVERAGE(OFFSET($BH$3,0,0,'Données projet'!$E$11+1,1))-AVERAGE(OFFSET($H$3,0,0,'Données projet'!$E$11+1,1))</f>
        <v>320.80580551060069</v>
      </c>
      <c r="BJ95" s="62">
        <f t="shared" si="92"/>
        <v>225.55225019382294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19.843297909972861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19.843297909972861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254.67898541152096</v>
      </c>
      <c r="CE95" s="62">
        <f t="shared" si="94"/>
        <v>251.52653810702509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88.025225107306682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88.025225107306682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6.3550942286383367E-14</v>
      </c>
      <c r="P96" s="14">
        <f t="shared" si="87"/>
        <v>1.0064464192543978E-12</v>
      </c>
      <c r="Q96" s="22">
        <f t="shared" si="54"/>
        <v>1.8635787380168604E-12</v>
      </c>
      <c r="R96" s="62">
        <f t="shared" si="55"/>
        <v>293.33333333333519</v>
      </c>
      <c r="S96" s="62">
        <f ca="1">AVERAGE(OFFSET($R$3,0,0,'Données projet'!$E$9+1,1))-AVERAGE(OFFSET($H$3,0,0,'Données projet'!$E$9+1,1))</f>
        <v>321.56347025977988</v>
      </c>
      <c r="T96" s="62">
        <f t="shared" si="88"/>
        <v>285.79375360040717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194.30024845180412</v>
      </c>
      <c r="AA96" s="23">
        <f>EXP(-LN(2)/25)*AA95+(1-EXP(-LN(2)/25))/(LN(2)/25)*Calculateur!V96*Calculateur!X96*VLOOKUP('Données projet'!$B$9,Paramètres!$A$1:$I$89,3,0)*0.475*44/12</f>
        <v>23.331518159673369</v>
      </c>
      <c r="AB96" s="23">
        <f>EXP(-LN(2)/2)*AB95+(1-EXP(-LN(2)/2))/(LN(2)/2)*V96*Y96*VLOOKUP('Données projet'!$B$9,Paramètres!$A$1:$I$89,3,0)*0.475*44/12</f>
        <v>5.320084842019103E-3</v>
      </c>
      <c r="AC96" s="24">
        <f t="shared" si="57"/>
        <v>217.63708669631953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3.4</v>
      </c>
      <c r="AI96" s="14">
        <f>IF('Données projet'!$A$62&gt;35,AI95+AH96-AQ95,IF(A96&lt;'Données projet'!$A$62,$AF$205^A96,IF(A96='Données projet'!$A$62,'Données projet'!$B$62,AI95+AH96-AQ95)))</f>
        <v>383.19999999999965</v>
      </c>
      <c r="AJ96" s="14">
        <f>AI96*VLOOKUP('Données projet'!$B$10,Paramètres!$A$1:$I$89,3,0)*VLOOKUP('Données projet'!$B$10,Paramètres!$A$1:$I$89,5,0)</f>
        <v>239.11679999999978</v>
      </c>
      <c r="AK96" s="14">
        <f t="shared" si="89"/>
        <v>58.24946494520956</v>
      </c>
      <c r="AL96" s="22">
        <f t="shared" si="58"/>
        <v>517.91291144623972</v>
      </c>
      <c r="AM96" s="62">
        <f t="shared" si="59"/>
        <v>811.24624477957309</v>
      </c>
      <c r="AN96" s="62">
        <f ca="1">AVERAGE(OFFSET($AM$3,0,0,'Données projet'!$E$10+1,1))-AVERAGE(OFFSET($H$3,0,0,'Données projet'!$E$10+1,1))</f>
        <v>272.2908884671595</v>
      </c>
      <c r="AO96" s="62">
        <f t="shared" si="90"/>
        <v>220.74777226152867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44.847334535815783</v>
      </c>
      <c r="AV96" s="23">
        <f>EXP(-LN(2)/25)*AV95+(1-EXP(-LN(2)/25))/(LN(2)/25)*Calculateur!AQ96*Calculateur!AS96*VLOOKUP('Données projet'!$B$10,Paramètres!$A$1:$I$89,3,0)*0.475*44/12</f>
        <v>14.172111093129374</v>
      </c>
      <c r="AW96" s="23">
        <f>EXP(-LN(2)/2)*AW95+(1-EXP(-LN(2)/2))/(LN(2)/2)*AQ96*AT96*VLOOKUP('Données projet'!$B$10,Paramètres!$A$1:$I$89,3,0)*0.475*44/12</f>
        <v>0.31260541388267149</v>
      </c>
      <c r="AX96" s="23">
        <f t="shared" si="60"/>
        <v>59.332051042827828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>
        <f>VLOOKUP(A96,'Données projet'!$A$87:$I$107,2,0)</f>
        <v>269.52</v>
      </c>
      <c r="BB96" s="13">
        <f>VLOOKUP(A96,'Données projet'!$A$87:$I$107,9,0)</f>
        <v>7.2533333333333303</v>
      </c>
      <c r="BC96" s="13">
        <f t="array" ref="BC96">INDEX(BB:BB,MIN(IF(ISNUMBER(BB96:BB292),ROW(BB96:BB292),"")))</f>
        <v>7.2533333333333303</v>
      </c>
      <c r="BD96" s="13">
        <f>IF('Données projet'!$A$88&gt;35,BD95+BC96-BL95,IF(A96&lt;'Données projet'!$A$88,$BA$205^A96,IF(A96='Données projet'!$A$88,'Données projet'!$B$88,BD95+BC96-BL95)))</f>
        <v>269.52000000000004</v>
      </c>
      <c r="BE96" s="14">
        <f>BD96*VLOOKUP('Données projet'!$B$11,Paramètres!$A$1:$I$89,3,0)*VLOOKUP('Données projet'!$B$11,Paramètres!$A$1:$I$89,5,0)</f>
        <v>243.86169600000002</v>
      </c>
      <c r="BF96" s="14">
        <f t="shared" si="91"/>
        <v>59.269619737338289</v>
      </c>
      <c r="BG96" s="22">
        <f t="shared" si="61"/>
        <v>527.95370824253087</v>
      </c>
      <c r="BH96" s="62">
        <f t="shared" si="62"/>
        <v>821.28704157586412</v>
      </c>
      <c r="BI96" s="62">
        <f ca="1">AVERAGE(OFFSET($BH$3,0,0,'Données projet'!$E$11+1,1))-AVERAGE(OFFSET($H$3,0,0,'Données projet'!$E$11+1,1))</f>
        <v>320.80580551060069</v>
      </c>
      <c r="BJ96" s="62">
        <f t="shared" si="92"/>
        <v>225.55225019382294</v>
      </c>
      <c r="BK96" s="16">
        <f>IF(ISNA(VLOOKUP(A96,'Données projet'!$A$87:$I$107,3,0)),0,VLOOKUP(A96,'Données projet'!$A$87:$I$107,3,0))</f>
        <v>7</v>
      </c>
      <c r="BL96" s="16">
        <f>IF(ISNA(VLOOKUP(A96,'Données projet'!$A$87:$I$107,4,0)),0,VLOOKUP(A96,'Données projet'!$A$87:$I$107,4,0))</f>
        <v>38.57</v>
      </c>
      <c r="BM96" s="17">
        <f>IF(ISNA(VLOOKUP(A96,'Données projet'!$A$87:$I$107,5,0)),0%,VLOOKUP(A96,'Données projet'!$A$87:$I$107,5,0)*VLOOKUP('Données projet'!$B$11,Paramètres!$A$1:$I$89,7,0))</f>
        <v>0.17200000000000001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26.089746112787878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26.089746112787878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254.67898541152096</v>
      </c>
      <c r="CE96" s="62">
        <f t="shared" si="94"/>
        <v>251.52653810702509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86.299104133038256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86.299104133038256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6.3550942286383367E-14</v>
      </c>
      <c r="P97" s="14">
        <f t="shared" si="87"/>
        <v>1.0064464192543978E-12</v>
      </c>
      <c r="Q97" s="22">
        <f t="shared" si="54"/>
        <v>1.8635787380168604E-12</v>
      </c>
      <c r="R97" s="62">
        <f t="shared" si="55"/>
        <v>293.33333333333519</v>
      </c>
      <c r="S97" s="62">
        <f ca="1">AVERAGE(OFFSET($R$3,0,0,'Données projet'!$E$9+1,1))-AVERAGE(OFFSET($H$3,0,0,'Données projet'!$E$9+1,1))</f>
        <v>321.56347025977988</v>
      </c>
      <c r="T97" s="62">
        <f t="shared" si="88"/>
        <v>285.79375360040717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190.49013909111378</v>
      </c>
      <c r="AA97" s="23">
        <f>EXP(-LN(2)/25)*AA96+(1-EXP(-LN(2)/25))/(LN(2)/25)*Calculateur!V97*Calculateur!X97*VLOOKUP('Données projet'!$B$9,Paramètres!$A$1:$I$89,3,0)*0.475*44/12</f>
        <v>22.693516568645887</v>
      </c>
      <c r="AB97" s="23">
        <f>EXP(-LN(2)/2)*AB96+(1-EXP(-LN(2)/2))/(LN(2)/2)*V97*Y97*VLOOKUP('Données projet'!$B$9,Paramètres!$A$1:$I$89,3,0)*0.475*44/12</f>
        <v>3.7618680682794704E-3</v>
      </c>
      <c r="AC97" s="24">
        <f t="shared" si="57"/>
        <v>213.18741752782793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3.4</v>
      </c>
      <c r="AI97" s="14">
        <f>IF('Données projet'!$A$62&gt;35,AI96+AH97-AQ96,IF(A97&lt;'Données projet'!$A$62,$AF$205^A97,IF(A97='Données projet'!$A$62,'Données projet'!$B$62,AI96+AH97-AQ96)))</f>
        <v>386.59999999999962</v>
      </c>
      <c r="AJ97" s="14">
        <f>AI97*VLOOKUP('Données projet'!$B$10,Paramètres!$A$1:$I$89,3,0)*VLOOKUP('Données projet'!$B$10,Paramètres!$A$1:$I$89,5,0)</f>
        <v>241.23839999999976</v>
      </c>
      <c r="AK97" s="14">
        <f t="shared" si="89"/>
        <v>58.705898410708812</v>
      </c>
      <c r="AL97" s="22">
        <f t="shared" si="58"/>
        <v>522.4029863986508</v>
      </c>
      <c r="AM97" s="62">
        <f t="shared" si="59"/>
        <v>815.73631973198417</v>
      </c>
      <c r="AN97" s="62">
        <f ca="1">AVERAGE(OFFSET($AM$3,0,0,'Données projet'!$E$10+1,1))-AVERAGE(OFFSET($H$3,0,0,'Données projet'!$E$10+1,1))</f>
        <v>272.2908884671595</v>
      </c>
      <c r="AO97" s="62">
        <f t="shared" si="90"/>
        <v>220.74777226152867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43.967905659741504</v>
      </c>
      <c r="AV97" s="23">
        <f>EXP(-LN(2)/25)*AV96+(1-EXP(-LN(2)/25))/(LN(2)/25)*Calculateur!AQ97*Calculateur!AS97*VLOOKUP('Données projet'!$B$10,Paramètres!$A$1:$I$89,3,0)*0.475*44/12</f>
        <v>13.78457397000882</v>
      </c>
      <c r="AW97" s="23">
        <f>EXP(-LN(2)/2)*AW96+(1-EXP(-LN(2)/2))/(LN(2)/2)*AQ97*AT97*VLOOKUP('Données projet'!$B$10,Paramètres!$A$1:$I$89,3,0)*0.475*44/12</f>
        <v>0.22104540799206432</v>
      </c>
      <c r="AX97" s="23">
        <f t="shared" si="60"/>
        <v>57.973525037742391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6.7350000000000021</v>
      </c>
      <c r="BD97" s="13">
        <f>IF('Données projet'!$A$88&gt;35,BD96+BC97-BL96,IF(A97&lt;'Données projet'!$A$88,$BA$205^A97,IF(A97='Données projet'!$A$88,'Données projet'!$B$88,BD96+BC97-BL96)))</f>
        <v>237.68500000000006</v>
      </c>
      <c r="BE97" s="14">
        <f>BD97*VLOOKUP('Données projet'!$B$11,Paramètres!$A$1:$I$89,3,0)*VLOOKUP('Données projet'!$B$11,Paramètres!$A$1:$I$89,5,0)</f>
        <v>215.05738800000006</v>
      </c>
      <c r="BF97" s="14">
        <f t="shared" si="91"/>
        <v>53.039216904058705</v>
      </c>
      <c r="BG97" s="22">
        <f t="shared" si="61"/>
        <v>466.93492020790228</v>
      </c>
      <c r="BH97" s="62">
        <f t="shared" si="62"/>
        <v>760.26825354123559</v>
      </c>
      <c r="BI97" s="62">
        <f ca="1">AVERAGE(OFFSET($BH$3,0,0,'Données projet'!$E$11+1,1))-AVERAGE(OFFSET($H$3,0,0,'Données projet'!$E$11+1,1))</f>
        <v>320.80580551060069</v>
      </c>
      <c r="BJ97" s="62">
        <f t="shared" si="92"/>
        <v>225.55225019382294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25.578142104689942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25.578142104689942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254.67898541152096</v>
      </c>
      <c r="CE97" s="62">
        <f t="shared" si="94"/>
        <v>251.52653810702509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84.606831338245399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84.606831338245399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6.3550942286383367E-14</v>
      </c>
      <c r="P98" s="14">
        <f t="shared" si="87"/>
        <v>1.0064464192543978E-12</v>
      </c>
      <c r="Q98" s="22">
        <f t="shared" si="54"/>
        <v>1.8635787380168604E-12</v>
      </c>
      <c r="R98" s="62">
        <f t="shared" si="55"/>
        <v>293.33333333333519</v>
      </c>
      <c r="S98" s="62">
        <f ca="1">AVERAGE(OFFSET($R$3,0,0,'Données projet'!$E$9+1,1))-AVERAGE(OFFSET($H$3,0,0,'Données projet'!$E$9+1,1))</f>
        <v>321.56347025977988</v>
      </c>
      <c r="T98" s="62">
        <f t="shared" si="88"/>
        <v>285.79375360040717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186.75474365104932</v>
      </c>
      <c r="AA98" s="23">
        <f>EXP(-LN(2)/25)*AA97+(1-EXP(-LN(2)/25))/(LN(2)/25)*Calculateur!V98*Calculateur!X98*VLOOKUP('Données projet'!$B$9,Paramètres!$A$1:$I$89,3,0)*0.475*44/12</f>
        <v>22.072961164676094</v>
      </c>
      <c r="AB98" s="23">
        <f>EXP(-LN(2)/2)*AB97+(1-EXP(-LN(2)/2))/(LN(2)/2)*V98*Y98*VLOOKUP('Données projet'!$B$9,Paramètres!$A$1:$I$89,3,0)*0.475*44/12</f>
        <v>2.6600424210095519E-3</v>
      </c>
      <c r="AC98" s="24">
        <f t="shared" si="57"/>
        <v>208.83036485814642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390</v>
      </c>
      <c r="AG98" s="13">
        <f>VLOOKUP(A98,'Données projet'!$A$61:$I$81,9,0)</f>
        <v>3.4</v>
      </c>
      <c r="AH98" s="13">
        <f t="array" ref="AH98">INDEX(AG:AG,MIN(IF(ISNUMBER(AG98:AG294),ROW(AG98:AG294),"")))</f>
        <v>3.4</v>
      </c>
      <c r="AI98" s="14">
        <f>IF('Données projet'!$A$62&gt;35,AI97+AH98-AQ97,IF(A98&lt;'Données projet'!$A$62,$AF$205^A98,IF(A98='Données projet'!$A$62,'Données projet'!$B$62,AI97+AH98-AQ97)))</f>
        <v>389.9999999999996</v>
      </c>
      <c r="AJ98" s="14">
        <f>AI98*VLOOKUP('Données projet'!$B$10,Paramètres!$A$1:$I$89,3,0)*VLOOKUP('Données projet'!$B$10,Paramètres!$A$1:$I$89,5,0)</f>
        <v>243.35999999999973</v>
      </c>
      <c r="AK98" s="14">
        <f t="shared" si="89"/>
        <v>59.161864860837078</v>
      </c>
      <c r="AL98" s="22">
        <f t="shared" si="58"/>
        <v>526.89224796595738</v>
      </c>
      <c r="AM98" s="62">
        <f t="shared" si="59"/>
        <v>820.22558129929075</v>
      </c>
      <c r="AN98" s="62">
        <f ca="1">AVERAGE(OFFSET($AM$3,0,0,'Données projet'!$E$10+1,1))-AVERAGE(OFFSET($H$3,0,0,'Données projet'!$E$10+1,1))</f>
        <v>272.2908884671595</v>
      </c>
      <c r="AO98" s="62">
        <f t="shared" si="90"/>
        <v>220.74777226152867</v>
      </c>
      <c r="AP98" s="16">
        <f>IF(ISNA(VLOOKUP(A98,'Données projet'!$A$61:$I$81,3,0)),0,VLOOKUP(A98,'Données projet'!$A$61:$I$81,3,0))</f>
        <v>18</v>
      </c>
      <c r="AQ98" s="16">
        <f>IF(ISNA(VLOOKUP(A98,'Données projet'!$A$61:$I$81,4,0)),0,VLOOKUP(A98,'Données projet'!$A$61:$I$81,4,0))</f>
        <v>10</v>
      </c>
      <c r="AR98" s="17">
        <f>IF(ISNA(VLOOKUP(A98,'Données projet'!$A$61:$I$81,5,0)),0%,VLOOKUP(A98,'Données projet'!$A$61:$I$81,5,0)*VLOOKUP('Données projet'!$B$10,Paramètres!$A$1:$I$89,7,0))</f>
        <v>0.48</v>
      </c>
      <c r="AS98" s="17">
        <f>IF(ISNA(VLOOKUP(A98,'Données projet'!$A$61:$I$81,6,0)),0%,VLOOKUP(A98,'Données projet'!$A$61:$I$81,6,0)*VLOOKUP('Données projet'!$B$10,Paramètres!$A$1:$I$89,7,0))</f>
        <v>6.6000000000000003E-2</v>
      </c>
      <c r="AT98" s="17">
        <f>IF(ISNA(VLOOKUP(A98,'Données projet'!$A$61:$I$81,7,0)),0%,VLOOKUP(A98,'Données projet'!$A$61:$I$81,7,0))</f>
        <v>0.09</v>
      </c>
      <c r="AU98" s="23">
        <f>EXP(-LN(2)/35)*AU97+(1-EXP(-LN(2)/35))/(LN(2)/35)*AQ98*AR98*VLOOKUP('Données projet'!$B$10,Paramètres!$A$1:$I$89,3,0)*0.475*44/12</f>
        <v>47.079047704460905</v>
      </c>
      <c r="AV98" s="23">
        <f>EXP(-LN(2)/25)*AV97+(1-EXP(-LN(2)/25))/(LN(2)/25)*Calculateur!AQ98*Calculateur!AS98*VLOOKUP('Données projet'!$B$10,Paramètres!$A$1:$I$89,3,0)*0.475*44/12</f>
        <v>13.951815256772903</v>
      </c>
      <c r="AW98" s="23">
        <f>EXP(-LN(2)/2)*AW97+(1-EXP(-LN(2)/2))/(LN(2)/2)*AQ98*AT98*VLOOKUP('Données projet'!$B$10,Paramètres!$A$1:$I$89,3,0)*0.475*44/12</f>
        <v>0.79216436523219902</v>
      </c>
      <c r="AX98" s="23">
        <f t="shared" si="60"/>
        <v>61.823027326466004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6.7350000000000021</v>
      </c>
      <c r="BD98" s="13">
        <f>IF('Données projet'!$A$88&gt;35,BD97+BC98-BL97,IF(A98&lt;'Données projet'!$A$88,$BA$205^A98,IF(A98='Données projet'!$A$88,'Données projet'!$B$88,BD97+BC98-BL97)))</f>
        <v>244.42000000000007</v>
      </c>
      <c r="BE98" s="14">
        <f>BD98*VLOOKUP('Données projet'!$B$11,Paramètres!$A$1:$I$89,3,0)*VLOOKUP('Données projet'!$B$11,Paramètres!$A$1:$I$89,5,0)</f>
        <v>221.15121600000003</v>
      </c>
      <c r="BF98" s="14">
        <f t="shared" si="91"/>
        <v>54.365020776705762</v>
      </c>
      <c r="BG98" s="22">
        <f t="shared" si="61"/>
        <v>479.85744571942928</v>
      </c>
      <c r="BH98" s="62">
        <f t="shared" si="62"/>
        <v>773.19077905276254</v>
      </c>
      <c r="BI98" s="62">
        <f ca="1">AVERAGE(OFFSET($BH$3,0,0,'Données projet'!$E$11+1,1))-AVERAGE(OFFSET($H$3,0,0,'Données projet'!$E$11+1,1))</f>
        <v>320.80580551060069</v>
      </c>
      <c r="BJ98" s="62">
        <f t="shared" si="92"/>
        <v>225.55225019382294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25.076570339143174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25.076570339143174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254.67898541152096</v>
      </c>
      <c r="CE98" s="62">
        <f t="shared" si="94"/>
        <v>251.52653810702509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82.947742980773953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82.947742980773953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6.3550942286383367E-14</v>
      </c>
      <c r="P99" s="14">
        <f t="shared" si="87"/>
        <v>1.0064464192543978E-12</v>
      </c>
      <c r="Q99" s="22">
        <f t="shared" ref="Q99:Q130" si="107">(O99+P99)*0.475*44/12</f>
        <v>1.8635787380168604E-12</v>
      </c>
      <c r="R99" s="62">
        <f t="shared" si="55"/>
        <v>293.33333333333519</v>
      </c>
      <c r="S99" s="62">
        <f ca="1">AVERAGE(OFFSET($R$3,0,0,'Données projet'!$E$9+1,1))-AVERAGE(OFFSET($H$3,0,0,'Données projet'!$E$9+1,1))</f>
        <v>321.56347025977988</v>
      </c>
      <c r="T99" s="62">
        <f t="shared" si="88"/>
        <v>285.79375360040717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183.09259703719829</v>
      </c>
      <c r="AA99" s="23">
        <f>EXP(-LN(2)/25)*AA98+(1-EXP(-LN(2)/25))/(LN(2)/25)*Calculateur!V99*Calculateur!X99*VLOOKUP('Données projet'!$B$9,Paramètres!$A$1:$I$89,3,0)*0.475*44/12</f>
        <v>21.469374880861448</v>
      </c>
      <c r="AB99" s="23">
        <f>EXP(-LN(2)/2)*AB98+(1-EXP(-LN(2)/2))/(LN(2)/2)*V99*Y99*VLOOKUP('Données projet'!$B$9,Paramètres!$A$1:$I$89,3,0)*0.475*44/12</f>
        <v>1.8809340341397354E-3</v>
      </c>
      <c r="AC99" s="24">
        <f t="shared" si="57"/>
        <v>204.56385285209387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2.8</v>
      </c>
      <c r="AI99" s="14">
        <f>IF('Données projet'!$A$62&gt;35,AI98+AH99-AQ98,IF(A99&lt;'Données projet'!$A$62,$AF$205^A99,IF(A99='Données projet'!$A$62,'Données projet'!$B$62,AI98+AH99-AQ98)))</f>
        <v>382.79999999999961</v>
      </c>
      <c r="AJ99" s="14">
        <f>AI99*VLOOKUP('Données projet'!$B$10,Paramètres!$A$1:$I$89,3,0)*VLOOKUP('Données projet'!$B$10,Paramètres!$A$1:$I$89,5,0)</f>
        <v>238.86719999999974</v>
      </c>
      <c r="AK99" s="14">
        <f t="shared" si="89"/>
        <v>58.195735973104107</v>
      </c>
      <c r="AL99" s="22">
        <f t="shared" si="58"/>
        <v>517.38461348648923</v>
      </c>
      <c r="AM99" s="62">
        <f t="shared" si="59"/>
        <v>810.7179468198226</v>
      </c>
      <c r="AN99" s="62">
        <f ca="1">AVERAGE(OFFSET($AM$3,0,0,'Données projet'!$E$10+1,1))-AVERAGE(OFFSET($H$3,0,0,'Données projet'!$E$10+1,1))</f>
        <v>272.2908884671595</v>
      </c>
      <c r="AO99" s="62">
        <f t="shared" si="90"/>
        <v>220.74777226152867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46.15585629436012</v>
      </c>
      <c r="AV99" s="23">
        <f>EXP(-LN(2)/25)*AV98+(1-EXP(-LN(2)/25))/(LN(2)/25)*Calculateur!AQ99*Calculateur!AS99*VLOOKUP('Données projet'!$B$10,Paramètres!$A$1:$I$89,3,0)*0.475*44/12</f>
        <v>13.570302134882372</v>
      </c>
      <c r="AW99" s="23">
        <f>EXP(-LN(2)/2)*AW98+(1-EXP(-LN(2)/2))/(LN(2)/2)*AQ99*AT99*VLOOKUP('Données projet'!$B$10,Paramètres!$A$1:$I$89,3,0)*0.475*44/12</f>
        <v>0.56014479447002485</v>
      </c>
      <c r="AX99" s="23">
        <f t="shared" si="60"/>
        <v>60.286303223712515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6.7350000000000021</v>
      </c>
      <c r="BD99" s="13">
        <f>IF('Données projet'!$A$88&gt;35,BD98+BC99-BL98,IF(A99&lt;'Données projet'!$A$88,$BA$205^A99,IF(A99='Données projet'!$A$88,'Données projet'!$B$88,BD98+BC99-BL98)))</f>
        <v>251.15500000000009</v>
      </c>
      <c r="BE99" s="14">
        <f>BD99*VLOOKUP('Données projet'!$B$11,Paramètres!$A$1:$I$89,3,0)*VLOOKUP('Données projet'!$B$11,Paramètres!$A$1:$I$89,5,0)</f>
        <v>227.24504400000006</v>
      </c>
      <c r="BF99" s="14">
        <f t="shared" si="91"/>
        <v>55.686578503486572</v>
      </c>
      <c r="BG99" s="22">
        <f t="shared" si="61"/>
        <v>492.77257586023921</v>
      </c>
      <c r="BH99" s="62">
        <f t="shared" si="62"/>
        <v>786.10590919357253</v>
      </c>
      <c r="BI99" s="62">
        <f ca="1">AVERAGE(OFFSET($BH$3,0,0,'Données projet'!$E$11+1,1))-AVERAGE(OFFSET($H$3,0,0,'Données projet'!$E$11+1,1))</f>
        <v>320.80580551060069</v>
      </c>
      <c r="BJ99" s="62">
        <f t="shared" si="92"/>
        <v>225.55225019382294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24.58483408999021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24.58483408999021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254.67898541152096</v>
      </c>
      <c r="CE99" s="62">
        <f t="shared" si="94"/>
        <v>251.52653810702509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81.321188334048543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81.321188334048543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6.3550942286383367E-14</v>
      </c>
      <c r="P100" s="14">
        <f t="shared" si="87"/>
        <v>1.0064464192543978E-12</v>
      </c>
      <c r="Q100" s="22">
        <f t="shared" si="107"/>
        <v>1.8635787380168604E-12</v>
      </c>
      <c r="R100" s="62">
        <f t="shared" si="55"/>
        <v>293.33333333333519</v>
      </c>
      <c r="S100" s="62">
        <f ca="1">AVERAGE(OFFSET($R$3,0,0,'Données projet'!$E$9+1,1))-AVERAGE(OFFSET($H$3,0,0,'Données projet'!$E$9+1,1))</f>
        <v>321.56347025977988</v>
      </c>
      <c r="T100" s="62">
        <f t="shared" si="88"/>
        <v>285.79375360040717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179.50226288475599</v>
      </c>
      <c r="AA100" s="23">
        <f>EXP(-LN(2)/25)*AA99+(1-EXP(-LN(2)/25))/(LN(2)/25)*Calculateur!V100*Calculateur!X100*VLOOKUP('Données projet'!$B$9,Paramètres!$A$1:$I$89,3,0)*0.475*44/12</f>
        <v>20.882293695718936</v>
      </c>
      <c r="AB100" s="23">
        <f>EXP(-LN(2)/2)*AB99+(1-EXP(-LN(2)/2))/(LN(2)/2)*V100*Y100*VLOOKUP('Données projet'!$B$9,Paramètres!$A$1:$I$89,3,0)*0.475*44/12</f>
        <v>1.3300212105047762E-3</v>
      </c>
      <c r="AC100" s="24">
        <f t="shared" si="57"/>
        <v>200.38588660168543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2.8</v>
      </c>
      <c r="AI100" s="14">
        <f>IF('Données projet'!$A$62&gt;35,AI99+AH100-AQ99,IF(A100&lt;'Données projet'!$A$62,$AF$205^A100,IF(A100='Données projet'!$A$62,'Données projet'!$B$62,AI99+AH100-AQ99)))</f>
        <v>385.59999999999962</v>
      </c>
      <c r="AJ100" s="14">
        <f>AI100*VLOOKUP('Données projet'!$B$10,Paramètres!$A$1:$I$89,3,0)*VLOOKUP('Données projet'!$B$10,Paramètres!$A$1:$I$89,5,0)</f>
        <v>240.61439999999979</v>
      </c>
      <c r="AK100" s="14">
        <f t="shared" si="89"/>
        <v>58.571701958511198</v>
      </c>
      <c r="AL100" s="22">
        <f t="shared" si="58"/>
        <v>521.08246091107333</v>
      </c>
      <c r="AM100" s="62">
        <f t="shared" si="59"/>
        <v>814.4157942444067</v>
      </c>
      <c r="AN100" s="62">
        <f ca="1">AVERAGE(OFFSET($AM$3,0,0,'Données projet'!$E$10+1,1))-AVERAGE(OFFSET($H$3,0,0,'Données projet'!$E$10+1,1))</f>
        <v>272.2908884671595</v>
      </c>
      <c r="AO100" s="62">
        <f t="shared" si="90"/>
        <v>220.74777226152867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45.250768104720251</v>
      </c>
      <c r="AV100" s="23">
        <f>EXP(-LN(2)/25)*AV99+(1-EXP(-LN(2)/25))/(LN(2)/25)*Calculateur!AQ100*Calculateur!AS100*VLOOKUP('Données projet'!$B$10,Paramètres!$A$1:$I$89,3,0)*0.475*44/12</f>
        <v>13.199221509372839</v>
      </c>
      <c r="AW100" s="23">
        <f>EXP(-LN(2)/2)*AW99+(1-EXP(-LN(2)/2))/(LN(2)/2)*AQ100*AT100*VLOOKUP('Données projet'!$B$10,Paramètres!$A$1:$I$89,3,0)*0.475*44/12</f>
        <v>0.39608218261609951</v>
      </c>
      <c r="AX100" s="23">
        <f t="shared" si="60"/>
        <v>58.84607179670919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6.7350000000000021</v>
      </c>
      <c r="BD100" s="13">
        <f>IF('Données projet'!$A$88&gt;35,BD99+BC100-BL99,IF(A100&lt;'Données projet'!$A$88,$BA$205^A100,IF(A100='Données projet'!$A$88,'Données projet'!$B$88,BD99+BC100-BL99)))</f>
        <v>257.8900000000001</v>
      </c>
      <c r="BE100" s="14">
        <f>BD100*VLOOKUP('Données projet'!$B$11,Paramètres!$A$1:$I$89,3,0)*VLOOKUP('Données projet'!$B$11,Paramètres!$A$1:$I$89,5,0)</f>
        <v>233.33887200000009</v>
      </c>
      <c r="BF100" s="14">
        <f t="shared" si="91"/>
        <v>57.004017036032415</v>
      </c>
      <c r="BG100" s="22">
        <f t="shared" si="61"/>
        <v>505.68053173775655</v>
      </c>
      <c r="BH100" s="62">
        <f t="shared" si="62"/>
        <v>799.01386507108987</v>
      </c>
      <c r="BI100" s="62">
        <f ca="1">AVERAGE(OFFSET($BH$3,0,0,'Données projet'!$E$11+1,1))-AVERAGE(OFFSET($H$3,0,0,'Données projet'!$E$11+1,1))</f>
        <v>320.80580551060069</v>
      </c>
      <c r="BJ100" s="62">
        <f t="shared" si="92"/>
        <v>225.55225019382294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24.102740488753636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24.102740488753636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254.67898541152096</v>
      </c>
      <c r="CE100" s="62">
        <f t="shared" si="94"/>
        <v>251.52653810702509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79.726529431845037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79.726529431845037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6.3550942286383367E-14</v>
      </c>
      <c r="P101" s="14">
        <f t="shared" si="87"/>
        <v>1.0064464192543978E-12</v>
      </c>
      <c r="Q101" s="22">
        <f t="shared" si="107"/>
        <v>1.8635787380168604E-12</v>
      </c>
      <c r="R101" s="62">
        <f t="shared" si="55"/>
        <v>293.33333333333519</v>
      </c>
      <c r="S101" s="62">
        <f ca="1">AVERAGE(OFFSET($R$3,0,0,'Données projet'!$E$9+1,1))-AVERAGE(OFFSET($H$3,0,0,'Données projet'!$E$9+1,1))</f>
        <v>321.56347025977988</v>
      </c>
      <c r="T101" s="62">
        <f t="shared" si="88"/>
        <v>285.79375360040717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175.98233299515547</v>
      </c>
      <c r="AA101" s="23">
        <f>EXP(-LN(2)/25)*AA100+(1-EXP(-LN(2)/25))/(LN(2)/25)*Calculateur!V101*Calculateur!X101*VLOOKUP('Données projet'!$B$9,Paramètres!$A$1:$I$89,3,0)*0.475*44/12</f>
        <v>20.311266276457403</v>
      </c>
      <c r="AB101" s="23">
        <f>EXP(-LN(2)/2)*AB100+(1-EXP(-LN(2)/2))/(LN(2)/2)*V101*Y101*VLOOKUP('Données projet'!$B$9,Paramètres!$A$1:$I$89,3,0)*0.475*44/12</f>
        <v>9.4046701706986793E-4</v>
      </c>
      <c r="AC101" s="24">
        <f t="shared" si="57"/>
        <v>196.29453973862996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2.8</v>
      </c>
      <c r="AI101" s="14">
        <f>IF('Données projet'!$A$62&gt;35,AI100+AH101-AQ100,IF(A101&lt;'Données projet'!$A$62,$AF$205^A101,IF(A101='Données projet'!$A$62,'Données projet'!$B$62,AI100+AH101-AQ100)))</f>
        <v>388.39999999999964</v>
      </c>
      <c r="AJ101" s="14">
        <f>AI101*VLOOKUP('Données projet'!$B$10,Paramètres!$A$1:$I$89,3,0)*VLOOKUP('Données projet'!$B$10,Paramètres!$A$1:$I$89,5,0)</f>
        <v>242.36159999999978</v>
      </c>
      <c r="AK101" s="14">
        <f t="shared" si="89"/>
        <v>58.947350298165709</v>
      </c>
      <c r="AL101" s="22">
        <f t="shared" si="58"/>
        <v>524.77975510263821</v>
      </c>
      <c r="AM101" s="62">
        <f t="shared" si="59"/>
        <v>818.11308843597158</v>
      </c>
      <c r="AN101" s="62">
        <f ca="1">AVERAGE(OFFSET($AM$3,0,0,'Données projet'!$E$10+1,1))-AVERAGE(OFFSET($H$3,0,0,'Données projet'!$E$10+1,1))</f>
        <v>272.2908884671595</v>
      </c>
      <c r="AO101" s="62">
        <f t="shared" si="90"/>
        <v>220.74777226152867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44.363428142429932</v>
      </c>
      <c r="AV101" s="23">
        <f>EXP(-LN(2)/25)*AV100+(1-EXP(-LN(2)/25))/(LN(2)/25)*Calculateur!AQ101*Calculateur!AS101*VLOOKUP('Données projet'!$B$10,Paramètres!$A$1:$I$89,3,0)*0.475*44/12</f>
        <v>12.838288103082146</v>
      </c>
      <c r="AW101" s="23">
        <f>EXP(-LN(2)/2)*AW100+(1-EXP(-LN(2)/2))/(LN(2)/2)*AQ101*AT101*VLOOKUP('Données projet'!$B$10,Paramètres!$A$1:$I$89,3,0)*0.475*44/12</f>
        <v>0.28007239723501243</v>
      </c>
      <c r="AX101" s="23">
        <f t="shared" si="60"/>
        <v>57.481788642747084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6.7350000000000021</v>
      </c>
      <c r="BD101" s="13">
        <f>IF('Données projet'!$A$88&gt;35,BD100+BC101-BL100,IF(A101&lt;'Données projet'!$A$88,$BA$205^A101,IF(A101='Données projet'!$A$88,'Données projet'!$B$88,BD100+BC101-BL100)))</f>
        <v>264.62500000000011</v>
      </c>
      <c r="BE101" s="14">
        <f>BD101*VLOOKUP('Données projet'!$B$11,Paramètres!$A$1:$I$89,3,0)*VLOOKUP('Données projet'!$B$11,Paramètres!$A$1:$I$89,5,0)</f>
        <v>239.43270000000007</v>
      </c>
      <c r="BF101" s="14">
        <f t="shared" si="91"/>
        <v>58.317456317423705</v>
      </c>
      <c r="BG101" s="22">
        <f t="shared" si="61"/>
        <v>518.58152225284641</v>
      </c>
      <c r="BH101" s="62">
        <f t="shared" si="62"/>
        <v>811.91485558617978</v>
      </c>
      <c r="BI101" s="62">
        <f ca="1">AVERAGE(OFFSET($BH$3,0,0,'Données projet'!$E$11+1,1))-AVERAGE(OFFSET($H$3,0,0,'Données projet'!$E$11+1,1))</f>
        <v>320.80580551060069</v>
      </c>
      <c r="BJ101" s="62">
        <f t="shared" si="92"/>
        <v>225.55225019382294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23.63010044898925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23.63010044898925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254.67898541152096</v>
      </c>
      <c r="CE101" s="62">
        <f t="shared" si="94"/>
        <v>251.52653810702509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78.163140818067859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78.163140818067859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6.3550942286383367E-14</v>
      </c>
      <c r="P102" s="14">
        <f t="shared" si="87"/>
        <v>1.0064464192543978E-12</v>
      </c>
      <c r="Q102" s="22">
        <f t="shared" si="107"/>
        <v>1.8635787380168604E-12</v>
      </c>
      <c r="R102" s="62">
        <f t="shared" si="55"/>
        <v>293.33333333333519</v>
      </c>
      <c r="S102" s="62">
        <f ca="1">AVERAGE(OFFSET($R$3,0,0,'Données projet'!$E$9+1,1))-AVERAGE(OFFSET($H$3,0,0,'Données projet'!$E$9+1,1))</f>
        <v>321.56347025977988</v>
      </c>
      <c r="T102" s="62">
        <f t="shared" si="88"/>
        <v>285.79375360040717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172.53142678374479</v>
      </c>
      <c r="AA102" s="23">
        <f>EXP(-LN(2)/25)*AA101+(1-EXP(-LN(2)/25))/(LN(2)/25)*Calculateur!V102*Calculateur!X102*VLOOKUP('Données projet'!$B$9,Paramètres!$A$1:$I$89,3,0)*0.475*44/12</f>
        <v>19.755853632004605</v>
      </c>
      <c r="AB102" s="23">
        <f>EXP(-LN(2)/2)*AB101+(1-EXP(-LN(2)/2))/(LN(2)/2)*V102*Y102*VLOOKUP('Données projet'!$B$9,Paramètres!$A$1:$I$89,3,0)*0.475*44/12</f>
        <v>6.650106052523882E-4</v>
      </c>
      <c r="AC102" s="24">
        <f t="shared" si="57"/>
        <v>192.28794542635464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2.8</v>
      </c>
      <c r="AI102" s="14">
        <f>IF('Données projet'!$A$62&gt;35,AI101+AH102-AQ101,IF(A102&lt;'Données projet'!$A$62,$AF$205^A102,IF(A102='Données projet'!$A$62,'Données projet'!$B$62,AI101+AH102-AQ101)))</f>
        <v>391.19999999999965</v>
      </c>
      <c r="AJ102" s="14">
        <f>AI102*VLOOKUP('Données projet'!$B$10,Paramètres!$A$1:$I$89,3,0)*VLOOKUP('Données projet'!$B$10,Paramètres!$A$1:$I$89,5,0)</f>
        <v>244.10879999999977</v>
      </c>
      <c r="AK102" s="14">
        <f t="shared" si="89"/>
        <v>59.322683547515631</v>
      </c>
      <c r="AL102" s="22">
        <f t="shared" si="58"/>
        <v>528.47650051192272</v>
      </c>
      <c r="AM102" s="62">
        <f t="shared" si="59"/>
        <v>821.80983384525598</v>
      </c>
      <c r="AN102" s="62">
        <f ca="1">AVERAGE(OFFSET($AM$3,0,0,'Données projet'!$E$10+1,1))-AVERAGE(OFFSET($H$3,0,0,'Données projet'!$E$10+1,1))</f>
        <v>272.2908884671595</v>
      </c>
      <c r="AO102" s="62">
        <f t="shared" si="90"/>
        <v>220.74777226152867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43.493488375576192</v>
      </c>
      <c r="AV102" s="23">
        <f>EXP(-LN(2)/25)*AV101+(1-EXP(-LN(2)/25))/(LN(2)/25)*Calculateur!AQ102*Calculateur!AS102*VLOOKUP('Données projet'!$B$10,Paramètres!$A$1:$I$89,3,0)*0.475*44/12</f>
        <v>12.487224439767136</v>
      </c>
      <c r="AW102" s="23">
        <f>EXP(-LN(2)/2)*AW101+(1-EXP(-LN(2)/2))/(LN(2)/2)*AQ102*AT102*VLOOKUP('Données projet'!$B$10,Paramètres!$A$1:$I$89,3,0)*0.475*44/12</f>
        <v>0.19804109130804975</v>
      </c>
      <c r="AX102" s="23">
        <f t="shared" si="60"/>
        <v>56.178753906651373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6.7350000000000021</v>
      </c>
      <c r="BD102" s="13">
        <f>IF('Données projet'!$A$88&gt;35,BD101+BC102-BL101,IF(A102&lt;'Données projet'!$A$88,$BA$205^A102,IF(A102='Données projet'!$A$88,'Données projet'!$B$88,BD101+BC102-BL101)))</f>
        <v>271.36000000000013</v>
      </c>
      <c r="BE102" s="14">
        <f>BD102*VLOOKUP('Données projet'!$B$11,Paramètres!$A$1:$I$89,3,0)*VLOOKUP('Données projet'!$B$11,Paramètres!$A$1:$I$89,5,0)</f>
        <v>245.5265280000001</v>
      </c>
      <c r="BF102" s="14">
        <f t="shared" si="91"/>
        <v>59.627009837498669</v>
      </c>
      <c r="BG102" s="22">
        <f t="shared" si="61"/>
        <v>531.47574506697708</v>
      </c>
      <c r="BH102" s="62">
        <f t="shared" si="62"/>
        <v>824.80907840031045</v>
      </c>
      <c r="BI102" s="62">
        <f ca="1">AVERAGE(OFFSET($BH$3,0,0,'Données projet'!$E$11+1,1))-AVERAGE(OFFSET($H$3,0,0,'Données projet'!$E$11+1,1))</f>
        <v>320.80580551060069</v>
      </c>
      <c r="BJ102" s="62">
        <f t="shared" si="92"/>
        <v>225.55225019382294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23.166728592122684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23.166728592122684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254.67898541152096</v>
      </c>
      <c r="CE102" s="62">
        <f t="shared" si="94"/>
        <v>251.52653810702509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76.630409301433957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76.630409301433957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6.3550942286383367E-14</v>
      </c>
      <c r="P103" s="14">
        <f t="shared" si="87"/>
        <v>1.0064464192543978E-12</v>
      </c>
      <c r="Q103" s="22">
        <f t="shared" si="107"/>
        <v>1.8635787380168604E-12</v>
      </c>
      <c r="R103" s="62">
        <f t="shared" si="55"/>
        <v>293.33333333333519</v>
      </c>
      <c r="S103" s="62">
        <f ca="1">AVERAGE(OFFSET($R$3,0,0,'Données projet'!$E$9+1,1))-AVERAGE(OFFSET($H$3,0,0,'Données projet'!$E$9+1,1))</f>
        <v>321.56347025977988</v>
      </c>
      <c r="T103" s="62">
        <f t="shared" si="88"/>
        <v>285.79375360040717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169.14819073829491</v>
      </c>
      <c r="AA103" s="23">
        <f>EXP(-LN(2)/25)*AA102+(1-EXP(-LN(2)/25))/(LN(2)/25)*Calculateur!V103*Calculateur!X103*VLOOKUP('Données projet'!$B$9,Paramètres!$A$1:$I$89,3,0)*0.475*44/12</f>
        <v>19.215628775522248</v>
      </c>
      <c r="AB103" s="23">
        <f>EXP(-LN(2)/2)*AB102+(1-EXP(-LN(2)/2))/(LN(2)/2)*V103*Y103*VLOOKUP('Données projet'!$B$9,Paramètres!$A$1:$I$89,3,0)*0.475*44/12</f>
        <v>4.7023350853493402E-4</v>
      </c>
      <c r="AC103" s="24">
        <f t="shared" si="57"/>
        <v>188.3642897473257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394</v>
      </c>
      <c r="AG103" s="13">
        <f>VLOOKUP(A103,'Données projet'!$A$61:$I$81,9,0)</f>
        <v>2.8</v>
      </c>
      <c r="AH103" s="13">
        <f t="array" ref="AH103">INDEX(AG:AG,MIN(IF(ISNUMBER(AG103:AG299),ROW(AG103:AG299),"")))</f>
        <v>2.8</v>
      </c>
      <c r="AI103" s="14">
        <f>IF('Données projet'!$A$62&gt;35,AI102+AH103-AQ102,IF(A103&lt;'Données projet'!$A$62,$AF$205^A103,IF(A103='Données projet'!$A$62,'Données projet'!$B$62,AI102+AH103-AQ102)))</f>
        <v>393.99999999999966</v>
      </c>
      <c r="AJ103" s="14">
        <f>AI103*VLOOKUP('Données projet'!$B$10,Paramètres!$A$1:$I$89,3,0)*VLOOKUP('Données projet'!$B$10,Paramètres!$A$1:$I$89,5,0)</f>
        <v>245.8559999999998</v>
      </c>
      <c r="AK103" s="14">
        <f t="shared" si="89"/>
        <v>59.697704223313963</v>
      </c>
      <c r="AL103" s="22">
        <f t="shared" si="58"/>
        <v>532.17270152227138</v>
      </c>
      <c r="AM103" s="62">
        <f t="shared" si="59"/>
        <v>825.50603485560464</v>
      </c>
      <c r="AN103" s="62">
        <f ca="1">AVERAGE(OFFSET($AM$3,0,0,'Données projet'!$E$10+1,1))-AVERAGE(OFFSET($H$3,0,0,'Données projet'!$E$10+1,1))</f>
        <v>272.2908884671595</v>
      </c>
      <c r="AO103" s="62">
        <f t="shared" si="90"/>
        <v>220.74777226152867</v>
      </c>
      <c r="AP103" s="16">
        <f>IF(ISNA(VLOOKUP(A103,'Données projet'!$A$61:$I$81,3,0)),0,VLOOKUP(A103,'Données projet'!$A$61:$I$81,3,0))</f>
        <v>19</v>
      </c>
      <c r="AQ103" s="16">
        <f>IF(ISNA(VLOOKUP(A103,'Données projet'!$A$61:$I$81,4,0)),0,VLOOKUP(A103,'Données projet'!$A$61:$I$81,4,0))</f>
        <v>394</v>
      </c>
      <c r="AR103" s="17">
        <f>IF(ISNA(VLOOKUP(A103,'Données projet'!$A$61:$I$81,5,0)),0%,VLOOKUP(A103,'Données projet'!$A$61:$I$81,5,0)*VLOOKUP('Données projet'!$B$10,Paramètres!$A$1:$I$89,7,0))</f>
        <v>0.54</v>
      </c>
      <c r="AS103" s="17">
        <f>IF(ISNA(VLOOKUP(A103,'Données projet'!$A$61:$I$81,6,0)),0%,VLOOKUP(A103,'Données projet'!$A$61:$I$81,6,0)*VLOOKUP('Données projet'!$B$10,Paramètres!$A$1:$I$89,7,0))</f>
        <v>3.5999999999999997E-2</v>
      </c>
      <c r="AT103" s="17">
        <f>IF(ISNA(VLOOKUP(A103,'Données projet'!$A$61:$I$81,7,0)),0%,VLOOKUP(A103,'Données projet'!$A$61:$I$81,7,0))</f>
        <v>0.04</v>
      </c>
      <c r="AU103" s="23">
        <f>EXP(-LN(2)/35)*AU102+(1-EXP(-LN(2)/35))/(LN(2)/35)*AQ103*AR103*VLOOKUP('Données projet'!$B$10,Paramètres!$A$1:$I$89,3,0)*0.475*44/12</f>
        <v>218.75827620547315</v>
      </c>
      <c r="AV103" s="23">
        <f>EXP(-LN(2)/25)*AV102+(1-EXP(-LN(2)/25))/(LN(2)/25)*Calculateur!AQ103*Calculateur!AS103*VLOOKUP('Données projet'!$B$10,Paramètres!$A$1:$I$89,3,0)*0.475*44/12</f>
        <v>23.840709046862372</v>
      </c>
      <c r="AW103" s="23">
        <f>EXP(-LN(2)/2)*AW102+(1-EXP(-LN(2)/2))/(LN(2)/2)*AQ103*AT103*VLOOKUP('Données projet'!$B$10,Paramètres!$A$1:$I$89,3,0)*0.475*44/12</f>
        <v>11.274680348244178</v>
      </c>
      <c r="AX103" s="23">
        <f t="shared" si="60"/>
        <v>253.8736656005797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6.7350000000000021</v>
      </c>
      <c r="BD103" s="13">
        <f>IF('Données projet'!$A$88&gt;35,BD102+BC103-BL102,IF(A103&lt;'Données projet'!$A$88,$BA$205^A103,IF(A103='Données projet'!$A$88,'Données projet'!$B$88,BD102+BC103-BL102)))</f>
        <v>278.09500000000014</v>
      </c>
      <c r="BE103" s="14">
        <f>BD103*VLOOKUP('Données projet'!$B$11,Paramètres!$A$1:$I$89,3,0)*VLOOKUP('Données projet'!$B$11,Paramètres!$A$1:$I$89,5,0)</f>
        <v>251.62035600000013</v>
      </c>
      <c r="BF103" s="14">
        <f t="shared" si="91"/>
        <v>60.932785131479683</v>
      </c>
      <c r="BG103" s="22">
        <f t="shared" si="61"/>
        <v>544.36338747066077</v>
      </c>
      <c r="BH103" s="62">
        <f t="shared" si="62"/>
        <v>837.69672080399414</v>
      </c>
      <c r="BI103" s="62">
        <f ca="1">AVERAGE(OFFSET($BH$3,0,0,'Données projet'!$E$11+1,1))-AVERAGE(OFFSET($H$3,0,0,'Données projet'!$E$11+1,1))</f>
        <v>320.80580551060069</v>
      </c>
      <c r="BJ103" s="62">
        <f t="shared" si="92"/>
        <v>225.55225019382294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22.712443174740347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22.712443174740347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254.67898541152096</v>
      </c>
      <c r="CE103" s="62">
        <f t="shared" si="94"/>
        <v>251.52653810702509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75.12773371496732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75.12773371496732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6.3550942286383367E-14</v>
      </c>
      <c r="P104" s="14">
        <f t="shared" si="87"/>
        <v>1.0064464192543978E-12</v>
      </c>
      <c r="Q104" s="22">
        <f t="shared" si="107"/>
        <v>1.8635787380168604E-12</v>
      </c>
      <c r="R104" s="62">
        <f t="shared" si="55"/>
        <v>293.33333333333519</v>
      </c>
      <c r="S104" s="62">
        <f ca="1">AVERAGE(OFFSET($R$3,0,0,'Données projet'!$E$9+1,1))-AVERAGE(OFFSET($H$3,0,0,'Données projet'!$E$9+1,1))</f>
        <v>321.56347025977988</v>
      </c>
      <c r="T104" s="62">
        <f t="shared" si="88"/>
        <v>285.79375360040717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165.8312978881261</v>
      </c>
      <c r="AA104" s="23">
        <f>EXP(-LN(2)/25)*AA103+(1-EXP(-LN(2)/25))/(LN(2)/25)*Calculateur!V104*Calculateur!X104*VLOOKUP('Données projet'!$B$9,Paramètres!$A$1:$I$89,3,0)*0.475*44/12</f>
        <v>18.690176396149592</v>
      </c>
      <c r="AB104" s="23">
        <f>EXP(-LN(2)/2)*AB103+(1-EXP(-LN(2)/2))/(LN(2)/2)*V104*Y104*VLOOKUP('Données projet'!$B$9,Paramètres!$A$1:$I$89,3,0)*0.475*44/12</f>
        <v>3.3250530262619415E-4</v>
      </c>
      <c r="AC104" s="24">
        <f t="shared" si="57"/>
        <v>184.52180678957831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-3.4106051316484809E-13</v>
      </c>
      <c r="AJ104" s="14">
        <f>AI104*VLOOKUP('Données projet'!$B$10,Paramètres!$A$1:$I$89,3,0)*VLOOKUP('Données projet'!$B$10,Paramètres!$A$1:$I$89,5,0)</f>
        <v>-2.1282176021486519E-13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272.2908884671595</v>
      </c>
      <c r="AO104" s="62">
        <f t="shared" si="90"/>
        <v>220.74777226152867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214.46855983845725</v>
      </c>
      <c r="AV104" s="23">
        <f>EXP(-LN(2)/25)*AV103+(1-EXP(-LN(2)/25))/(LN(2)/25)*Calculateur!AQ104*Calculateur!AS104*VLOOKUP('Données projet'!$B$10,Paramètres!$A$1:$I$89,3,0)*0.475*44/12</f>
        <v>23.188783604247522</v>
      </c>
      <c r="AW104" s="23">
        <f>EXP(-LN(2)/2)*AW103+(1-EXP(-LN(2)/2))/(LN(2)/2)*AQ104*AT104*VLOOKUP('Données projet'!$B$10,Paramètres!$A$1:$I$89,3,0)*0.475*44/12</f>
        <v>7.9724029299541641</v>
      </c>
      <c r="AX104" s="23">
        <f t="shared" si="60"/>
        <v>245.62974637265896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6.7350000000000021</v>
      </c>
      <c r="BD104" s="13">
        <f>IF('Données projet'!$A$88&gt;35,BD103+BC104-BL103,IF(A104&lt;'Données projet'!$A$88,$BA$205^A104,IF(A104='Données projet'!$A$88,'Données projet'!$B$88,BD103+BC104-BL103)))</f>
        <v>284.83000000000015</v>
      </c>
      <c r="BE104" s="14">
        <f>BD104*VLOOKUP('Données projet'!$B$11,Paramètres!$A$1:$I$89,3,0)*VLOOKUP('Données projet'!$B$11,Paramètres!$A$1:$I$89,5,0)</f>
        <v>257.71418400000016</v>
      </c>
      <c r="BF104" s="14">
        <f t="shared" si="91"/>
        <v>62.234884228936473</v>
      </c>
      <c r="BG104" s="22">
        <f t="shared" si="61"/>
        <v>557.24462716539801</v>
      </c>
      <c r="BH104" s="62">
        <f t="shared" si="62"/>
        <v>850.57796049873127</v>
      </c>
      <c r="BI104" s="62">
        <f ca="1">AVERAGE(OFFSET($BH$3,0,0,'Données projet'!$E$11+1,1))-AVERAGE(OFFSET($H$3,0,0,'Données projet'!$E$11+1,1))</f>
        <v>320.80580551060069</v>
      </c>
      <c r="BJ104" s="62">
        <f t="shared" si="92"/>
        <v>225.55225019382294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22.267066017306135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22.267066017306135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254.67898541152096</v>
      </c>
      <c r="CE104" s="62">
        <f t="shared" si="94"/>
        <v>251.52653810702509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73.65452468020969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73.65452468020969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6.3550942286383367E-14</v>
      </c>
      <c r="P105" s="14">
        <f t="shared" si="87"/>
        <v>1.0064464192543978E-12</v>
      </c>
      <c r="Q105" s="22">
        <f t="shared" si="107"/>
        <v>1.8635787380168604E-12</v>
      </c>
      <c r="R105" s="62">
        <f t="shared" si="55"/>
        <v>293.33333333333519</v>
      </c>
      <c r="S105" s="62">
        <f ca="1">AVERAGE(OFFSET($R$3,0,0,'Données projet'!$E$9+1,1))-AVERAGE(OFFSET($H$3,0,0,'Données projet'!$E$9+1,1))</f>
        <v>321.56347025977988</v>
      </c>
      <c r="T105" s="62">
        <f t="shared" si="88"/>
        <v>285.79375360040717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162.57944728364421</v>
      </c>
      <c r="AA105" s="23">
        <f>EXP(-LN(2)/25)*AA104+(1-EXP(-LN(2)/25))/(LN(2)/25)*Calculateur!V105*Calculateur!X105*VLOOKUP('Données projet'!$B$9,Paramètres!$A$1:$I$89,3,0)*0.475*44/12</f>
        <v>18.179092539723221</v>
      </c>
      <c r="AB105" s="23">
        <f>EXP(-LN(2)/2)*AB104+(1-EXP(-LN(2)/2))/(LN(2)/2)*V105*Y105*VLOOKUP('Données projet'!$B$9,Paramètres!$A$1:$I$89,3,0)*0.475*44/12</f>
        <v>2.3511675426746706E-4</v>
      </c>
      <c r="AC105" s="24">
        <f t="shared" si="57"/>
        <v>180.7587749401217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-3.4106051316484809E-13</v>
      </c>
      <c r="AJ105" s="14">
        <f>AI105*VLOOKUP('Données projet'!$B$10,Paramètres!$A$1:$I$89,3,0)*VLOOKUP('Données projet'!$B$10,Paramètres!$A$1:$I$89,5,0)</f>
        <v>-2.1282176021486519E-13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272.2908884671595</v>
      </c>
      <c r="AO105" s="62">
        <f t="shared" si="90"/>
        <v>220.74777226152867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210.2629621929299</v>
      </c>
      <c r="AV105" s="23">
        <f>EXP(-LN(2)/25)*AV104+(1-EXP(-LN(2)/25))/(LN(2)/25)*Calculateur!AQ105*Calculateur!AS105*VLOOKUP('Données projet'!$B$10,Paramètres!$A$1:$I$89,3,0)*0.475*44/12</f>
        <v>22.554685097144244</v>
      </c>
      <c r="AW105" s="23">
        <f>EXP(-LN(2)/2)*AW104+(1-EXP(-LN(2)/2))/(LN(2)/2)*AQ105*AT105*VLOOKUP('Données projet'!$B$10,Paramètres!$A$1:$I$89,3,0)*0.475*44/12</f>
        <v>5.6373401741220901</v>
      </c>
      <c r="AX105" s="23">
        <f t="shared" si="60"/>
        <v>238.45498746419625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6.7350000000000021</v>
      </c>
      <c r="BD105" s="13">
        <f>IF('Données projet'!$A$88&gt;35,BD104+BC105-BL104,IF(A105&lt;'Données projet'!$A$88,$BA$205^A105,IF(A105='Données projet'!$A$88,'Données projet'!$B$88,BD104+BC105-BL104)))</f>
        <v>291.56500000000017</v>
      </c>
      <c r="BE105" s="14">
        <f>BD105*VLOOKUP('Données projet'!$B$11,Paramètres!$A$1:$I$89,3,0)*VLOOKUP('Données projet'!$B$11,Paramètres!$A$1:$I$89,5,0)</f>
        <v>263.80801200000013</v>
      </c>
      <c r="BF105" s="14">
        <f t="shared" si="91"/>
        <v>63.533404059088696</v>
      </c>
      <c r="BG105" s="22">
        <f t="shared" si="61"/>
        <v>570.1196329695797</v>
      </c>
      <c r="BH105" s="62">
        <f t="shared" si="62"/>
        <v>863.45296630291296</v>
      </c>
      <c r="BI105" s="62">
        <f ca="1">AVERAGE(OFFSET($BH$3,0,0,'Données projet'!$E$11+1,1))-AVERAGE(OFFSET($H$3,0,0,'Données projet'!$E$11+1,1))</f>
        <v>320.80580551060069</v>
      </c>
      <c r="BJ105" s="62">
        <f t="shared" si="92"/>
        <v>225.55225019382294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21.830422434275963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21.830422434275963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254.67898541152096</v>
      </c>
      <c r="CE105" s="62">
        <f t="shared" si="94"/>
        <v>251.52653810702509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72.210204376054875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72.210204376054875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6.3550942286383367E-14</v>
      </c>
      <c r="P106" s="14">
        <f t="shared" si="87"/>
        <v>1.0064464192543978E-12</v>
      </c>
      <c r="Q106" s="22">
        <f t="shared" si="107"/>
        <v>1.8635787380168604E-12</v>
      </c>
      <c r="R106" s="62">
        <f t="shared" si="55"/>
        <v>293.33333333333519</v>
      </c>
      <c r="S106" s="62">
        <f ca="1">AVERAGE(OFFSET($R$3,0,0,'Données projet'!$E$9+1,1))-AVERAGE(OFFSET($H$3,0,0,'Données projet'!$E$9+1,1))</f>
        <v>321.56347025977988</v>
      </c>
      <c r="T106" s="62">
        <f t="shared" si="88"/>
        <v>285.79375360040717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159.39136348608321</v>
      </c>
      <c r="AA106" s="23">
        <f>EXP(-LN(2)/25)*AA105+(1-EXP(-LN(2)/25))/(LN(2)/25)*Calculateur!V106*Calculateur!X106*VLOOKUP('Données projet'!$B$9,Paramètres!$A$1:$I$89,3,0)*0.475*44/12</f>
        <v>17.681984298227562</v>
      </c>
      <c r="AB106" s="23">
        <f>EXP(-LN(2)/2)*AB105+(1-EXP(-LN(2)/2))/(LN(2)/2)*V106*Y106*VLOOKUP('Données projet'!$B$9,Paramètres!$A$1:$I$89,3,0)*0.475*44/12</f>
        <v>1.662526513130971E-4</v>
      </c>
      <c r="AC106" s="24">
        <f t="shared" si="57"/>
        <v>177.07351403696211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-3.4106051316484809E-13</v>
      </c>
      <c r="AJ106" s="14">
        <f>AI106*VLOOKUP('Données projet'!$B$10,Paramètres!$A$1:$I$89,3,0)*VLOOKUP('Données projet'!$B$10,Paramètres!$A$1:$I$89,5,0)</f>
        <v>-2.1282176021486519E-13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272.2908884671595</v>
      </c>
      <c r="AO106" s="62">
        <f t="shared" si="90"/>
        <v>220.74777226152867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206.13983375207007</v>
      </c>
      <c r="AV106" s="23">
        <f>EXP(-LN(2)/25)*AV105+(1-EXP(-LN(2)/25))/(LN(2)/25)*Calculateur!AQ106*Calculateur!AS106*VLOOKUP('Données projet'!$B$10,Paramètres!$A$1:$I$89,3,0)*0.475*44/12</f>
        <v>21.937926047063495</v>
      </c>
      <c r="AW106" s="23">
        <f>EXP(-LN(2)/2)*AW105+(1-EXP(-LN(2)/2))/(LN(2)/2)*AQ106*AT106*VLOOKUP('Données projet'!$B$10,Paramètres!$A$1:$I$89,3,0)*0.475*44/12</f>
        <v>3.9862014649770829</v>
      </c>
      <c r="AX106" s="23">
        <f t="shared" si="60"/>
        <v>232.06396126411065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>
        <f>VLOOKUP(A106,'Données projet'!$A$87:$I$107,2,0)</f>
        <v>298.3</v>
      </c>
      <c r="BB106" s="13">
        <f>VLOOKUP(A106,'Données projet'!$A$87:$I$107,9,0)</f>
        <v>6.7350000000000021</v>
      </c>
      <c r="BC106" s="13">
        <f t="array" ref="BC106">INDEX(BB:BB,MIN(IF(ISNUMBER(BB106:BB302),ROW(BB106:BB302),"")))</f>
        <v>6.7350000000000021</v>
      </c>
      <c r="BD106" s="13">
        <f>IF('Données projet'!$A$88&gt;35,BD105+BC106-BL105,IF(A106&lt;'Données projet'!$A$88,$BA$205^A106,IF(A106='Données projet'!$A$88,'Données projet'!$B$88,BD105+BC106-BL105)))</f>
        <v>298.30000000000018</v>
      </c>
      <c r="BE106" s="14">
        <f>BD106*VLOOKUP('Données projet'!$B$11,Paramètres!$A$1:$I$89,3,0)*VLOOKUP('Données projet'!$B$11,Paramètres!$A$1:$I$89,5,0)</f>
        <v>269.90184000000016</v>
      </c>
      <c r="BF106" s="14">
        <f t="shared" si="91"/>
        <v>64.82843681760346</v>
      </c>
      <c r="BG106" s="22">
        <f t="shared" si="61"/>
        <v>582.98856545732622</v>
      </c>
      <c r="BH106" s="62">
        <f t="shared" si="62"/>
        <v>876.32189879065959</v>
      </c>
      <c r="BI106" s="62">
        <f ca="1">AVERAGE(OFFSET($BH$3,0,0,'Données projet'!$E$11+1,1))-AVERAGE(OFFSET($H$3,0,0,'Données projet'!$E$11+1,1))</f>
        <v>320.80580551060069</v>
      </c>
      <c r="BJ106" s="62">
        <f t="shared" si="92"/>
        <v>225.55225019382294</v>
      </c>
      <c r="BK106" s="16">
        <f>IF(ISNA(VLOOKUP(A106,'Données projet'!$A$87:$I$107,3,0)),0,VLOOKUP(A106,'Données projet'!$A$87:$I$107,3,0))</f>
        <v>8</v>
      </c>
      <c r="BL106" s="16">
        <f>IF(ISNA(VLOOKUP(A106,'Données projet'!$A$87:$I$107,4,0)),0,VLOOKUP(A106,'Données projet'!$A$87:$I$107,4,0))</f>
        <v>50.51</v>
      </c>
      <c r="BM106" s="17">
        <f>IF(ISNA(VLOOKUP(A106,'Données projet'!$A$87:$I$107,5,0)),0%,VLOOKUP(A106,'Données projet'!$A$87:$I$107,5,0)*VLOOKUP('Données projet'!$B$11,Paramètres!$A$1:$I$89,7,0))</f>
        <v>0.215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32.264484534722278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32.264484534722278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254.67898541152096</v>
      </c>
      <c r="CE106" s="62">
        <f t="shared" si="94"/>
        <v>251.52653810702509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70.794206312116131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70.794206312116131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6.3550942286383367E-14</v>
      </c>
      <c r="P107" s="14">
        <f t="shared" si="87"/>
        <v>1.0064464192543978E-12</v>
      </c>
      <c r="Q107" s="22">
        <f t="shared" si="107"/>
        <v>1.8635787380168604E-12</v>
      </c>
      <c r="R107" s="62">
        <f t="shared" si="55"/>
        <v>293.33333333333519</v>
      </c>
      <c r="S107" s="62">
        <f ca="1">AVERAGE(OFFSET($R$3,0,0,'Données projet'!$E$9+1,1))-AVERAGE(OFFSET($H$3,0,0,'Données projet'!$E$9+1,1))</f>
        <v>321.56347025977988</v>
      </c>
      <c r="T107" s="62">
        <f t="shared" si="88"/>
        <v>285.79375360040717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156.26579606725326</v>
      </c>
      <c r="AA107" s="23">
        <f>EXP(-LN(2)/25)*AA106+(1-EXP(-LN(2)/25))/(LN(2)/25)*Calculateur!V107*Calculateur!X107*VLOOKUP('Données projet'!$B$9,Paramètres!$A$1:$I$89,3,0)*0.475*44/12</f>
        <v>17.198469507737389</v>
      </c>
      <c r="AB107" s="23">
        <f>EXP(-LN(2)/2)*AB106+(1-EXP(-LN(2)/2))/(LN(2)/2)*V107*Y107*VLOOKUP('Données projet'!$B$9,Paramètres!$A$1:$I$89,3,0)*0.475*44/12</f>
        <v>1.1755837713373355E-4</v>
      </c>
      <c r="AC107" s="24">
        <f t="shared" si="57"/>
        <v>173.46438313336779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-3.4106051316484809E-13</v>
      </c>
      <c r="AJ107" s="14">
        <f>AI107*VLOOKUP('Données projet'!$B$10,Paramètres!$A$1:$I$89,3,0)*VLOOKUP('Données projet'!$B$10,Paramètres!$A$1:$I$89,5,0)</f>
        <v>-2.1282176021486519E-13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272.2908884671595</v>
      </c>
      <c r="AO107" s="62">
        <f t="shared" si="90"/>
        <v>220.74777226152867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202.09755734507547</v>
      </c>
      <c r="AV107" s="23">
        <f>EXP(-LN(2)/25)*AV106+(1-EXP(-LN(2)/25))/(LN(2)/25)*Calculateur!AQ107*Calculateur!AS107*VLOOKUP('Données projet'!$B$10,Paramètres!$A$1:$I$89,3,0)*0.475*44/12</f>
        <v>21.338032305641153</v>
      </c>
      <c r="AW107" s="23">
        <f>EXP(-LN(2)/2)*AW106+(1-EXP(-LN(2)/2))/(LN(2)/2)*AQ107*AT107*VLOOKUP('Données projet'!$B$10,Paramètres!$A$1:$I$89,3,0)*0.475*44/12</f>
        <v>2.8186700870610455</v>
      </c>
      <c r="AX107" s="23">
        <f t="shared" si="60"/>
        <v>226.25425973777766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6.5199999999999987</v>
      </c>
      <c r="BD107" s="13">
        <f>IF('Données projet'!$A$88&gt;35,BD106+BC107-BL106,IF(A107&lt;'Données projet'!$A$88,$BA$205^A107,IF(A107='Données projet'!$A$88,'Données projet'!$B$88,BD106+BC107-BL106)))</f>
        <v>254.31000000000017</v>
      </c>
      <c r="BE107" s="14">
        <f>BD107*VLOOKUP('Données projet'!$B$11,Paramètres!$A$1:$I$89,3,0)*VLOOKUP('Données projet'!$B$11,Paramètres!$A$1:$I$89,5,0)</f>
        <v>230.09968800000013</v>
      </c>
      <c r="BF107" s="14">
        <f t="shared" si="91"/>
        <v>56.304235863804202</v>
      </c>
      <c r="BG107" s="22">
        <f t="shared" si="61"/>
        <v>498.8201673961259</v>
      </c>
      <c r="BH107" s="62">
        <f t="shared" si="62"/>
        <v>792.15350072945921</v>
      </c>
      <c r="BI107" s="62">
        <f ca="1">AVERAGE(OFFSET($BH$3,0,0,'Données projet'!$E$11+1,1))-AVERAGE(OFFSET($H$3,0,0,'Données projet'!$E$11+1,1))</f>
        <v>320.80580551060069</v>
      </c>
      <c r="BJ107" s="62">
        <f t="shared" si="92"/>
        <v>225.55225019382294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31.63179767238876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31.63179767238876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254.67898541152096</v>
      </c>
      <c r="CE107" s="62">
        <f t="shared" si="94"/>
        <v>251.52653810702509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69.405975106537696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69.405975106537696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6.3550942286383367E-14</v>
      </c>
      <c r="P108" s="14">
        <f t="shared" si="87"/>
        <v>1.0064464192543978E-12</v>
      </c>
      <c r="Q108" s="22">
        <f t="shared" si="107"/>
        <v>1.8635787380168604E-12</v>
      </c>
      <c r="R108" s="62">
        <f t="shared" si="55"/>
        <v>293.33333333333519</v>
      </c>
      <c r="S108" s="62">
        <f ca="1">AVERAGE(OFFSET($R$3,0,0,'Données projet'!$E$9+1,1))-AVERAGE(OFFSET($H$3,0,0,'Données projet'!$E$9+1,1))</f>
        <v>321.56347025977988</v>
      </c>
      <c r="T108" s="62">
        <f t="shared" si="88"/>
        <v>285.79375360040717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153.20151911909869</v>
      </c>
      <c r="AA108" s="23">
        <f>EXP(-LN(2)/25)*AA107+(1-EXP(-LN(2)/25))/(LN(2)/25)*Calculateur!V108*Calculateur!X108*VLOOKUP('Données projet'!$B$9,Paramètres!$A$1:$I$89,3,0)*0.475*44/12</f>
        <v>16.728176454620108</v>
      </c>
      <c r="AB108" s="23">
        <f>EXP(-LN(2)/2)*AB107+(1-EXP(-LN(2)/2))/(LN(2)/2)*V108*Y108*VLOOKUP('Données projet'!$B$9,Paramètres!$A$1:$I$89,3,0)*0.475*44/12</f>
        <v>8.3126325656548565E-5</v>
      </c>
      <c r="AC108" s="24">
        <f t="shared" si="57"/>
        <v>169.92977870004444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-3.4106051316484809E-13</v>
      </c>
      <c r="AJ108" s="14">
        <f>AI108*VLOOKUP('Données projet'!$B$10,Paramètres!$A$1:$I$89,3,0)*VLOOKUP('Données projet'!$B$10,Paramètres!$A$1:$I$89,5,0)</f>
        <v>-2.1282176021486519E-13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272.2908884671595</v>
      </c>
      <c r="AO108" s="62">
        <f t="shared" si="90"/>
        <v>220.74777226152867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198.13454751287688</v>
      </c>
      <c r="AV108" s="23">
        <f>EXP(-LN(2)/25)*AV107+(1-EXP(-LN(2)/25))/(LN(2)/25)*Calculateur!AQ108*Calculateur!AS108*VLOOKUP('Données projet'!$B$10,Paramètres!$A$1:$I$89,3,0)*0.475*44/12</f>
        <v>20.754542690125046</v>
      </c>
      <c r="AW108" s="23">
        <f>EXP(-LN(2)/2)*AW107+(1-EXP(-LN(2)/2))/(LN(2)/2)*AQ108*AT108*VLOOKUP('Données projet'!$B$10,Paramètres!$A$1:$I$89,3,0)*0.475*44/12</f>
        <v>1.9931007324885417</v>
      </c>
      <c r="AX108" s="23">
        <f t="shared" si="60"/>
        <v>220.88219093549046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6.5199999999999987</v>
      </c>
      <c r="BD108" s="13">
        <f>IF('Données projet'!$A$88&gt;35,BD107+BC108-BL107,IF(A108&lt;'Données projet'!$A$88,$BA$205^A108,IF(A108='Données projet'!$A$88,'Données projet'!$B$88,BD107+BC108-BL107)))</f>
        <v>260.83000000000015</v>
      </c>
      <c r="BE108" s="14">
        <f>BD108*VLOOKUP('Données projet'!$B$11,Paramètres!$A$1:$I$89,3,0)*VLOOKUP('Données projet'!$B$11,Paramètres!$A$1:$I$89,5,0)</f>
        <v>235.99898400000012</v>
      </c>
      <c r="BF108" s="14">
        <f t="shared" si="91"/>
        <v>57.577851946511586</v>
      </c>
      <c r="BG108" s="22">
        <f t="shared" si="61"/>
        <v>511.31298927350787</v>
      </c>
      <c r="BH108" s="62">
        <f t="shared" si="62"/>
        <v>804.64632260684118</v>
      </c>
      <c r="BI108" s="62">
        <f ca="1">AVERAGE(OFFSET($BH$3,0,0,'Données projet'!$E$11+1,1))-AVERAGE(OFFSET($H$3,0,0,'Données projet'!$E$11+1,1))</f>
        <v>320.80580551060069</v>
      </c>
      <c r="BJ108" s="62">
        <f t="shared" si="92"/>
        <v>225.55225019382294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31.011517413524722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31.011517413524722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254.67898541152096</v>
      </c>
      <c r="CE108" s="62">
        <f t="shared" si="94"/>
        <v>251.52653810702509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68.044966268163222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68.044966268163222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6.3550942286383367E-14</v>
      </c>
      <c r="P109" s="14">
        <f t="shared" si="87"/>
        <v>1.0064464192543978E-12</v>
      </c>
      <c r="Q109" s="22">
        <f t="shared" si="107"/>
        <v>1.8635787380168604E-12</v>
      </c>
      <c r="R109" s="62">
        <f t="shared" si="55"/>
        <v>293.33333333333519</v>
      </c>
      <c r="S109" s="62">
        <f ca="1">AVERAGE(OFFSET($R$3,0,0,'Données projet'!$E$9+1,1))-AVERAGE(OFFSET($H$3,0,0,'Données projet'!$E$9+1,1))</f>
        <v>321.56347025977988</v>
      </c>
      <c r="T109" s="62">
        <f t="shared" si="88"/>
        <v>285.79375360040717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150.19733077287302</v>
      </c>
      <c r="AA109" s="23">
        <f>EXP(-LN(2)/25)*AA108+(1-EXP(-LN(2)/25))/(LN(2)/25)*Calculateur!V109*Calculateur!X109*VLOOKUP('Données projet'!$B$9,Paramètres!$A$1:$I$89,3,0)*0.475*44/12</f>
        <v>16.270743589771953</v>
      </c>
      <c r="AB109" s="23">
        <f>EXP(-LN(2)/2)*AB108+(1-EXP(-LN(2)/2))/(LN(2)/2)*V109*Y109*VLOOKUP('Données projet'!$B$9,Paramètres!$A$1:$I$89,3,0)*0.475*44/12</f>
        <v>5.877918856686678E-5</v>
      </c>
      <c r="AC109" s="24">
        <f t="shared" si="57"/>
        <v>166.46813314183356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-3.4106051316484809E-13</v>
      </c>
      <c r="AJ109" s="14">
        <f>AI109*VLOOKUP('Données projet'!$B$10,Paramètres!$A$1:$I$89,3,0)*VLOOKUP('Données projet'!$B$10,Paramètres!$A$1:$I$89,5,0)</f>
        <v>-2.1282176021486519E-13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272.2908884671595</v>
      </c>
      <c r="AO109" s="62">
        <f t="shared" si="90"/>
        <v>220.74777226152867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194.24924988629039</v>
      </c>
      <c r="AV109" s="23">
        <f>EXP(-LN(2)/25)*AV108+(1-EXP(-LN(2)/25))/(LN(2)/25)*Calculateur!AQ109*Calculateur!AS109*VLOOKUP('Données projet'!$B$10,Paramètres!$A$1:$I$89,3,0)*0.475*44/12</f>
        <v>20.187008628829613</v>
      </c>
      <c r="AW109" s="23">
        <f>EXP(-LN(2)/2)*AW108+(1-EXP(-LN(2)/2))/(LN(2)/2)*AQ109*AT109*VLOOKUP('Données projet'!$B$10,Paramètres!$A$1:$I$89,3,0)*0.475*44/12</f>
        <v>1.409335043530523</v>
      </c>
      <c r="AX109" s="23">
        <f t="shared" si="60"/>
        <v>215.84559355865051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6.5199999999999987</v>
      </c>
      <c r="BD109" s="13">
        <f>IF('Données projet'!$A$88&gt;35,BD108+BC109-BL108,IF(A109&lt;'Données projet'!$A$88,$BA$205^A109,IF(A109='Données projet'!$A$88,'Données projet'!$B$88,BD108+BC109-BL108)))</f>
        <v>267.35000000000014</v>
      </c>
      <c r="BE109" s="14">
        <f>BD109*VLOOKUP('Données projet'!$B$11,Paramètres!$A$1:$I$89,3,0)*VLOOKUP('Données projet'!$B$11,Paramètres!$A$1:$I$89,5,0)</f>
        <v>241.89828000000011</v>
      </c>
      <c r="BF109" s="14">
        <f t="shared" si="91"/>
        <v>58.847767211474299</v>
      </c>
      <c r="BG109" s="22">
        <f t="shared" si="61"/>
        <v>523.79936555998461</v>
      </c>
      <c r="BH109" s="62">
        <f t="shared" si="62"/>
        <v>817.13269889331787</v>
      </c>
      <c r="BI109" s="62">
        <f ca="1">AVERAGE(OFFSET($BH$3,0,0,'Données projet'!$E$11+1,1))-AVERAGE(OFFSET($H$3,0,0,'Données projet'!$E$11+1,1))</f>
        <v>320.80580551060069</v>
      </c>
      <c r="BJ109" s="62">
        <f t="shared" si="92"/>
        <v>225.55225019382294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30.403400472203408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30.403400472203408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254.67898541152096</v>
      </c>
      <c r="CE109" s="62">
        <f t="shared" si="94"/>
        <v>251.52653810702509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66.710645982975848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66.710645982975848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6.3550942286383367E-14</v>
      </c>
      <c r="P110" s="14">
        <f t="shared" si="87"/>
        <v>1.0064464192543978E-12</v>
      </c>
      <c r="Q110" s="22">
        <f t="shared" si="107"/>
        <v>1.8635787380168604E-12</v>
      </c>
      <c r="R110" s="62">
        <f t="shared" si="55"/>
        <v>293.33333333333519</v>
      </c>
      <c r="S110" s="62">
        <f ca="1">AVERAGE(OFFSET($R$3,0,0,'Données projet'!$E$9+1,1))-AVERAGE(OFFSET($H$3,0,0,'Données projet'!$E$9+1,1))</f>
        <v>321.56347025977988</v>
      </c>
      <c r="T110" s="62">
        <f t="shared" si="88"/>
        <v>285.79375360040717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147.25205272774289</v>
      </c>
      <c r="AA110" s="23">
        <f>EXP(-LN(2)/25)*AA109+(1-EXP(-LN(2)/25))/(LN(2)/25)*Calculateur!V110*Calculateur!X110*VLOOKUP('Données projet'!$B$9,Paramètres!$A$1:$I$89,3,0)*0.475*44/12</f>
        <v>15.825819250668422</v>
      </c>
      <c r="AB110" s="23">
        <f>EXP(-LN(2)/2)*AB109+(1-EXP(-LN(2)/2))/(LN(2)/2)*V110*Y110*VLOOKUP('Données projet'!$B$9,Paramètres!$A$1:$I$89,3,0)*0.475*44/12</f>
        <v>4.1563162828274289E-5</v>
      </c>
      <c r="AC110" s="24">
        <f t="shared" si="57"/>
        <v>163.07791354157413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-3.4106051316484809E-13</v>
      </c>
      <c r="AJ110" s="14">
        <f>AI110*VLOOKUP('Données projet'!$B$10,Paramètres!$A$1:$I$89,3,0)*VLOOKUP('Données projet'!$B$10,Paramètres!$A$1:$I$89,5,0)</f>
        <v>-2.1282176021486519E-13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272.2908884671595</v>
      </c>
      <c r="AO110" s="62">
        <f t="shared" si="90"/>
        <v>220.74777226152867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190.44014057636369</v>
      </c>
      <c r="AV110" s="23">
        <f>EXP(-LN(2)/25)*AV109+(1-EXP(-LN(2)/25))/(LN(2)/25)*Calculateur!AQ110*Calculateur!AS110*VLOOKUP('Données projet'!$B$10,Paramètres!$A$1:$I$89,3,0)*0.475*44/12</f>
        <v>19.634993816285622</v>
      </c>
      <c r="AW110" s="23">
        <f>EXP(-LN(2)/2)*AW109+(1-EXP(-LN(2)/2))/(LN(2)/2)*AQ110*AT110*VLOOKUP('Données projet'!$B$10,Paramètres!$A$1:$I$89,3,0)*0.475*44/12</f>
        <v>0.99655036624427096</v>
      </c>
      <c r="AX110" s="23">
        <f t="shared" si="60"/>
        <v>211.07168475889358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6.5199999999999987</v>
      </c>
      <c r="BD110" s="13">
        <f>IF('Données projet'!$A$88&gt;35,BD109+BC110-BL109,IF(A110&lt;'Données projet'!$A$88,$BA$205^A110,IF(A110='Données projet'!$A$88,'Données projet'!$B$88,BD109+BC110-BL109)))</f>
        <v>273.87000000000012</v>
      </c>
      <c r="BE110" s="14">
        <f>BD110*VLOOKUP('Données projet'!$B$11,Paramètres!$A$1:$I$89,3,0)*VLOOKUP('Données projet'!$B$11,Paramètres!$A$1:$I$89,5,0)</f>
        <v>247.79757600000011</v>
      </c>
      <c r="BF110" s="14">
        <f t="shared" si="91"/>
        <v>60.114082295241111</v>
      </c>
      <c r="BG110" s="22">
        <f t="shared" si="61"/>
        <v>536.27947153087837</v>
      </c>
      <c r="BH110" s="62">
        <f t="shared" si="62"/>
        <v>829.61280486421174</v>
      </c>
      <c r="BI110" s="62">
        <f ca="1">AVERAGE(OFFSET($BH$3,0,0,'Données projet'!$E$11+1,1))-AVERAGE(OFFSET($H$3,0,0,'Données projet'!$E$11+1,1))</f>
        <v>320.80580551060069</v>
      </c>
      <c r="BJ110" s="62">
        <f t="shared" si="92"/>
        <v>225.55225019382294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29.807208333186697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29.807208333186697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254.67898541152096</v>
      </c>
      <c r="CE110" s="62">
        <f t="shared" si="94"/>
        <v>251.52653810702509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65.402490904725994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65.402490904725994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6.3550942286383367E-14</v>
      </c>
      <c r="P111" s="14">
        <f t="shared" si="87"/>
        <v>1.0064464192543978E-12</v>
      </c>
      <c r="Q111" s="22">
        <f t="shared" si="107"/>
        <v>1.8635787380168604E-12</v>
      </c>
      <c r="R111" s="62">
        <f t="shared" si="55"/>
        <v>293.33333333333519</v>
      </c>
      <c r="S111" s="62">
        <f ca="1">AVERAGE(OFFSET($R$3,0,0,'Données projet'!$E$9+1,1))-AVERAGE(OFFSET($H$3,0,0,'Données projet'!$E$9+1,1))</f>
        <v>321.56347025977988</v>
      </c>
      <c r="T111" s="62">
        <f t="shared" si="88"/>
        <v>285.79375360040717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144.36452978863554</v>
      </c>
      <c r="AA111" s="23">
        <f>EXP(-LN(2)/25)*AA110+(1-EXP(-LN(2)/25))/(LN(2)/25)*Calculateur!V111*Calculateur!X111*VLOOKUP('Données projet'!$B$9,Paramètres!$A$1:$I$89,3,0)*0.475*44/12</f>
        <v>15.39306139101523</v>
      </c>
      <c r="AB111" s="23">
        <f>EXP(-LN(2)/2)*AB110+(1-EXP(-LN(2)/2))/(LN(2)/2)*V111*Y111*VLOOKUP('Données projet'!$B$9,Paramètres!$A$1:$I$89,3,0)*0.475*44/12</f>
        <v>2.9389594283433397E-5</v>
      </c>
      <c r="AC111" s="24">
        <f t="shared" si="57"/>
        <v>159.75762056924506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-3.4106051316484809E-13</v>
      </c>
      <c r="AJ111" s="14">
        <f>AI111*VLOOKUP('Données projet'!$B$10,Paramètres!$A$1:$I$89,3,0)*VLOOKUP('Données projet'!$B$10,Paramètres!$A$1:$I$89,5,0)</f>
        <v>-2.1282176021486519E-13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272.2908884671595</v>
      </c>
      <c r="AO111" s="62">
        <f t="shared" si="90"/>
        <v>220.74777226152867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186.70572557667739</v>
      </c>
      <c r="AV111" s="23">
        <f>EXP(-LN(2)/25)*AV110+(1-EXP(-LN(2)/25))/(LN(2)/25)*Calculateur!AQ111*Calculateur!AS111*VLOOKUP('Données projet'!$B$10,Paramètres!$A$1:$I$89,3,0)*0.475*44/12</f>
        <v>19.098073877819843</v>
      </c>
      <c r="AW111" s="23">
        <f>EXP(-LN(2)/2)*AW110+(1-EXP(-LN(2)/2))/(LN(2)/2)*AQ111*AT111*VLOOKUP('Données projet'!$B$10,Paramètres!$A$1:$I$89,3,0)*0.475*44/12</f>
        <v>0.7046675217652616</v>
      </c>
      <c r="AX111" s="23">
        <f t="shared" si="60"/>
        <v>206.5084669762625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6.5199999999999987</v>
      </c>
      <c r="BD111" s="13">
        <f>IF('Données projet'!$A$88&gt;35,BD110+BC111-BL110,IF(A111&lt;'Données projet'!$A$88,$BA$205^A111,IF(A111='Données projet'!$A$88,'Données projet'!$B$88,BD110+BC111-BL110)))</f>
        <v>280.3900000000001</v>
      </c>
      <c r="BE111" s="14">
        <f>BD111*VLOOKUP('Données projet'!$B$11,Paramètres!$A$1:$I$89,3,0)*VLOOKUP('Données projet'!$B$11,Paramètres!$A$1:$I$89,5,0)</f>
        <v>253.69687200000007</v>
      </c>
      <c r="BF111" s="14">
        <f t="shared" si="91"/>
        <v>61.376892769371267</v>
      </c>
      <c r="BG111" s="22">
        <f t="shared" si="61"/>
        <v>548.75347363998844</v>
      </c>
      <c r="BH111" s="62">
        <f t="shared" si="62"/>
        <v>842.0868069733217</v>
      </c>
      <c r="BI111" s="62">
        <f ca="1">AVERAGE(OFFSET($BH$3,0,0,'Données projet'!$E$11+1,1))-AVERAGE(OFFSET($H$3,0,0,'Données projet'!$E$11+1,1))</f>
        <v>320.80580551060069</v>
      </c>
      <c r="BJ111" s="62">
        <f t="shared" si="92"/>
        <v>225.55225019382294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29.222707158374803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29.222707158374803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254.67898541152096</v>
      </c>
      <c r="CE111" s="62">
        <f t="shared" si="94"/>
        <v>251.52653810702509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64.119987949664804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64.119987949664804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6.3550942286383367E-14</v>
      </c>
      <c r="P112" s="14">
        <f t="shared" si="87"/>
        <v>1.0064464192543978E-12</v>
      </c>
      <c r="Q112" s="22">
        <f t="shared" si="107"/>
        <v>1.8635787380168604E-12</v>
      </c>
      <c r="R112" s="62">
        <f t="shared" si="55"/>
        <v>293.33333333333519</v>
      </c>
      <c r="S112" s="62">
        <f ca="1">AVERAGE(OFFSET($R$3,0,0,'Données projet'!$E$9+1,1))-AVERAGE(OFFSET($H$3,0,0,'Données projet'!$E$9+1,1))</f>
        <v>321.56347025977988</v>
      </c>
      <c r="T112" s="62">
        <f t="shared" si="88"/>
        <v>285.79375360040717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141.53362941314899</v>
      </c>
      <c r="AA112" s="23">
        <f>EXP(-LN(2)/25)*AA111+(1-EXP(-LN(2)/25))/(LN(2)/25)*Calculateur!V112*Calculateur!X112*VLOOKUP('Données projet'!$B$9,Paramètres!$A$1:$I$89,3,0)*0.475*44/12</f>
        <v>14.972137317792001</v>
      </c>
      <c r="AB112" s="23">
        <f>EXP(-LN(2)/2)*AB111+(1-EXP(-LN(2)/2))/(LN(2)/2)*V112*Y112*VLOOKUP('Données projet'!$B$9,Paramètres!$A$1:$I$89,3,0)*0.475*44/12</f>
        <v>2.0781581414137148E-5</v>
      </c>
      <c r="AC112" s="24">
        <f t="shared" si="57"/>
        <v>156.5057875125224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-3.4106051316484809E-13</v>
      </c>
      <c r="AJ112" s="14">
        <f>AI112*VLOOKUP('Données projet'!$B$10,Paramètres!$A$1:$I$89,3,0)*VLOOKUP('Données projet'!$B$10,Paramètres!$A$1:$I$89,5,0)</f>
        <v>-2.1282176021486519E-13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272.2908884671595</v>
      </c>
      <c r="AO112" s="62">
        <f t="shared" si="90"/>
        <v>220.74777226152867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183.04454017736671</v>
      </c>
      <c r="AV112" s="23">
        <f>EXP(-LN(2)/25)*AV111+(1-EXP(-LN(2)/25))/(LN(2)/25)*Calculateur!AQ112*Calculateur!AS112*VLOOKUP('Données projet'!$B$10,Paramètres!$A$1:$I$89,3,0)*0.475*44/12</f>
        <v>18.575836043306804</v>
      </c>
      <c r="AW112" s="23">
        <f>EXP(-LN(2)/2)*AW111+(1-EXP(-LN(2)/2))/(LN(2)/2)*AQ112*AT112*VLOOKUP('Données projet'!$B$10,Paramètres!$A$1:$I$89,3,0)*0.475*44/12</f>
        <v>0.49827518312213559</v>
      </c>
      <c r="AX112" s="23">
        <f t="shared" si="60"/>
        <v>202.11865140379564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6.5199999999999987</v>
      </c>
      <c r="BD112" s="13">
        <f>IF('Données projet'!$A$88&gt;35,BD111+BC112-BL111,IF(A112&lt;'Données projet'!$A$88,$BA$205^A112,IF(A112='Données projet'!$A$88,'Données projet'!$B$88,BD111+BC112-BL111)))</f>
        <v>286.91000000000008</v>
      </c>
      <c r="BE112" s="14">
        <f>BD112*VLOOKUP('Données projet'!$B$11,Paramètres!$A$1:$I$89,3,0)*VLOOKUP('Données projet'!$B$11,Paramètres!$A$1:$I$89,5,0)</f>
        <v>259.59616800000009</v>
      </c>
      <c r="BF112" s="14">
        <f t="shared" si="91"/>
        <v>62.636289507113787</v>
      </c>
      <c r="BG112" s="22">
        <f t="shared" si="61"/>
        <v>561.22153015822335</v>
      </c>
      <c r="BH112" s="62">
        <f t="shared" si="62"/>
        <v>854.55486349155672</v>
      </c>
      <c r="BI112" s="62">
        <f ca="1">AVERAGE(OFFSET($BH$3,0,0,'Données projet'!$E$11+1,1))-AVERAGE(OFFSET($H$3,0,0,'Données projet'!$E$11+1,1))</f>
        <v>320.80580551060069</v>
      </c>
      <c r="BJ112" s="62">
        <f t="shared" si="92"/>
        <v>225.55225019382294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28.649667695090457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28.649667695090457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254.67898541152096</v>
      </c>
      <c r="CE112" s="62">
        <f t="shared" si="94"/>
        <v>251.52653810702509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62.862634095302802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62.862634095302802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6.3550942286383367E-14</v>
      </c>
      <c r="P113" s="14">
        <f t="shared" si="87"/>
        <v>1.0064464192543978E-12</v>
      </c>
      <c r="Q113" s="22">
        <f t="shared" si="107"/>
        <v>1.8635787380168604E-12</v>
      </c>
      <c r="R113" s="62">
        <f t="shared" si="55"/>
        <v>293.33333333333519</v>
      </c>
      <c r="S113" s="62">
        <f ca="1">AVERAGE(OFFSET($R$3,0,0,'Données projet'!$E$9+1,1))-AVERAGE(OFFSET($H$3,0,0,'Données projet'!$E$9+1,1))</f>
        <v>321.56347025977988</v>
      </c>
      <c r="T113" s="62">
        <f t="shared" si="88"/>
        <v>285.79375360040717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138.75824126734699</v>
      </c>
      <c r="AA113" s="23">
        <f>EXP(-LN(2)/25)*AA112+(1-EXP(-LN(2)/25))/(LN(2)/25)*Calculateur!V113*Calculateur!X113*VLOOKUP('Données projet'!$B$9,Paramètres!$A$1:$I$89,3,0)*0.475*44/12</f>
        <v>14.562723435486497</v>
      </c>
      <c r="AB113" s="23">
        <f>EXP(-LN(2)/2)*AB112+(1-EXP(-LN(2)/2))/(LN(2)/2)*V113*Y113*VLOOKUP('Données projet'!$B$9,Paramètres!$A$1:$I$89,3,0)*0.475*44/12</f>
        <v>1.46947971417167E-5</v>
      </c>
      <c r="AC113" s="24">
        <f t="shared" si="57"/>
        <v>153.32097939763062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-3.4106051316484809E-13</v>
      </c>
      <c r="AJ113" s="14">
        <f>AI113*VLOOKUP('Données projet'!$B$10,Paramètres!$A$1:$I$89,3,0)*VLOOKUP('Données projet'!$B$10,Paramètres!$A$1:$I$89,5,0)</f>
        <v>-2.1282176021486519E-13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272.2908884671595</v>
      </c>
      <c r="AO113" s="62">
        <f t="shared" si="90"/>
        <v>220.74777226152867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179.45514839063392</v>
      </c>
      <c r="AV113" s="23">
        <f>EXP(-LN(2)/25)*AV112+(1-EXP(-LN(2)/25))/(LN(2)/25)*Calculateur!AQ113*Calculateur!AS113*VLOOKUP('Données projet'!$B$10,Paramètres!$A$1:$I$89,3,0)*0.475*44/12</f>
        <v>18.067878829841817</v>
      </c>
      <c r="AW113" s="23">
        <f>EXP(-LN(2)/2)*AW112+(1-EXP(-LN(2)/2))/(LN(2)/2)*AQ113*AT113*VLOOKUP('Données projet'!$B$10,Paramètres!$A$1:$I$89,3,0)*0.475*44/12</f>
        <v>0.35233376088263085</v>
      </c>
      <c r="AX113" s="23">
        <f t="shared" si="60"/>
        <v>197.87536098135837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6.5199999999999987</v>
      </c>
      <c r="BD113" s="13">
        <f>IF('Données projet'!$A$88&gt;35,BD112+BC113-BL112,IF(A113&lt;'Données projet'!$A$88,$BA$205^A113,IF(A113='Données projet'!$A$88,'Données projet'!$B$88,BD112+BC113-BL112)))</f>
        <v>293.43000000000006</v>
      </c>
      <c r="BE113" s="14">
        <f>BD113*VLOOKUP('Données projet'!$B$11,Paramètres!$A$1:$I$89,3,0)*VLOOKUP('Données projet'!$B$11,Paramètres!$A$1:$I$89,5,0)</f>
        <v>265.49546400000008</v>
      </c>
      <c r="BF113" s="14">
        <f t="shared" si="91"/>
        <v>63.892359015816595</v>
      </c>
      <c r="BG113" s="22">
        <f t="shared" si="61"/>
        <v>573.68379175254745</v>
      </c>
      <c r="BH113" s="62">
        <f t="shared" si="62"/>
        <v>867.01712508588071</v>
      </c>
      <c r="BI113" s="62">
        <f ca="1">AVERAGE(OFFSET($BH$3,0,0,'Données projet'!$E$11+1,1))-AVERAGE(OFFSET($H$3,0,0,'Données projet'!$E$11+1,1))</f>
        <v>320.80580551060069</v>
      </c>
      <c r="BJ113" s="62">
        <f t="shared" si="92"/>
        <v>225.55225019382294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28.087865186161558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28.087865186161558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254.67898541152096</v>
      </c>
      <c r="CE113" s="62">
        <f t="shared" si="94"/>
        <v>251.52653810702509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61.629936183114715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61.629936183114715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6.3550942286383367E-14</v>
      </c>
      <c r="P114" s="14">
        <f t="shared" si="87"/>
        <v>1.0064464192543978E-12</v>
      </c>
      <c r="Q114" s="22">
        <f t="shared" si="107"/>
        <v>1.8635787380168604E-12</v>
      </c>
      <c r="R114" s="62">
        <f t="shared" si="55"/>
        <v>293.33333333333519</v>
      </c>
      <c r="S114" s="62">
        <f ca="1">AVERAGE(OFFSET($R$3,0,0,'Données projet'!$E$9+1,1))-AVERAGE(OFFSET($H$3,0,0,'Données projet'!$E$9+1,1))</f>
        <v>321.56347025977988</v>
      </c>
      <c r="T114" s="62">
        <f t="shared" si="88"/>
        <v>285.79375360040717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136.03727679026457</v>
      </c>
      <c r="AA114" s="23">
        <f>EXP(-LN(2)/25)*AA113+(1-EXP(-LN(2)/25))/(LN(2)/25)*Calculateur!V114*Calculateur!X114*VLOOKUP('Données projet'!$B$9,Paramètres!$A$1:$I$89,3,0)*0.475*44/12</f>
        <v>14.164504997322776</v>
      </c>
      <c r="AB114" s="23">
        <f>EXP(-LN(2)/2)*AB113+(1-EXP(-LN(2)/2))/(LN(2)/2)*V114*Y114*VLOOKUP('Données projet'!$B$9,Paramètres!$A$1:$I$89,3,0)*0.475*44/12</f>
        <v>1.0390790707068576E-5</v>
      </c>
      <c r="AC114" s="24">
        <f t="shared" si="57"/>
        <v>150.20179217837807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-3.4106051316484809E-13</v>
      </c>
      <c r="AJ114" s="14">
        <f>AI114*VLOOKUP('Données projet'!$B$10,Paramètres!$A$1:$I$89,3,0)*VLOOKUP('Données projet'!$B$10,Paramètres!$A$1:$I$89,5,0)</f>
        <v>-2.1282176021486519E-13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272.2908884671595</v>
      </c>
      <c r="AO114" s="62">
        <f t="shared" si="90"/>
        <v>220.74777226152867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175.93614238752613</v>
      </c>
      <c r="AV114" s="23">
        <f>EXP(-LN(2)/25)*AV113+(1-EXP(-LN(2)/25))/(LN(2)/25)*Calculateur!AQ114*Calculateur!AS114*VLOOKUP('Données projet'!$B$10,Paramètres!$A$1:$I$89,3,0)*0.475*44/12</f>
        <v>17.57381173309134</v>
      </c>
      <c r="AW114" s="23">
        <f>EXP(-LN(2)/2)*AW113+(1-EXP(-LN(2)/2))/(LN(2)/2)*AQ114*AT114*VLOOKUP('Données projet'!$B$10,Paramètres!$A$1:$I$89,3,0)*0.475*44/12</f>
        <v>0.24913759156106782</v>
      </c>
      <c r="AX114" s="23">
        <f t="shared" si="60"/>
        <v>193.75909171217853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6.5199999999999987</v>
      </c>
      <c r="BD114" s="13">
        <f>IF('Données projet'!$A$88&gt;35,BD113+BC114-BL113,IF(A114&lt;'Données projet'!$A$88,$BA$205^A114,IF(A114='Données projet'!$A$88,'Données projet'!$B$88,BD113+BC114-BL113)))</f>
        <v>299.95000000000005</v>
      </c>
      <c r="BE114" s="14">
        <f>BD114*VLOOKUP('Données projet'!$B$11,Paramètres!$A$1:$I$89,3,0)*VLOOKUP('Données projet'!$B$11,Paramètres!$A$1:$I$89,5,0)</f>
        <v>271.39476000000002</v>
      </c>
      <c r="BF114" s="14">
        <f t="shared" si="91"/>
        <v>65.145183738957968</v>
      </c>
      <c r="BG114" s="22">
        <f t="shared" si="61"/>
        <v>586.1404020120184</v>
      </c>
      <c r="BH114" s="62">
        <f t="shared" si="62"/>
        <v>879.47373534535177</v>
      </c>
      <c r="BI114" s="62">
        <f ca="1">AVERAGE(OFFSET($BH$3,0,0,'Données projet'!$E$11+1,1))-AVERAGE(OFFSET($H$3,0,0,'Données projet'!$E$11+1,1))</f>
        <v>320.80580551060069</v>
      </c>
      <c r="BJ114" s="62">
        <f t="shared" si="92"/>
        <v>225.55225019382294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27.53707928176706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27.53707928176706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254.67898541152096</v>
      </c>
      <c r="CE114" s="62">
        <f t="shared" si="94"/>
        <v>251.52653810702509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60.421410725113148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60.421410725113148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6.3550942286383367E-14</v>
      </c>
      <c r="P115" s="14">
        <f t="shared" si="87"/>
        <v>1.0064464192543978E-12</v>
      </c>
      <c r="Q115" s="22">
        <f t="shared" si="107"/>
        <v>1.8635787380168604E-12</v>
      </c>
      <c r="R115" s="62">
        <f t="shared" si="55"/>
        <v>293.33333333333519</v>
      </c>
      <c r="S115" s="62">
        <f ca="1">AVERAGE(OFFSET($R$3,0,0,'Données projet'!$E$9+1,1))-AVERAGE(OFFSET($H$3,0,0,'Données projet'!$E$9+1,1))</f>
        <v>321.56347025977988</v>
      </c>
      <c r="T115" s="62">
        <f t="shared" si="88"/>
        <v>285.79375360040717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133.36966876695328</v>
      </c>
      <c r="AA115" s="23">
        <f>EXP(-LN(2)/25)*AA114+(1-EXP(-LN(2)/25))/(LN(2)/25)*Calculateur!V115*Calculateur!X115*VLOOKUP('Données projet'!$B$9,Paramètres!$A$1:$I$89,3,0)*0.475*44/12</f>
        <v>13.77717586329204</v>
      </c>
      <c r="AB115" s="23">
        <f>EXP(-LN(2)/2)*AB114+(1-EXP(-LN(2)/2))/(LN(2)/2)*V115*Y115*VLOOKUP('Données projet'!$B$9,Paramètres!$A$1:$I$89,3,0)*0.475*44/12</f>
        <v>7.3473985708583517E-6</v>
      </c>
      <c r="AC115" s="24">
        <f t="shared" si="57"/>
        <v>147.14685197764388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-3.4106051316484809E-13</v>
      </c>
      <c r="AJ115" s="14">
        <f>AI115*VLOOKUP('Données projet'!$B$10,Paramètres!$A$1:$I$89,3,0)*VLOOKUP('Données projet'!$B$10,Paramètres!$A$1:$I$89,5,0)</f>
        <v>-2.1282176021486519E-13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272.2908884671595</v>
      </c>
      <c r="AO115" s="62">
        <f t="shared" si="90"/>
        <v>220.74777226152867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172.48614194575757</v>
      </c>
      <c r="AV115" s="23">
        <f>EXP(-LN(2)/25)*AV114+(1-EXP(-LN(2)/25))/(LN(2)/25)*Calculateur!AQ115*Calculateur!AS115*VLOOKUP('Données projet'!$B$10,Paramètres!$A$1:$I$89,3,0)*0.475*44/12</f>
        <v>17.093254927083365</v>
      </c>
      <c r="AW115" s="23">
        <f>EXP(-LN(2)/2)*AW114+(1-EXP(-LN(2)/2))/(LN(2)/2)*AQ115*AT115*VLOOKUP('Données projet'!$B$10,Paramètres!$A$1:$I$89,3,0)*0.475*44/12</f>
        <v>0.17616688044131545</v>
      </c>
      <c r="AX115" s="23">
        <f t="shared" si="60"/>
        <v>189.75556375328225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6.5199999999999987</v>
      </c>
      <c r="BD115" s="13">
        <f>IF('Données projet'!$A$88&gt;35,BD114+BC115-BL114,IF(A115&lt;'Données projet'!$A$88,$BA$205^A115,IF(A115='Données projet'!$A$88,'Données projet'!$B$88,BD114+BC115-BL114)))</f>
        <v>306.47000000000003</v>
      </c>
      <c r="BE115" s="14">
        <f>BD115*VLOOKUP('Données projet'!$B$11,Paramètres!$A$1:$I$89,3,0)*VLOOKUP('Données projet'!$B$11,Paramètres!$A$1:$I$89,5,0)</f>
        <v>277.29405600000001</v>
      </c>
      <c r="BF115" s="14">
        <f t="shared" si="91"/>
        <v>66.394842331176392</v>
      </c>
      <c r="BG115" s="22">
        <f t="shared" si="61"/>
        <v>598.59149792679887</v>
      </c>
      <c r="BH115" s="62">
        <f t="shared" si="62"/>
        <v>891.92483126013212</v>
      </c>
      <c r="BI115" s="62">
        <f ca="1">AVERAGE(OFFSET($BH$3,0,0,'Données projet'!$E$11+1,1))-AVERAGE(OFFSET($H$3,0,0,'Données projet'!$E$11+1,1))</f>
        <v>320.80580551060069</v>
      </c>
      <c r="BJ115" s="62">
        <f t="shared" si="92"/>
        <v>225.55225019382294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26.997093953011507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26.997093953011507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254.67898541152096</v>
      </c>
      <c r="CE115" s="62">
        <f t="shared" si="94"/>
        <v>251.52653810702509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59.23658371421525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59.23658371421525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6.3550942286383367E-14</v>
      </c>
      <c r="P116" s="14">
        <f t="shared" si="87"/>
        <v>1.0064464192543978E-12</v>
      </c>
      <c r="Q116" s="22">
        <f t="shared" si="107"/>
        <v>1.8635787380168604E-12</v>
      </c>
      <c r="R116" s="62">
        <f t="shared" si="55"/>
        <v>293.33333333333519</v>
      </c>
      <c r="S116" s="62">
        <f ca="1">AVERAGE(OFFSET($R$3,0,0,'Données projet'!$E$9+1,1))-AVERAGE(OFFSET($H$3,0,0,'Données projet'!$E$9+1,1))</f>
        <v>321.56347025977988</v>
      </c>
      <c r="T116" s="62">
        <f t="shared" si="88"/>
        <v>285.79375360040717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130.75437090989888</v>
      </c>
      <c r="AA116" s="23">
        <f>EXP(-LN(2)/25)*AA115+(1-EXP(-LN(2)/25))/(LN(2)/25)*Calculateur!V116*Calculateur!X116*VLOOKUP('Données projet'!$B$9,Paramètres!$A$1:$I$89,3,0)*0.475*44/12</f>
        <v>13.40043826480013</v>
      </c>
      <c r="AB116" s="23">
        <f>EXP(-LN(2)/2)*AB115+(1-EXP(-LN(2)/2))/(LN(2)/2)*V116*Y116*VLOOKUP('Données projet'!$B$9,Paramètres!$A$1:$I$89,3,0)*0.475*44/12</f>
        <v>5.1953953535342887E-6</v>
      </c>
      <c r="AC116" s="24">
        <f t="shared" si="57"/>
        <v>144.15481437009436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-3.4106051316484809E-13</v>
      </c>
      <c r="AJ116" s="14">
        <f>AI116*VLOOKUP('Données projet'!$B$10,Paramètres!$A$1:$I$89,3,0)*VLOOKUP('Données projet'!$B$10,Paramètres!$A$1:$I$89,5,0)</f>
        <v>-2.1282176021486519E-13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272.2908884671595</v>
      </c>
      <c r="AO116" s="62">
        <f t="shared" si="90"/>
        <v>220.74777226152867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169.10379390835959</v>
      </c>
      <c r="AV116" s="23">
        <f>EXP(-LN(2)/25)*AV115+(1-EXP(-LN(2)/25))/(LN(2)/25)*Calculateur!AQ116*Calculateur!AS116*VLOOKUP('Données projet'!$B$10,Paramètres!$A$1:$I$89,3,0)*0.475*44/12</f>
        <v>16.62583897220706</v>
      </c>
      <c r="AW116" s="23">
        <f>EXP(-LN(2)/2)*AW115+(1-EXP(-LN(2)/2))/(LN(2)/2)*AQ116*AT116*VLOOKUP('Données projet'!$B$10,Paramètres!$A$1:$I$89,3,0)*0.475*44/12</f>
        <v>0.12456879578053394</v>
      </c>
      <c r="AX116" s="23">
        <f t="shared" si="60"/>
        <v>185.85420167634717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>
        <f>VLOOKUP(A116,'Données projet'!$A$87:$I$107,2,0)</f>
        <v>312.99</v>
      </c>
      <c r="BB116" s="13">
        <f>VLOOKUP(A116,'Données projet'!$A$87:$I$107,9,0)</f>
        <v>6.5199999999999987</v>
      </c>
      <c r="BC116" s="13">
        <f t="array" ref="BC116">INDEX(BB:BB,MIN(IF(ISNUMBER(BB116:BB312),ROW(BB116:BB312),"")))</f>
        <v>6.5199999999999987</v>
      </c>
      <c r="BD116" s="13">
        <f>IF('Données projet'!$A$88&gt;35,BD115+BC116-BL115,IF(A116&lt;'Données projet'!$A$88,$BA$205^A116,IF(A116='Données projet'!$A$88,'Données projet'!$B$88,BD115+BC116-BL115)))</f>
        <v>312.99</v>
      </c>
      <c r="BE116" s="14">
        <f>BD116*VLOOKUP('Données projet'!$B$11,Paramètres!$A$1:$I$89,3,0)*VLOOKUP('Données projet'!$B$11,Paramètres!$A$1:$I$89,5,0)</f>
        <v>283.193352</v>
      </c>
      <c r="BF116" s="14">
        <f t="shared" si="91"/>
        <v>67.641409909234866</v>
      </c>
      <c r="BG116" s="22">
        <f t="shared" si="61"/>
        <v>611.03721032525073</v>
      </c>
      <c r="BH116" s="62">
        <f t="shared" si="62"/>
        <v>904.37054365858398</v>
      </c>
      <c r="BI116" s="62">
        <f ca="1">AVERAGE(OFFSET($BH$3,0,0,'Données projet'!$E$11+1,1))-AVERAGE(OFFSET($H$3,0,0,'Données projet'!$E$11+1,1))</f>
        <v>320.80580551060069</v>
      </c>
      <c r="BJ116" s="62">
        <f t="shared" si="92"/>
        <v>225.55225019382294</v>
      </c>
      <c r="BK116" s="16">
        <f>IF(ISNA(VLOOKUP(A116,'Données projet'!$A$87:$I$107,3,0)),0,VLOOKUP(A116,'Données projet'!$A$87:$I$107,3,0))</f>
        <v>9</v>
      </c>
      <c r="BL116" s="16">
        <f>IF(ISNA(VLOOKUP(A116,'Données projet'!$A$87:$I$107,4,0)),0,VLOOKUP(A116,'Données projet'!$A$87:$I$107,4,0))</f>
        <v>40.479999999999997</v>
      </c>
      <c r="BM116" s="17">
        <f>IF(ISNA(VLOOKUP(A116,'Données projet'!$A$87:$I$107,5,0)),0%,VLOOKUP(A116,'Données projet'!$A$87:$I$107,5,0)*VLOOKUP('Données projet'!$B$11,Paramètres!$A$1:$I$89,7,0))</f>
        <v>0.215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35.172895656704704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35.172895656704704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254.67898541152096</v>
      </c>
      <c r="CE116" s="62">
        <f t="shared" si="94"/>
        <v>251.52653810702509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58.074990438327937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58.074990438327937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6.3550942286383367E-14</v>
      </c>
      <c r="P117" s="14">
        <f t="shared" si="87"/>
        <v>1.0064464192543978E-12</v>
      </c>
      <c r="Q117" s="22">
        <f t="shared" si="107"/>
        <v>1.8635787380168604E-12</v>
      </c>
      <c r="R117" s="62">
        <f t="shared" si="55"/>
        <v>293.33333333333519</v>
      </c>
      <c r="S117" s="62">
        <f ca="1">AVERAGE(OFFSET($R$3,0,0,'Données projet'!$E$9+1,1))-AVERAGE(OFFSET($H$3,0,0,'Données projet'!$E$9+1,1))</f>
        <v>321.56347025977988</v>
      </c>
      <c r="T117" s="62">
        <f t="shared" si="88"/>
        <v>285.79375360040717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128.19035744864715</v>
      </c>
      <c r="AA117" s="23">
        <f>EXP(-LN(2)/25)*AA116+(1-EXP(-LN(2)/25))/(LN(2)/25)*Calculateur!V117*Calculateur!X117*VLOOKUP('Données projet'!$B$9,Paramètres!$A$1:$I$89,3,0)*0.475*44/12</f>
        <v>13.034002575750749</v>
      </c>
      <c r="AB117" s="23">
        <f>EXP(-LN(2)/2)*AB116+(1-EXP(-LN(2)/2))/(LN(2)/2)*V117*Y117*VLOOKUP('Données projet'!$B$9,Paramètres!$A$1:$I$89,3,0)*0.475*44/12</f>
        <v>3.6736992854291763E-6</v>
      </c>
      <c r="AC117" s="24">
        <f t="shared" si="57"/>
        <v>141.22436369809719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-3.4106051316484809E-13</v>
      </c>
      <c r="AJ117" s="14">
        <f>AI117*VLOOKUP('Données projet'!$B$10,Paramètres!$A$1:$I$89,3,0)*VLOOKUP('Données projet'!$B$10,Paramètres!$A$1:$I$89,5,0)</f>
        <v>-2.1282176021486519E-13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272.2908884671595</v>
      </c>
      <c r="AO117" s="62">
        <f t="shared" si="90"/>
        <v>220.74777226152867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165.78777165294642</v>
      </c>
      <c r="AV117" s="23">
        <f>EXP(-LN(2)/25)*AV116+(1-EXP(-LN(2)/25))/(LN(2)/25)*Calculateur!AQ117*Calculateur!AS117*VLOOKUP('Données projet'!$B$10,Paramètres!$A$1:$I$89,3,0)*0.475*44/12</f>
        <v>16.171204531197183</v>
      </c>
      <c r="AW117" s="23">
        <f>EXP(-LN(2)/2)*AW116+(1-EXP(-LN(2)/2))/(LN(2)/2)*AQ117*AT117*VLOOKUP('Données projet'!$B$10,Paramètres!$A$1:$I$89,3,0)*0.475*44/12</f>
        <v>8.8083440220657741E-2</v>
      </c>
      <c r="AX117" s="23">
        <f t="shared" si="60"/>
        <v>182.04705962436427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6.7941666666666691</v>
      </c>
      <c r="BD117" s="13">
        <f>IF('Données projet'!$A$88&gt;35,BD116+BC117-BL116,IF(A117&lt;'Données projet'!$A$88,$BA$205^A117,IF(A117='Données projet'!$A$88,'Données projet'!$B$88,BD116+BC117-BL116)))</f>
        <v>279.30416666666667</v>
      </c>
      <c r="BE117" s="14">
        <f>BD117*VLOOKUP('Données projet'!$B$11,Paramètres!$A$1:$I$89,3,0)*VLOOKUP('Données projet'!$B$11,Paramètres!$A$1:$I$89,5,0)</f>
        <v>252.71440999999999</v>
      </c>
      <c r="BF117" s="14">
        <f t="shared" si="91"/>
        <v>61.166825075391685</v>
      </c>
      <c r="BG117" s="22">
        <f t="shared" si="61"/>
        <v>546.67648442297389</v>
      </c>
      <c r="BH117" s="62">
        <f t="shared" si="62"/>
        <v>840.00981775630726</v>
      </c>
      <c r="BI117" s="62">
        <f ca="1">AVERAGE(OFFSET($BH$3,0,0,'Données projet'!$E$11+1,1))-AVERAGE(OFFSET($H$3,0,0,'Données projet'!$E$11+1,1))</f>
        <v>320.80580551060069</v>
      </c>
      <c r="BJ117" s="62">
        <f t="shared" si="92"/>
        <v>225.55225019382294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34.483176626224733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34.483176626224733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254.67898541152096</v>
      </c>
      <c r="CE117" s="62">
        <f t="shared" si="94"/>
        <v>251.52653810702509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56.936175298078837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56.936175298078837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6.3550942286383367E-14</v>
      </c>
      <c r="P118" s="14">
        <f t="shared" si="87"/>
        <v>1.0064464192543978E-12</v>
      </c>
      <c r="Q118" s="22">
        <f t="shared" si="107"/>
        <v>1.8635787380168604E-12</v>
      </c>
      <c r="R118" s="62">
        <f t="shared" si="55"/>
        <v>293.33333333333519</v>
      </c>
      <c r="S118" s="62">
        <f ca="1">AVERAGE(OFFSET($R$3,0,0,'Données projet'!$E$9+1,1))-AVERAGE(OFFSET($H$3,0,0,'Données projet'!$E$9+1,1))</f>
        <v>321.56347025977988</v>
      </c>
      <c r="T118" s="62">
        <f t="shared" si="88"/>
        <v>285.79375360040717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125.67662272747675</v>
      </c>
      <c r="AA118" s="23">
        <f>EXP(-LN(2)/25)*AA117+(1-EXP(-LN(2)/25))/(LN(2)/25)*Calculateur!V118*Calculateur!X118*VLOOKUP('Données projet'!$B$9,Paramètres!$A$1:$I$89,3,0)*0.475*44/12</f>
        <v>12.677587089888439</v>
      </c>
      <c r="AB118" s="23">
        <f>EXP(-LN(2)/2)*AB117+(1-EXP(-LN(2)/2))/(LN(2)/2)*V118*Y118*VLOOKUP('Données projet'!$B$9,Paramètres!$A$1:$I$89,3,0)*0.475*44/12</f>
        <v>2.5976976767671448E-6</v>
      </c>
      <c r="AC118" s="24">
        <f t="shared" si="57"/>
        <v>138.35421241506288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-3.4106051316484809E-13</v>
      </c>
      <c r="AJ118" s="14">
        <f>AI118*VLOOKUP('Données projet'!$B$10,Paramètres!$A$1:$I$89,3,0)*VLOOKUP('Données projet'!$B$10,Paramètres!$A$1:$I$89,5,0)</f>
        <v>-2.1282176021486519E-13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272.2908884671595</v>
      </c>
      <c r="AO118" s="62">
        <f t="shared" si="90"/>
        <v>220.74777226152867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162.53677457138801</v>
      </c>
      <c r="AV118" s="23">
        <f>EXP(-LN(2)/25)*AV117+(1-EXP(-LN(2)/25))/(LN(2)/25)*Calculateur!AQ118*Calculateur!AS118*VLOOKUP('Données projet'!$B$10,Paramètres!$A$1:$I$89,3,0)*0.475*44/12</f>
        <v>15.72900209288491</v>
      </c>
      <c r="AW118" s="23">
        <f>EXP(-LN(2)/2)*AW117+(1-EXP(-LN(2)/2))/(LN(2)/2)*AQ118*AT118*VLOOKUP('Données projet'!$B$10,Paramètres!$A$1:$I$89,3,0)*0.475*44/12</f>
        <v>6.2284397890266976E-2</v>
      </c>
      <c r="AX118" s="23">
        <f t="shared" si="60"/>
        <v>178.32806106216319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6.7941666666666691</v>
      </c>
      <c r="BD118" s="13">
        <f>IF('Données projet'!$A$88&gt;35,BD117+BC118-BL117,IF(A118&lt;'Données projet'!$A$88,$BA$205^A118,IF(A118='Données projet'!$A$88,'Données projet'!$B$88,BD117+BC118-BL117)))</f>
        <v>286.09833333333336</v>
      </c>
      <c r="BE118" s="14">
        <f>BD118*VLOOKUP('Données projet'!$B$11,Paramètres!$A$1:$I$89,3,0)*VLOOKUP('Données projet'!$B$11,Paramètres!$A$1:$I$89,5,0)</f>
        <v>258.86177200000003</v>
      </c>
      <c r="BF118" s="14">
        <f t="shared" si="91"/>
        <v>62.479691824726856</v>
      </c>
      <c r="BG118" s="22">
        <f t="shared" si="61"/>
        <v>559.66971616139926</v>
      </c>
      <c r="BH118" s="62">
        <f t="shared" si="62"/>
        <v>853.00304949473252</v>
      </c>
      <c r="BI118" s="62">
        <f ca="1">AVERAGE(OFFSET($BH$3,0,0,'Données projet'!$E$11+1,1))-AVERAGE(OFFSET($H$3,0,0,'Données projet'!$E$11+1,1))</f>
        <v>320.80580551060069</v>
      </c>
      <c r="BJ118" s="62">
        <f t="shared" si="92"/>
        <v>225.55225019382294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33.806982565245406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33.806982565245406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254.67898541152096</v>
      </c>
      <c r="CE118" s="62">
        <f t="shared" si="94"/>
        <v>251.52653810702509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55.819691628121376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55.819691628121376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6.3550942286383367E-14</v>
      </c>
      <c r="P119" s="14">
        <f t="shared" si="87"/>
        <v>1.0064464192543978E-12</v>
      </c>
      <c r="Q119" s="22">
        <f t="shared" si="107"/>
        <v>1.8635787380168604E-12</v>
      </c>
      <c r="R119" s="62">
        <f t="shared" si="55"/>
        <v>293.33333333333519</v>
      </c>
      <c r="S119" s="62">
        <f ca="1">AVERAGE(OFFSET($R$3,0,0,'Données projet'!$E$9+1,1))-AVERAGE(OFFSET($H$3,0,0,'Données projet'!$E$9+1,1))</f>
        <v>321.56347025977988</v>
      </c>
      <c r="T119" s="62">
        <f t="shared" si="88"/>
        <v>285.79375360040717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123.21218081096173</v>
      </c>
      <c r="AA119" s="23">
        <f>EXP(-LN(2)/25)*AA118+(1-EXP(-LN(2)/25))/(LN(2)/25)*Calculateur!V119*Calculateur!X119*VLOOKUP('Données projet'!$B$9,Paramètres!$A$1:$I$89,3,0)*0.475*44/12</f>
        <v>12.33091780423011</v>
      </c>
      <c r="AB119" s="23">
        <f>EXP(-LN(2)/2)*AB118+(1-EXP(-LN(2)/2))/(LN(2)/2)*V119*Y119*VLOOKUP('Données projet'!$B$9,Paramètres!$A$1:$I$89,3,0)*0.475*44/12</f>
        <v>1.8368496427145883E-6</v>
      </c>
      <c r="AC119" s="24">
        <f t="shared" si="57"/>
        <v>135.54310045204147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-3.4106051316484809E-13</v>
      </c>
      <c r="AJ119" s="14">
        <f>AI119*VLOOKUP('Données projet'!$B$10,Paramètres!$A$1:$I$89,3,0)*VLOOKUP('Données projet'!$B$10,Paramètres!$A$1:$I$89,5,0)</f>
        <v>-2.1282176021486519E-13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272.2908884671595</v>
      </c>
      <c r="AO119" s="62">
        <f t="shared" si="90"/>
        <v>220.74777226152867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159.34952755968655</v>
      </c>
      <c r="AV119" s="23">
        <f>EXP(-LN(2)/25)*AV118+(1-EXP(-LN(2)/25))/(LN(2)/25)*Calculateur!AQ119*Calculateur!AS119*VLOOKUP('Données projet'!$B$10,Paramètres!$A$1:$I$89,3,0)*0.475*44/12</f>
        <v>15.298891703502701</v>
      </c>
      <c r="AW119" s="23">
        <f>EXP(-LN(2)/2)*AW118+(1-EXP(-LN(2)/2))/(LN(2)/2)*AQ119*AT119*VLOOKUP('Données projet'!$B$10,Paramètres!$A$1:$I$89,3,0)*0.475*44/12</f>
        <v>4.4041720110328877E-2</v>
      </c>
      <c r="AX119" s="23">
        <f t="shared" si="60"/>
        <v>174.69246098329958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6.7941666666666691</v>
      </c>
      <c r="BD119" s="13">
        <f>IF('Données projet'!$A$88&gt;35,BD118+BC119-BL118,IF(A119&lt;'Données projet'!$A$88,$BA$205^A119,IF(A119='Données projet'!$A$88,'Données projet'!$B$88,BD118+BC119-BL118)))</f>
        <v>292.89250000000004</v>
      </c>
      <c r="BE119" s="14">
        <f>BD119*VLOOKUP('Données projet'!$B$11,Paramètres!$A$1:$I$89,3,0)*VLOOKUP('Données projet'!$B$11,Paramètres!$A$1:$I$89,5,0)</f>
        <v>265.00913400000002</v>
      </c>
      <c r="BF119" s="14">
        <f t="shared" si="91"/>
        <v>63.788934162258975</v>
      </c>
      <c r="BG119" s="22">
        <f t="shared" si="61"/>
        <v>572.65663538260094</v>
      </c>
      <c r="BH119" s="62">
        <f t="shared" si="62"/>
        <v>865.98996871593431</v>
      </c>
      <c r="BI119" s="62">
        <f ca="1">AVERAGE(OFFSET($BH$3,0,0,'Données projet'!$E$11+1,1))-AVERAGE(OFFSET($H$3,0,0,'Données projet'!$E$11+1,1))</f>
        <v>320.80580551060069</v>
      </c>
      <c r="BJ119" s="62">
        <f t="shared" si="92"/>
        <v>225.55225019382294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33.144048257364233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33.144048257364233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254.67898541152096</v>
      </c>
      <c r="CE119" s="62">
        <f t="shared" si="94"/>
        <v>251.52653810702509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54.725101521943984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54.725101521943984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6.3550942286383367E-14</v>
      </c>
      <c r="P120" s="14">
        <f t="shared" si="87"/>
        <v>1.0064464192543978E-12</v>
      </c>
      <c r="Q120" s="22">
        <f t="shared" si="107"/>
        <v>1.8635787380168604E-12</v>
      </c>
      <c r="R120" s="62">
        <f t="shared" si="55"/>
        <v>293.33333333333519</v>
      </c>
      <c r="S120" s="62">
        <f ca="1">AVERAGE(OFFSET($R$3,0,0,'Données projet'!$E$9+1,1))-AVERAGE(OFFSET($H$3,0,0,'Données projet'!$E$9+1,1))</f>
        <v>321.56347025977988</v>
      </c>
      <c r="T120" s="62">
        <f t="shared" si="88"/>
        <v>285.79375360040717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120.79606509726841</v>
      </c>
      <c r="AA120" s="23">
        <f>EXP(-LN(2)/25)*AA119+(1-EXP(-LN(2)/25))/(LN(2)/25)*Calculateur!V120*Calculateur!X120*VLOOKUP('Données projet'!$B$9,Paramètres!$A$1:$I$89,3,0)*0.475*44/12</f>
        <v>11.993728208418652</v>
      </c>
      <c r="AB120" s="23">
        <f>EXP(-LN(2)/2)*AB119+(1-EXP(-LN(2)/2))/(LN(2)/2)*V120*Y120*VLOOKUP('Données projet'!$B$9,Paramètres!$A$1:$I$89,3,0)*0.475*44/12</f>
        <v>1.2988488383835726E-6</v>
      </c>
      <c r="AC120" s="24">
        <f t="shared" si="57"/>
        <v>132.7897946045359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-3.4106051316484809E-13</v>
      </c>
      <c r="AJ120" s="14">
        <f>AI120*VLOOKUP('Données projet'!$B$10,Paramètres!$A$1:$I$89,3,0)*VLOOKUP('Données projet'!$B$10,Paramètres!$A$1:$I$89,5,0)</f>
        <v>-2.1282176021486519E-13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272.2908884671595</v>
      </c>
      <c r="AO120" s="62">
        <f t="shared" si="90"/>
        <v>220.74777226152867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156.22478051785583</v>
      </c>
      <c r="AV120" s="23">
        <f>EXP(-LN(2)/25)*AV119+(1-EXP(-LN(2)/25))/(LN(2)/25)*Calculateur!AQ120*Calculateur!AS120*VLOOKUP('Données projet'!$B$10,Paramètres!$A$1:$I$89,3,0)*0.475*44/12</f>
        <v>14.880542705336671</v>
      </c>
      <c r="AW120" s="23">
        <f>EXP(-LN(2)/2)*AW119+(1-EXP(-LN(2)/2))/(LN(2)/2)*AQ120*AT120*VLOOKUP('Données projet'!$B$10,Paramètres!$A$1:$I$89,3,0)*0.475*44/12</f>
        <v>3.1142198945133492E-2</v>
      </c>
      <c r="AX120" s="23">
        <f t="shared" si="60"/>
        <v>171.13646542213763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6.7941666666666691</v>
      </c>
      <c r="BD120" s="13">
        <f>IF('Données projet'!$A$88&gt;35,BD119+BC120-BL119,IF(A120&lt;'Données projet'!$A$88,$BA$205^A120,IF(A120='Données projet'!$A$88,'Données projet'!$B$88,BD119+BC120-BL119)))</f>
        <v>299.68666666666672</v>
      </c>
      <c r="BE120" s="14">
        <f>BD120*VLOOKUP('Données projet'!$B$11,Paramètres!$A$1:$I$89,3,0)*VLOOKUP('Données projet'!$B$11,Paramètres!$A$1:$I$89,5,0)</f>
        <v>271.15649600000006</v>
      </c>
      <c r="BF120" s="14">
        <f t="shared" si="91"/>
        <v>65.094645839407946</v>
      </c>
      <c r="BG120" s="22">
        <f t="shared" si="61"/>
        <v>585.63740537030219</v>
      </c>
      <c r="BH120" s="62">
        <f t="shared" si="62"/>
        <v>878.97073870363556</v>
      </c>
      <c r="BI120" s="62">
        <f ca="1">AVERAGE(OFFSET($BH$3,0,0,'Données projet'!$E$11+1,1))-AVERAGE(OFFSET($H$3,0,0,'Données projet'!$E$11+1,1))</f>
        <v>320.80580551060069</v>
      </c>
      <c r="BJ120" s="62">
        <f t="shared" si="92"/>
        <v>225.55225019382294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32.494113686910609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32.494113686910609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254.67898541152096</v>
      </c>
      <c r="CE120" s="62">
        <f t="shared" si="94"/>
        <v>251.52653810702509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53.651975660114687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53.651975660114687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6.3550942286383367E-14</v>
      </c>
      <c r="P121" s="14">
        <f t="shared" si="87"/>
        <v>1.0064464192543978E-12</v>
      </c>
      <c r="Q121" s="22">
        <f t="shared" si="107"/>
        <v>1.8635787380168604E-12</v>
      </c>
      <c r="R121" s="62">
        <f t="shared" si="55"/>
        <v>293.33333333333519</v>
      </c>
      <c r="S121" s="62">
        <f ca="1">AVERAGE(OFFSET($R$3,0,0,'Données projet'!$E$9+1,1))-AVERAGE(OFFSET($H$3,0,0,'Données projet'!$E$9+1,1))</f>
        <v>321.56347025977988</v>
      </c>
      <c r="T121" s="62">
        <f t="shared" si="88"/>
        <v>285.79375360040717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118.42732793903555</v>
      </c>
      <c r="AA121" s="23">
        <f>EXP(-LN(2)/25)*AA120+(1-EXP(-LN(2)/25))/(LN(2)/25)*Calculateur!V121*Calculateur!X121*VLOOKUP('Données projet'!$B$9,Paramètres!$A$1:$I$89,3,0)*0.475*44/12</f>
        <v>11.66575907983669</v>
      </c>
      <c r="AB121" s="23">
        <f>EXP(-LN(2)/2)*AB120+(1-EXP(-LN(2)/2))/(LN(2)/2)*V121*Y121*VLOOKUP('Données projet'!$B$9,Paramètres!$A$1:$I$89,3,0)*0.475*44/12</f>
        <v>9.1842482135729439E-7</v>
      </c>
      <c r="AC121" s="24">
        <f t="shared" si="57"/>
        <v>130.09308793729707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-3.4106051316484809E-13</v>
      </c>
      <c r="AJ121" s="14">
        <f>AI121*VLOOKUP('Données projet'!$B$10,Paramètres!$A$1:$I$89,3,0)*VLOOKUP('Données projet'!$B$10,Paramètres!$A$1:$I$89,5,0)</f>
        <v>-2.1282176021486519E-13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272.2908884671595</v>
      </c>
      <c r="AO121" s="62">
        <f t="shared" si="90"/>
        <v>220.74777226152867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153.16130785960792</v>
      </c>
      <c r="AV121" s="23">
        <f>EXP(-LN(2)/25)*AV120+(1-EXP(-LN(2)/25))/(LN(2)/25)*Calculateur!AQ121*Calculateur!AS121*VLOOKUP('Données projet'!$B$10,Paramètres!$A$1:$I$89,3,0)*0.475*44/12</f>
        <v>14.473633482525509</v>
      </c>
      <c r="AW121" s="23">
        <f>EXP(-LN(2)/2)*AW120+(1-EXP(-LN(2)/2))/(LN(2)/2)*AQ121*AT121*VLOOKUP('Données projet'!$B$10,Paramètres!$A$1:$I$89,3,0)*0.475*44/12</f>
        <v>2.2020860055164442E-2</v>
      </c>
      <c r="AX121" s="23">
        <f t="shared" si="60"/>
        <v>167.65696220218859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6.7941666666666691</v>
      </c>
      <c r="BD121" s="13">
        <f>IF('Données projet'!$A$88&gt;35,BD120+BC121-BL120,IF(A121&lt;'Données projet'!$A$88,$BA$205^A121,IF(A121='Données projet'!$A$88,'Données projet'!$B$88,BD120+BC121-BL120)))</f>
        <v>306.48083333333341</v>
      </c>
      <c r="BE121" s="14">
        <f>BD121*VLOOKUP('Données projet'!$B$11,Paramètres!$A$1:$I$89,3,0)*VLOOKUP('Données projet'!$B$11,Paramètres!$A$1:$I$89,5,0)</f>
        <v>277.30385800000005</v>
      </c>
      <c r="BF121" s="14">
        <f t="shared" si="91"/>
        <v>66.396916114107512</v>
      </c>
      <c r="BG121" s="22">
        <f t="shared" si="61"/>
        <v>598.61218158207066</v>
      </c>
      <c r="BH121" s="62">
        <f t="shared" si="62"/>
        <v>891.94551491540392</v>
      </c>
      <c r="BI121" s="62">
        <f ca="1">AVERAGE(OFFSET($BH$3,0,0,'Données projet'!$E$11+1,1))-AVERAGE(OFFSET($H$3,0,0,'Données projet'!$E$11+1,1))</f>
        <v>320.80580551060069</v>
      </c>
      <c r="BJ121" s="62">
        <f t="shared" si="92"/>
        <v>225.55225019382294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31.856923936962634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31.856923936962634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254.67898541152096</v>
      </c>
      <c r="CE121" s="62">
        <f t="shared" si="94"/>
        <v>251.52653810702509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52.599893141893716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52.599893141893716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6.3550942286383367E-14</v>
      </c>
      <c r="P122" s="14">
        <f t="shared" si="87"/>
        <v>1.0064464192543978E-12</v>
      </c>
      <c r="Q122" s="22">
        <f t="shared" si="107"/>
        <v>1.8635787380168604E-12</v>
      </c>
      <c r="R122" s="62">
        <f t="shared" si="55"/>
        <v>293.33333333333519</v>
      </c>
      <c r="S122" s="62">
        <f ca="1">AVERAGE(OFFSET($R$3,0,0,'Données projet'!$E$9+1,1))-AVERAGE(OFFSET($H$3,0,0,'Données projet'!$E$9+1,1))</f>
        <v>321.56347025977988</v>
      </c>
      <c r="T122" s="62">
        <f t="shared" si="88"/>
        <v>285.79375360040717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116.10504027168864</v>
      </c>
      <c r="AA122" s="23">
        <f>EXP(-LN(2)/25)*AA121+(1-EXP(-LN(2)/25))/(LN(2)/25)*Calculateur!V122*Calculateur!X122*VLOOKUP('Données projet'!$B$9,Paramètres!$A$1:$I$89,3,0)*0.475*44/12</f>
        <v>11.346758284322949</v>
      </c>
      <c r="AB122" s="23">
        <f>EXP(-LN(2)/2)*AB121+(1-EXP(-LN(2)/2))/(LN(2)/2)*V122*Y122*VLOOKUP('Données projet'!$B$9,Paramètres!$A$1:$I$89,3,0)*0.475*44/12</f>
        <v>6.4942441919178641E-7</v>
      </c>
      <c r="AC122" s="24">
        <f t="shared" si="57"/>
        <v>127.451799205436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-3.4106051316484809E-13</v>
      </c>
      <c r="AJ122" s="14">
        <f>AI122*VLOOKUP('Données projet'!$B$10,Paramètres!$A$1:$I$89,3,0)*VLOOKUP('Données projet'!$B$10,Paramètres!$A$1:$I$89,5,0)</f>
        <v>-2.1282176021486519E-13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272.2908884671595</v>
      </c>
      <c r="AO122" s="62">
        <f t="shared" si="90"/>
        <v>220.74777226152867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150.15790803165442</v>
      </c>
      <c r="AV122" s="23">
        <f>EXP(-LN(2)/25)*AV121+(1-EXP(-LN(2)/25))/(LN(2)/25)*Calculateur!AQ122*Calculateur!AS122*VLOOKUP('Données projet'!$B$10,Paramètres!$A$1:$I$89,3,0)*0.475*44/12</f>
        <v>14.077851213810543</v>
      </c>
      <c r="AW122" s="23">
        <f>EXP(-LN(2)/2)*AW121+(1-EXP(-LN(2)/2))/(LN(2)/2)*AQ122*AT122*VLOOKUP('Données projet'!$B$10,Paramètres!$A$1:$I$89,3,0)*0.475*44/12</f>
        <v>1.5571099472566749E-2</v>
      </c>
      <c r="AX122" s="23">
        <f t="shared" si="60"/>
        <v>164.25133034493751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6.7941666666666691</v>
      </c>
      <c r="BD122" s="13">
        <f>IF('Données projet'!$A$88&gt;35,BD121+BC122-BL121,IF(A122&lt;'Données projet'!$A$88,$BA$205^A122,IF(A122='Données projet'!$A$88,'Données projet'!$B$88,BD121+BC122-BL121)))</f>
        <v>313.27500000000009</v>
      </c>
      <c r="BE122" s="14">
        <f>BD122*VLOOKUP('Données projet'!$B$11,Paramètres!$A$1:$I$89,3,0)*VLOOKUP('Données projet'!$B$11,Paramètres!$A$1:$I$89,5,0)</f>
        <v>283.45122000000003</v>
      </c>
      <c r="BF122" s="14">
        <f t="shared" si="91"/>
        <v>67.695830060941546</v>
      </c>
      <c r="BG122" s="22">
        <f t="shared" si="61"/>
        <v>611.58111218947329</v>
      </c>
      <c r="BH122" s="62">
        <f t="shared" si="62"/>
        <v>904.91444552280655</v>
      </c>
      <c r="BI122" s="62">
        <f ca="1">AVERAGE(OFFSET($BH$3,0,0,'Données projet'!$E$11+1,1))-AVERAGE(OFFSET($H$3,0,0,'Données projet'!$E$11+1,1))</f>
        <v>320.80580551060069</v>
      </c>
      <c r="BJ122" s="62">
        <f t="shared" si="92"/>
        <v>225.55225019382294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31.232229089363766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31.232229089363766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254.67898541152096</v>
      </c>
      <c r="CE122" s="62">
        <f t="shared" si="94"/>
        <v>251.52653810702509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51.568441320148089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51.568441320148089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6.3550942286383367E-14</v>
      </c>
      <c r="P123" s="14">
        <f t="shared" si="87"/>
        <v>1.0064464192543978E-12</v>
      </c>
      <c r="Q123" s="22">
        <f t="shared" si="107"/>
        <v>1.8635787380168604E-12</v>
      </c>
      <c r="R123" s="62">
        <f t="shared" si="55"/>
        <v>293.33333333333519</v>
      </c>
      <c r="S123" s="62">
        <f ca="1">AVERAGE(OFFSET($R$3,0,0,'Données projet'!$E$9+1,1))-AVERAGE(OFFSET($H$3,0,0,'Données projet'!$E$9+1,1))</f>
        <v>321.56347025977988</v>
      </c>
      <c r="T123" s="62">
        <f t="shared" si="88"/>
        <v>285.79375360040717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113.82829124904278</v>
      </c>
      <c r="AA123" s="23">
        <f>EXP(-LN(2)/25)*AA122+(1-EXP(-LN(2)/25))/(LN(2)/25)*Calculateur!V123*Calculateur!X123*VLOOKUP('Données projet'!$B$9,Paramètres!$A$1:$I$89,3,0)*0.475*44/12</f>
        <v>11.036480582338053</v>
      </c>
      <c r="AB123" s="23">
        <f>EXP(-LN(2)/2)*AB122+(1-EXP(-LN(2)/2))/(LN(2)/2)*V123*Y123*VLOOKUP('Données projet'!$B$9,Paramètres!$A$1:$I$89,3,0)*0.475*44/12</f>
        <v>4.5921241067864725E-7</v>
      </c>
      <c r="AC123" s="24">
        <f t="shared" si="57"/>
        <v>124.86477229059325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-3.4106051316484809E-13</v>
      </c>
      <c r="AJ123" s="14">
        <f>AI123*VLOOKUP('Données projet'!$B$10,Paramètres!$A$1:$I$89,3,0)*VLOOKUP('Données projet'!$B$10,Paramètres!$A$1:$I$89,5,0)</f>
        <v>-2.1282176021486519E-13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272.2908884671595</v>
      </c>
      <c r="AO123" s="62">
        <f t="shared" si="90"/>
        <v>220.74777226152867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147.21340304243407</v>
      </c>
      <c r="AV123" s="23">
        <f>EXP(-LN(2)/25)*AV122+(1-EXP(-LN(2)/25))/(LN(2)/25)*Calculateur!AQ123*Calculateur!AS123*VLOOKUP('Données projet'!$B$10,Paramètres!$A$1:$I$89,3,0)*0.475*44/12</f>
        <v>13.692891632046875</v>
      </c>
      <c r="AW123" s="23">
        <f>EXP(-LN(2)/2)*AW122+(1-EXP(-LN(2)/2))/(LN(2)/2)*AQ123*AT123*VLOOKUP('Données projet'!$B$10,Paramètres!$A$1:$I$89,3,0)*0.475*44/12</f>
        <v>1.1010430027582223E-2</v>
      </c>
      <c r="AX123" s="23">
        <f t="shared" si="60"/>
        <v>160.91730510450853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6.7941666666666691</v>
      </c>
      <c r="BD123" s="13">
        <f>IF('Données projet'!$A$88&gt;35,BD122+BC123-BL122,IF(A123&lt;'Données projet'!$A$88,$BA$205^A123,IF(A123='Données projet'!$A$88,'Données projet'!$B$88,BD122+BC123-BL122)))</f>
        <v>320.06916666666677</v>
      </c>
      <c r="BE123" s="14">
        <f>BD123*VLOOKUP('Données projet'!$B$11,Paramètres!$A$1:$I$89,3,0)*VLOOKUP('Données projet'!$B$11,Paramètres!$A$1:$I$89,5,0)</f>
        <v>289.59858200000008</v>
      </c>
      <c r="BF123" s="14">
        <f t="shared" si="91"/>
        <v>68.991468853616794</v>
      </c>
      <c r="BG123" s="22">
        <f t="shared" si="61"/>
        <v>624.54433857004938</v>
      </c>
      <c r="BH123" s="62">
        <f t="shared" si="62"/>
        <v>917.87767190338263</v>
      </c>
      <c r="BI123" s="62">
        <f ca="1">AVERAGE(OFFSET($BH$3,0,0,'Données projet'!$E$11+1,1))-AVERAGE(OFFSET($H$3,0,0,'Données projet'!$E$11+1,1))</f>
        <v>320.80580551060069</v>
      </c>
      <c r="BJ123" s="62">
        <f t="shared" si="92"/>
        <v>225.55225019382294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30.619784126700079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30.619784126700079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254.67898541152096</v>
      </c>
      <c r="CE123" s="62">
        <f t="shared" si="94"/>
        <v>251.52653810702509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50.557215639503404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50.557215639503404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6.3550942286383367E-14</v>
      </c>
      <c r="P124" s="14">
        <f t="shared" si="87"/>
        <v>1.0064464192543978E-12</v>
      </c>
      <c r="Q124" s="22">
        <f t="shared" si="107"/>
        <v>1.8635787380168604E-12</v>
      </c>
      <c r="R124" s="62">
        <f t="shared" si="55"/>
        <v>293.33333333333519</v>
      </c>
      <c r="S124" s="62">
        <f ca="1">AVERAGE(OFFSET($R$3,0,0,'Données projet'!$E$9+1,1))-AVERAGE(OFFSET($H$3,0,0,'Données projet'!$E$9+1,1))</f>
        <v>321.56347025977988</v>
      </c>
      <c r="T124" s="62">
        <f t="shared" si="88"/>
        <v>285.79375360040717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111.59618788605123</v>
      </c>
      <c r="AA124" s="23">
        <f>EXP(-LN(2)/25)*AA123+(1-EXP(-LN(2)/25))/(LN(2)/25)*Calculateur!V124*Calculateur!X124*VLOOKUP('Données projet'!$B$9,Paramètres!$A$1:$I$89,3,0)*0.475*44/12</f>
        <v>10.734687440430729</v>
      </c>
      <c r="AB124" s="23">
        <f>EXP(-LN(2)/2)*AB123+(1-EXP(-LN(2)/2))/(LN(2)/2)*V124*Y124*VLOOKUP('Données projet'!$B$9,Paramètres!$A$1:$I$89,3,0)*0.475*44/12</f>
        <v>3.2471220959589326E-7</v>
      </c>
      <c r="AC124" s="24">
        <f t="shared" si="57"/>
        <v>122.33087565119416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-3.4106051316484809E-13</v>
      </c>
      <c r="AJ124" s="14">
        <f>AI124*VLOOKUP('Données projet'!$B$10,Paramètres!$A$1:$I$89,3,0)*VLOOKUP('Données projet'!$B$10,Paramètres!$A$1:$I$89,5,0)</f>
        <v>-2.1282176021486519E-13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272.2908884671595</v>
      </c>
      <c r="AO124" s="62">
        <f t="shared" si="90"/>
        <v>220.74777226152867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144.32663800008163</v>
      </c>
      <c r="AV124" s="23">
        <f>EXP(-LN(2)/25)*AV123+(1-EXP(-LN(2)/25))/(LN(2)/25)*Calculateur!AQ124*Calculateur!AS124*VLOOKUP('Données projet'!$B$10,Paramètres!$A$1:$I$89,3,0)*0.475*44/12</f>
        <v>13.318458790290677</v>
      </c>
      <c r="AW124" s="23">
        <f>EXP(-LN(2)/2)*AW123+(1-EXP(-LN(2)/2))/(LN(2)/2)*AQ124*AT124*VLOOKUP('Données projet'!$B$10,Paramètres!$A$1:$I$89,3,0)*0.475*44/12</f>
        <v>7.7855497362833755E-3</v>
      </c>
      <c r="AX124" s="23">
        <f t="shared" si="60"/>
        <v>157.65288234010859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6.7941666666666691</v>
      </c>
      <c r="BD124" s="13">
        <f>IF('Données projet'!$A$88&gt;35,BD123+BC124-BL123,IF(A124&lt;'Données projet'!$A$88,$BA$205^A124,IF(A124='Données projet'!$A$88,'Données projet'!$B$88,BD123+BC124-BL123)))</f>
        <v>326.86333333333346</v>
      </c>
      <c r="BE124" s="14">
        <f>BD124*VLOOKUP('Données projet'!$B$11,Paramètres!$A$1:$I$89,3,0)*VLOOKUP('Données projet'!$B$11,Paramètres!$A$1:$I$89,5,0)</f>
        <v>295.74594400000012</v>
      </c>
      <c r="BF124" s="14">
        <f t="shared" si="91"/>
        <v>70.283910022773895</v>
      </c>
      <c r="BG124" s="22">
        <f t="shared" si="61"/>
        <v>637.50199575633144</v>
      </c>
      <c r="BH124" s="62">
        <f t="shared" si="62"/>
        <v>930.83532908966481</v>
      </c>
      <c r="BI124" s="62">
        <f ca="1">AVERAGE(OFFSET($BH$3,0,0,'Données projet'!$E$11+1,1))-AVERAGE(OFFSET($H$3,0,0,'Données projet'!$E$11+1,1))</f>
        <v>320.80580551060069</v>
      </c>
      <c r="BJ124" s="62">
        <f t="shared" si="92"/>
        <v>225.55225019382294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30.019348836199683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30.019348836199683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254.67898541152096</v>
      </c>
      <c r="CE124" s="62">
        <f t="shared" si="94"/>
        <v>251.52653810702509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49.565819477669393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49.565819477669393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6.3550942286383367E-14</v>
      </c>
      <c r="P125" s="14">
        <f t="shared" si="87"/>
        <v>1.0064464192543978E-12</v>
      </c>
      <c r="Q125" s="22">
        <f t="shared" si="107"/>
        <v>1.8635787380168604E-12</v>
      </c>
      <c r="R125" s="62">
        <f t="shared" si="55"/>
        <v>293.33333333333519</v>
      </c>
      <c r="S125" s="62">
        <f ca="1">AVERAGE(OFFSET($R$3,0,0,'Données projet'!$E$9+1,1))-AVERAGE(OFFSET($H$3,0,0,'Données projet'!$E$9+1,1))</f>
        <v>321.56347025977988</v>
      </c>
      <c r="T125" s="62">
        <f t="shared" si="88"/>
        <v>285.79375360040717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109.40785470855931</v>
      </c>
      <c r="AA125" s="23">
        <f>EXP(-LN(2)/25)*AA124+(1-EXP(-LN(2)/25))/(LN(2)/25)*Calculateur!V125*Calculateur!X125*VLOOKUP('Données projet'!$B$9,Paramètres!$A$1:$I$89,3,0)*0.475*44/12</f>
        <v>10.441146847859473</v>
      </c>
      <c r="AB125" s="23">
        <f>EXP(-LN(2)/2)*AB124+(1-EXP(-LN(2)/2))/(LN(2)/2)*V125*Y125*VLOOKUP('Données projet'!$B$9,Paramètres!$A$1:$I$89,3,0)*0.475*44/12</f>
        <v>2.2960620533932368E-7</v>
      </c>
      <c r="AC125" s="24">
        <f t="shared" si="57"/>
        <v>119.84900178602498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-3.4106051316484809E-13</v>
      </c>
      <c r="AJ125" s="14">
        <f>AI125*VLOOKUP('Données projet'!$B$10,Paramètres!$A$1:$I$89,3,0)*VLOOKUP('Données projet'!$B$10,Paramètres!$A$1:$I$89,5,0)</f>
        <v>-2.1282176021486519E-13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272.2908884671595</v>
      </c>
      <c r="AO125" s="62">
        <f t="shared" si="90"/>
        <v>220.74777226152867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141.49648065945692</v>
      </c>
      <c r="AV125" s="23">
        <f>EXP(-LN(2)/25)*AV124+(1-EXP(-LN(2)/25))/(LN(2)/25)*Calculateur!AQ125*Calculateur!AS125*VLOOKUP('Données projet'!$B$10,Paramètres!$A$1:$I$89,3,0)*0.475*44/12</f>
        <v>12.954264834282871</v>
      </c>
      <c r="AW125" s="23">
        <f>EXP(-LN(2)/2)*AW124+(1-EXP(-LN(2)/2))/(LN(2)/2)*AQ125*AT125*VLOOKUP('Données projet'!$B$10,Paramètres!$A$1:$I$89,3,0)*0.475*44/12</f>
        <v>5.5052150137911123E-3</v>
      </c>
      <c r="AX125" s="23">
        <f t="shared" si="60"/>
        <v>154.45625070875357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6.7941666666666691</v>
      </c>
      <c r="BD125" s="13">
        <f>IF('Données projet'!$A$88&gt;35,BD124+BC125-BL124,IF(A125&lt;'Données projet'!$A$88,$BA$205^A125,IF(A125='Données projet'!$A$88,'Données projet'!$B$88,BD124+BC125-BL124)))</f>
        <v>333.65750000000014</v>
      </c>
      <c r="BE125" s="14">
        <f>BD125*VLOOKUP('Données projet'!$B$11,Paramètres!$A$1:$I$89,3,0)*VLOOKUP('Données projet'!$B$11,Paramètres!$A$1:$I$89,5,0)</f>
        <v>301.89330600000011</v>
      </c>
      <c r="BF125" s="14">
        <f t="shared" si="91"/>
        <v>71.573227691758774</v>
      </c>
      <c r="BG125" s="22">
        <f t="shared" si="61"/>
        <v>650.45421284648</v>
      </c>
      <c r="BH125" s="62">
        <f t="shared" si="62"/>
        <v>943.78754617981326</v>
      </c>
      <c r="BI125" s="62">
        <f ca="1">AVERAGE(OFFSET($BH$3,0,0,'Données projet'!$E$11+1,1))-AVERAGE(OFFSET($H$3,0,0,'Données projet'!$E$11+1,1))</f>
        <v>320.80580551060069</v>
      </c>
      <c r="BJ125" s="62">
        <f t="shared" si="92"/>
        <v>225.55225019382294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29.430687715516637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29.430687715516637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254.67898541152096</v>
      </c>
      <c r="CE125" s="62">
        <f t="shared" si="94"/>
        <v>251.52653810702509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48.593863989877001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48.593863989877001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6.3550942286383367E-14</v>
      </c>
      <c r="P126" s="14">
        <f t="shared" si="87"/>
        <v>1.0064464192543978E-12</v>
      </c>
      <c r="Q126" s="22">
        <f t="shared" si="107"/>
        <v>1.8635787380168604E-12</v>
      </c>
      <c r="R126" s="62">
        <f t="shared" si="55"/>
        <v>293.33333333333519</v>
      </c>
      <c r="S126" s="62">
        <f ca="1">AVERAGE(OFFSET($R$3,0,0,'Données projet'!$E$9+1,1))-AVERAGE(OFFSET($H$3,0,0,'Données projet'!$E$9+1,1))</f>
        <v>321.56347025977988</v>
      </c>
      <c r="T126" s="62">
        <f t="shared" si="88"/>
        <v>285.79375360040717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107.26243340992657</v>
      </c>
      <c r="AA126" s="23">
        <f>EXP(-LN(2)/25)*AA125+(1-EXP(-LN(2)/25))/(LN(2)/25)*Calculateur!V126*Calculateur!X126*VLOOKUP('Données projet'!$B$9,Paramètres!$A$1:$I$89,3,0)*0.475*44/12</f>
        <v>10.155633138228707</v>
      </c>
      <c r="AB126" s="23">
        <f>EXP(-LN(2)/2)*AB125+(1-EXP(-LN(2)/2))/(LN(2)/2)*V126*Y126*VLOOKUP('Données projet'!$B$9,Paramètres!$A$1:$I$89,3,0)*0.475*44/12</f>
        <v>1.6235610479794665E-7</v>
      </c>
      <c r="AC126" s="24">
        <f t="shared" si="57"/>
        <v>117.41806671051138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-3.4106051316484809E-13</v>
      </c>
      <c r="AJ126" s="14">
        <f>AI126*VLOOKUP('Données projet'!$B$10,Paramètres!$A$1:$I$89,3,0)*VLOOKUP('Données projet'!$B$10,Paramètres!$A$1:$I$89,5,0)</f>
        <v>-2.1282176021486519E-13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272.2908884671595</v>
      </c>
      <c r="AO126" s="62">
        <f t="shared" si="90"/>
        <v>220.74777226152867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138.72182097805631</v>
      </c>
      <c r="AV126" s="23">
        <f>EXP(-LN(2)/25)*AV125+(1-EXP(-LN(2)/25))/(LN(2)/25)*Calculateur!AQ126*Calculateur!AS126*VLOOKUP('Données projet'!$B$10,Paramètres!$A$1:$I$89,3,0)*0.475*44/12</f>
        <v>12.600029781154225</v>
      </c>
      <c r="AW126" s="23">
        <f>EXP(-LN(2)/2)*AW125+(1-EXP(-LN(2)/2))/(LN(2)/2)*AQ126*AT126*VLOOKUP('Données projet'!$B$10,Paramètres!$A$1:$I$89,3,0)*0.475*44/12</f>
        <v>3.8927748681416886E-3</v>
      </c>
      <c r="AX126" s="23">
        <f t="shared" si="60"/>
        <v>151.3257435340787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6.7941666666666691</v>
      </c>
      <c r="BD126" s="13">
        <f>IF('Données projet'!$A$88&gt;35,BD125+BC126-BL125,IF(A126&lt;'Données projet'!$A$88,$BA$205^A126,IF(A126='Données projet'!$A$88,'Données projet'!$B$88,BD125+BC126-BL125)))</f>
        <v>340.45166666666682</v>
      </c>
      <c r="BE126" s="14">
        <f>BD126*VLOOKUP('Données projet'!$B$11,Paramètres!$A$1:$I$89,3,0)*VLOOKUP('Données projet'!$B$11,Paramètres!$A$1:$I$89,5,0)</f>
        <v>308.04066800000015</v>
      </c>
      <c r="BF126" s="14">
        <f t="shared" si="91"/>
        <v>72.859492792647174</v>
      </c>
      <c r="BG126" s="22">
        <f t="shared" si="61"/>
        <v>663.40111338052748</v>
      </c>
      <c r="BH126" s="62">
        <f t="shared" si="62"/>
        <v>956.73444671386073</v>
      </c>
      <c r="BI126" s="62">
        <f ca="1">AVERAGE(OFFSET($BH$3,0,0,'Données projet'!$E$11+1,1))-AVERAGE(OFFSET($H$3,0,0,'Données projet'!$E$11+1,1))</f>
        <v>320.80580551060069</v>
      </c>
      <c r="BJ126" s="62">
        <f t="shared" si="92"/>
        <v>225.55225019382294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28.853569880362354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28.853569880362354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254.67898541152096</v>
      </c>
      <c r="CE126" s="62">
        <f t="shared" si="94"/>
        <v>251.52653810702509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47.640967956365905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47.640967956365905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6.3550942286383367E-14</v>
      </c>
      <c r="P127" s="14">
        <f t="shared" si="87"/>
        <v>1.0064464192543978E-12</v>
      </c>
      <c r="Q127" s="22">
        <f t="shared" si="107"/>
        <v>1.8635787380168604E-12</v>
      </c>
      <c r="R127" s="62">
        <f t="shared" si="55"/>
        <v>293.33333333333519</v>
      </c>
      <c r="S127" s="62">
        <f ca="1">AVERAGE(OFFSET($R$3,0,0,'Données projet'!$E$9+1,1))-AVERAGE(OFFSET($H$3,0,0,'Données projet'!$E$9+1,1))</f>
        <v>321.56347025977988</v>
      </c>
      <c r="T127" s="62">
        <f t="shared" si="88"/>
        <v>285.79375360040717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105.15908251438225</v>
      </c>
      <c r="AA127" s="23">
        <f>EXP(-LN(2)/25)*AA126+(1-EXP(-LN(2)/25))/(LN(2)/25)*Calculateur!V127*Calculateur!X127*VLOOKUP('Données projet'!$B$9,Paramètres!$A$1:$I$89,3,0)*0.475*44/12</f>
        <v>9.8779268160023062</v>
      </c>
      <c r="AB127" s="23">
        <f>EXP(-LN(2)/2)*AB126+(1-EXP(-LN(2)/2))/(LN(2)/2)*V127*Y127*VLOOKUP('Données projet'!$B$9,Paramètres!$A$1:$I$89,3,0)*0.475*44/12</f>
        <v>1.1480310266966185E-7</v>
      </c>
      <c r="AC127" s="24">
        <f t="shared" si="57"/>
        <v>115.03700944518765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-3.4106051316484809E-13</v>
      </c>
      <c r="AJ127" s="14">
        <f>AI127*VLOOKUP('Données projet'!$B$10,Paramètres!$A$1:$I$89,3,0)*VLOOKUP('Données projet'!$B$10,Paramètres!$A$1:$I$89,5,0)</f>
        <v>-2.1282176021486519E-13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272.2908884671595</v>
      </c>
      <c r="AO127" s="62">
        <f t="shared" si="90"/>
        <v>220.74777226152867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136.00157068063268</v>
      </c>
      <c r="AV127" s="23">
        <f>EXP(-LN(2)/25)*AV126+(1-EXP(-LN(2)/25))/(LN(2)/25)*Calculateur!AQ127*Calculateur!AS127*VLOOKUP('Données projet'!$B$10,Paramètres!$A$1:$I$89,3,0)*0.475*44/12</f>
        <v>12.255481304181794</v>
      </c>
      <c r="AW127" s="23">
        <f>EXP(-LN(2)/2)*AW126+(1-EXP(-LN(2)/2))/(LN(2)/2)*AQ127*AT127*VLOOKUP('Données projet'!$B$10,Paramètres!$A$1:$I$89,3,0)*0.475*44/12</f>
        <v>2.7526075068955566E-3</v>
      </c>
      <c r="AX127" s="23">
        <f t="shared" si="60"/>
        <v>148.25980459232136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6.7941666666666691</v>
      </c>
      <c r="BD127" s="13">
        <f>IF('Données projet'!$A$88&gt;35,BD126+BC127-BL126,IF(A127&lt;'Données projet'!$A$88,$BA$205^A127,IF(A127='Données projet'!$A$88,'Données projet'!$B$88,BD126+BC127-BL126)))</f>
        <v>347.24583333333351</v>
      </c>
      <c r="BE127" s="14">
        <f>BD127*VLOOKUP('Données projet'!$B$11,Paramètres!$A$1:$I$89,3,0)*VLOOKUP('Données projet'!$B$11,Paramètres!$A$1:$I$89,5,0)</f>
        <v>314.18803000000014</v>
      </c>
      <c r="BF127" s="14">
        <f t="shared" si="91"/>
        <v>74.142773264538548</v>
      </c>
      <c r="BG127" s="22">
        <f t="shared" si="61"/>
        <v>676.34281568573817</v>
      </c>
      <c r="BH127" s="62">
        <f t="shared" si="62"/>
        <v>969.67614901907154</v>
      </c>
      <c r="BI127" s="62">
        <f ca="1">AVERAGE(OFFSET($BH$3,0,0,'Données projet'!$E$11+1,1))-AVERAGE(OFFSET($H$3,0,0,'Données projet'!$E$11+1,1))</f>
        <v>320.80580551060069</v>
      </c>
      <c r="BJ127" s="62">
        <f t="shared" si="92"/>
        <v>225.55225019382294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28.287768973948324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28.287768973948324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254.67898541152096</v>
      </c>
      <c r="CE127" s="62">
        <f t="shared" si="94"/>
        <v>251.52653810702509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46.706757632862775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46.706757632862775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6.3550942286383367E-14</v>
      </c>
      <c r="P128" s="14">
        <f t="shared" si="87"/>
        <v>1.0064464192543978E-12</v>
      </c>
      <c r="Q128" s="22">
        <f t="shared" si="107"/>
        <v>1.8635787380168604E-12</v>
      </c>
      <c r="R128" s="62">
        <f t="shared" si="55"/>
        <v>293.33333333333519</v>
      </c>
      <c r="S128" s="62">
        <f ca="1">AVERAGE(OFFSET($R$3,0,0,'Données projet'!$E$9+1,1))-AVERAGE(OFFSET($H$3,0,0,'Données projet'!$E$9+1,1))</f>
        <v>321.56347025977988</v>
      </c>
      <c r="T128" s="62">
        <f t="shared" si="88"/>
        <v>285.79375360040717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103.09697704698218</v>
      </c>
      <c r="AA128" s="23">
        <f>EXP(-LN(2)/25)*AA127+(1-EXP(-LN(2)/25))/(LN(2)/25)*Calculateur!V128*Calculateur!X128*VLOOKUP('Données projet'!$B$9,Paramètres!$A$1:$I$89,3,0)*0.475*44/12</f>
        <v>9.6078143877611275</v>
      </c>
      <c r="AB128" s="23">
        <f>EXP(-LN(2)/2)*AB127+(1-EXP(-LN(2)/2))/(LN(2)/2)*V128*Y128*VLOOKUP('Données projet'!$B$9,Paramètres!$A$1:$I$89,3,0)*0.475*44/12</f>
        <v>8.1178052398973341E-8</v>
      </c>
      <c r="AC128" s="24">
        <f t="shared" si="57"/>
        <v>112.70479151592136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-3.4106051316484809E-13</v>
      </c>
      <c r="AJ128" s="14">
        <f>AI128*VLOOKUP('Données projet'!$B$10,Paramètres!$A$1:$I$89,3,0)*VLOOKUP('Données projet'!$B$10,Paramètres!$A$1:$I$89,5,0)</f>
        <v>-2.1282176021486519E-13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272.2908884671595</v>
      </c>
      <c r="AO128" s="62">
        <f t="shared" si="90"/>
        <v>220.74777226152867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133.33466283235268</v>
      </c>
      <c r="AV128" s="23">
        <f>EXP(-LN(2)/25)*AV127+(1-EXP(-LN(2)/25))/(LN(2)/25)*Calculateur!AQ128*Calculateur!AS128*VLOOKUP('Données projet'!$B$10,Paramètres!$A$1:$I$89,3,0)*0.475*44/12</f>
        <v>11.920354523431191</v>
      </c>
      <c r="AW128" s="23">
        <f>EXP(-LN(2)/2)*AW127+(1-EXP(-LN(2)/2))/(LN(2)/2)*AQ128*AT128*VLOOKUP('Données projet'!$B$10,Paramètres!$A$1:$I$89,3,0)*0.475*44/12</f>
        <v>1.9463874340708445E-3</v>
      </c>
      <c r="AX128" s="23">
        <f t="shared" si="60"/>
        <v>145.25696374321794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354.04</v>
      </c>
      <c r="BB128" s="13">
        <f>VLOOKUP(A128,'Données projet'!$A$87:$I$107,9,0)</f>
        <v>6.7941666666666691</v>
      </c>
      <c r="BC128" s="13">
        <f t="array" ref="BC128">INDEX(BB:BB,MIN(IF(ISNUMBER(BB128:BB324),ROW(BB128:BB324),"")))</f>
        <v>6.7941666666666691</v>
      </c>
      <c r="BD128" s="13">
        <f>IF('Données projet'!$A$88&gt;35,BD127+BC128-BL127,IF(A128&lt;'Données projet'!$A$88,$BA$205^A128,IF(A128='Données projet'!$A$88,'Données projet'!$B$88,BD127+BC128-BL127)))</f>
        <v>354.04000000000019</v>
      </c>
      <c r="BE128" s="14">
        <f>BD128*VLOOKUP('Données projet'!$B$11,Paramètres!$A$1:$I$89,3,0)*VLOOKUP('Données projet'!$B$11,Paramètres!$A$1:$I$89,5,0)</f>
        <v>320.33539200000018</v>
      </c>
      <c r="BF128" s="14">
        <f t="shared" si="91"/>
        <v>75.423134235891538</v>
      </c>
      <c r="BG128" s="22">
        <f t="shared" si="61"/>
        <v>689.27943319417807</v>
      </c>
      <c r="BH128" s="62">
        <f t="shared" si="62"/>
        <v>982.61276652751144</v>
      </c>
      <c r="BI128" s="62">
        <f ca="1">AVERAGE(OFFSET($BH$3,0,0,'Données projet'!$E$11+1,1))-AVERAGE(OFFSET($H$3,0,0,'Données projet'!$E$11+1,1))</f>
        <v>320.80580551060069</v>
      </c>
      <c r="BJ128" s="62">
        <f t="shared" si="92"/>
        <v>225.55225019382294</v>
      </c>
      <c r="BK128" s="16">
        <f>IF(ISNA(VLOOKUP(A128,'Données projet'!$A$87:$I$107,3,0)),0,VLOOKUP(A128,'Données projet'!$A$87:$I$107,3,0))</f>
        <v>10</v>
      </c>
      <c r="BL128" s="16">
        <f>IF(ISNA(VLOOKUP(A128,'Données projet'!$A$87:$I$107,4,0)),0,VLOOKUP(A128,'Données projet'!$A$87:$I$107,4,0))</f>
        <v>61.5</v>
      </c>
      <c r="BM128" s="17">
        <f>IF(ISNA(VLOOKUP(A128,'Données projet'!$A$87:$I$107,5,0)),0%,VLOOKUP(A128,'Données projet'!$A$87:$I$107,5,0)*VLOOKUP('Données projet'!$B$11,Paramètres!$A$1:$I$89,7,0))</f>
        <v>0.25800000000000001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43.603706131906826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43.603706131906826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254.67898541152096</v>
      </c>
      <c r="CE128" s="62">
        <f t="shared" si="94"/>
        <v>251.52653810702509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45.790866603991503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45.790866603991503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6.3550942286383367E-14</v>
      </c>
      <c r="P129" s="14">
        <f t="shared" si="87"/>
        <v>1.0064464192543978E-12</v>
      </c>
      <c r="Q129" s="22">
        <f t="shared" si="107"/>
        <v>1.8635787380168604E-12</v>
      </c>
      <c r="R129" s="62">
        <f t="shared" si="55"/>
        <v>293.33333333333519</v>
      </c>
      <c r="S129" s="62">
        <f ca="1">AVERAGE(OFFSET($R$3,0,0,'Données projet'!$E$9+1,1))-AVERAGE(OFFSET($H$3,0,0,'Données projet'!$E$9+1,1))</f>
        <v>321.56347025977988</v>
      </c>
      <c r="T129" s="62">
        <f t="shared" si="88"/>
        <v>285.79375360040717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101.07530821003768</v>
      </c>
      <c r="AA129" s="23">
        <f>EXP(-LN(2)/25)*AA128+(1-EXP(-LN(2)/25))/(LN(2)/25)*Calculateur!V129*Calculateur!X129*VLOOKUP('Données projet'!$B$9,Paramètres!$A$1:$I$89,3,0)*0.475*44/12</f>
        <v>9.3450881980747997</v>
      </c>
      <c r="AB129" s="23">
        <f>EXP(-LN(2)/2)*AB128+(1-EXP(-LN(2)/2))/(LN(2)/2)*V129*Y129*VLOOKUP('Données projet'!$B$9,Paramètres!$A$1:$I$89,3,0)*0.475*44/12</f>
        <v>5.7401551334830932E-8</v>
      </c>
      <c r="AC129" s="24">
        <f t="shared" si="57"/>
        <v>110.42039646551403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-3.4106051316484809E-13</v>
      </c>
      <c r="AJ129" s="14">
        <f>AI129*VLOOKUP('Données projet'!$B$10,Paramètres!$A$1:$I$89,3,0)*VLOOKUP('Données projet'!$B$10,Paramètres!$A$1:$I$89,5,0)</f>
        <v>-2.1282176021486519E-13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272.2908884671595</v>
      </c>
      <c r="AO129" s="62">
        <f t="shared" si="90"/>
        <v>220.74777226152867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130.7200514203243</v>
      </c>
      <c r="AV129" s="23">
        <f>EXP(-LN(2)/25)*AV128+(1-EXP(-LN(2)/25))/(LN(2)/25)*Calculateur!AQ129*Calculateur!AS129*VLOOKUP('Données projet'!$B$10,Paramètres!$A$1:$I$89,3,0)*0.475*44/12</f>
        <v>11.594391802123765</v>
      </c>
      <c r="AW129" s="23">
        <f>EXP(-LN(2)/2)*AW128+(1-EXP(-LN(2)/2))/(LN(2)/2)*AQ129*AT129*VLOOKUP('Données projet'!$B$10,Paramètres!$A$1:$I$89,3,0)*0.475*44/12</f>
        <v>1.3763037534477785E-3</v>
      </c>
      <c r="AX129" s="23">
        <f t="shared" si="60"/>
        <v>142.31581952620152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6.7133333333333338</v>
      </c>
      <c r="BD129" s="13">
        <f>IF('Données projet'!$A$88&gt;35,BD128+BC129-BL128,IF(A129&lt;'Données projet'!$A$88,$BA$205^A129,IF(A129='Données projet'!$A$88,'Données projet'!$B$88,BD128+BC129-BL128)))</f>
        <v>299.2533333333335</v>
      </c>
      <c r="BE129" s="14">
        <f>BD129*VLOOKUP('Données projet'!$B$11,Paramètres!$A$1:$I$89,3,0)*VLOOKUP('Données projet'!$B$11,Paramètres!$A$1:$I$89,5,0)</f>
        <v>270.76441600000015</v>
      </c>
      <c r="BF129" s="14">
        <f t="shared" si="91"/>
        <v>65.011470952689166</v>
      </c>
      <c r="BG129" s="22">
        <f t="shared" si="61"/>
        <v>584.80966977593391</v>
      </c>
      <c r="BH129" s="62">
        <f t="shared" si="62"/>
        <v>878.14300310926728</v>
      </c>
      <c r="BI129" s="62">
        <f ca="1">AVERAGE(OFFSET($BH$3,0,0,'Données projet'!$E$11+1,1))-AVERAGE(OFFSET($H$3,0,0,'Données projet'!$E$11+1,1))</f>
        <v>320.80580551060069</v>
      </c>
      <c r="BJ129" s="62">
        <f t="shared" si="92"/>
        <v>225.55225019382294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42.748664050294771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42.748664050294771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254.67898541152096</v>
      </c>
      <c r="CE129" s="62">
        <f t="shared" si="94"/>
        <v>251.52653810702509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44.892935639558033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44.892935639558033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6.3550942286383367E-14</v>
      </c>
      <c r="P130" s="14">
        <f t="shared" si="87"/>
        <v>1.0064464192543978E-12</v>
      </c>
      <c r="Q130" s="22">
        <f t="shared" si="107"/>
        <v>1.8635787380168604E-12</v>
      </c>
      <c r="R130" s="62">
        <f t="shared" si="55"/>
        <v>293.33333333333519</v>
      </c>
      <c r="S130" s="62">
        <f ca="1">AVERAGE(OFFSET($R$3,0,0,'Données projet'!$E$9+1,1))-AVERAGE(OFFSET($H$3,0,0,'Données projet'!$E$9+1,1))</f>
        <v>321.56347025977988</v>
      </c>
      <c r="T130" s="62">
        <f t="shared" si="88"/>
        <v>285.79375360040717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99.093283065889423</v>
      </c>
      <c r="AA130" s="23">
        <f>EXP(-LN(2)/25)*AA129+(1-EXP(-LN(2)/25))/(LN(2)/25)*Calculateur!V130*Calculateur!X130*VLOOKUP('Données projet'!$B$9,Paramètres!$A$1:$I$89,3,0)*0.475*44/12</f>
        <v>9.0895462698616143</v>
      </c>
      <c r="AB130" s="23">
        <f>EXP(-LN(2)/2)*AB129+(1-EXP(-LN(2)/2))/(LN(2)/2)*V130*Y130*VLOOKUP('Données projet'!$B$9,Paramètres!$A$1:$I$89,3,0)*0.475*44/12</f>
        <v>4.0589026199486677E-8</v>
      </c>
      <c r="AC130" s="24">
        <f t="shared" si="57"/>
        <v>108.18282937634007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-3.4106051316484809E-13</v>
      </c>
      <c r="AJ130" s="14">
        <f>AI130*VLOOKUP('Données projet'!$B$10,Paramètres!$A$1:$I$89,3,0)*VLOOKUP('Données projet'!$B$10,Paramètres!$A$1:$I$89,5,0)</f>
        <v>-2.1282176021486519E-13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272.2908884671595</v>
      </c>
      <c r="AO130" s="62">
        <f t="shared" si="90"/>
        <v>220.74777226152867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128.1567109433303</v>
      </c>
      <c r="AV130" s="23">
        <f>EXP(-LN(2)/25)*AV129+(1-EXP(-LN(2)/25))/(LN(2)/25)*Calculateur!AQ130*Calculateur!AS130*VLOOKUP('Données projet'!$B$10,Paramètres!$A$1:$I$89,3,0)*0.475*44/12</f>
        <v>11.277342548572125</v>
      </c>
      <c r="AW130" s="23">
        <f>EXP(-LN(2)/2)*AW129+(1-EXP(-LN(2)/2))/(LN(2)/2)*AQ130*AT130*VLOOKUP('Données projet'!$B$10,Paramètres!$A$1:$I$89,3,0)*0.475*44/12</f>
        <v>9.7319371703542248E-4</v>
      </c>
      <c r="AX130" s="23">
        <f t="shared" si="60"/>
        <v>139.43502668561948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6.7133333333333338</v>
      </c>
      <c r="BD130" s="13">
        <f>IF('Données projet'!$A$88&gt;35,BD129+BC130-BL129,IF(A130&lt;'Données projet'!$A$88,$BA$205^A130,IF(A130='Données projet'!$A$88,'Données projet'!$B$88,BD129+BC130-BL129)))</f>
        <v>305.96666666666681</v>
      </c>
      <c r="BE130" s="14">
        <f>BD130*VLOOKUP('Données projet'!$B$11,Paramètres!$A$1:$I$89,3,0)*VLOOKUP('Données projet'!$B$11,Paramètres!$A$1:$I$89,5,0)</f>
        <v>276.83864000000011</v>
      </c>
      <c r="BF130" s="14">
        <f t="shared" si="91"/>
        <v>66.298481772142821</v>
      </c>
      <c r="BG130" s="22">
        <f t="shared" si="61"/>
        <v>597.63048708648216</v>
      </c>
      <c r="BH130" s="62">
        <f t="shared" si="62"/>
        <v>890.96382041981542</v>
      </c>
      <c r="BI130" s="62">
        <f ca="1">AVERAGE(OFFSET($BH$3,0,0,'Données projet'!$E$11+1,1))-AVERAGE(OFFSET($H$3,0,0,'Données projet'!$E$11+1,1))</f>
        <v>320.80580551060069</v>
      </c>
      <c r="BJ130" s="62">
        <f t="shared" si="92"/>
        <v>225.55225019382294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41.910388822378955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41.910388822378955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254.67898541152096</v>
      </c>
      <c r="CE130" s="62">
        <f t="shared" si="94"/>
        <v>251.52653810702509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44.012612553653291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44.012612553653291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6.3550942286383367E-14</v>
      </c>
      <c r="P131" s="14">
        <f t="shared" si="87"/>
        <v>1.0064464192543978E-12</v>
      </c>
      <c r="Q131" s="22">
        <f t="shared" ref="Q131:Q153" si="108">(O131+P131)*0.475*44/12</f>
        <v>1.8635787380168604E-12</v>
      </c>
      <c r="R131" s="62">
        <f t="shared" ref="R131:R194" si="109">Q131+(I131+J131)*44/12</f>
        <v>293.33333333333519</v>
      </c>
      <c r="S131" s="62">
        <f ca="1">AVERAGE(OFFSET($R$3,0,0,'Données projet'!$E$9+1,1))-AVERAGE(OFFSET($H$3,0,0,'Données projet'!$E$9+1,1))</f>
        <v>321.56347025977988</v>
      </c>
      <c r="T131" s="62">
        <f t="shared" si="88"/>
        <v>285.79375360040717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97.150124225901962</v>
      </c>
      <c r="AA131" s="23">
        <f>EXP(-LN(2)/25)*AA130+(1-EXP(-LN(2)/25))/(LN(2)/25)*Calculateur!V131*Calculateur!X131*VLOOKUP('Données projet'!$B$9,Paramètres!$A$1:$I$89,3,0)*0.475*44/12</f>
        <v>8.8409921491137844</v>
      </c>
      <c r="AB131" s="23">
        <f>EXP(-LN(2)/2)*AB130+(1-EXP(-LN(2)/2))/(LN(2)/2)*V131*Y131*VLOOKUP('Données projet'!$B$9,Paramètres!$A$1:$I$89,3,0)*0.475*44/12</f>
        <v>2.8700775667415473E-8</v>
      </c>
      <c r="AC131" s="24">
        <f t="shared" si="57"/>
        <v>105.99111640371653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-3.4106051316484809E-13</v>
      </c>
      <c r="AJ131" s="14">
        <f>AI131*VLOOKUP('Données projet'!$B$10,Paramètres!$A$1:$I$89,3,0)*VLOOKUP('Données projet'!$B$10,Paramètres!$A$1:$I$89,5,0)</f>
        <v>-2.1282176021486519E-13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272.2908884671595</v>
      </c>
      <c r="AO131" s="62">
        <f t="shared" si="90"/>
        <v>220.74777226152867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125.64363600960682</v>
      </c>
      <c r="AV131" s="23">
        <f>EXP(-LN(2)/25)*AV130+(1-EXP(-LN(2)/25))/(LN(2)/25)*Calculateur!AQ131*Calculateur!AS131*VLOOKUP('Données projet'!$B$10,Paramètres!$A$1:$I$89,3,0)*0.475*44/12</f>
        <v>10.968963023531751</v>
      </c>
      <c r="AW131" s="23">
        <f>EXP(-LN(2)/2)*AW130+(1-EXP(-LN(2)/2))/(LN(2)/2)*AQ131*AT131*VLOOKUP('Données projet'!$B$10,Paramètres!$A$1:$I$89,3,0)*0.475*44/12</f>
        <v>6.8815187672388936E-4</v>
      </c>
      <c r="AX131" s="23">
        <f t="shared" si="60"/>
        <v>136.61328718501528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6.7133333333333338</v>
      </c>
      <c r="BD131" s="13">
        <f>IF('Données projet'!$A$88&gt;35,BD130+BC131-BL130,IF(A131&lt;'Données projet'!$A$88,$BA$205^A131,IF(A131='Données projet'!$A$88,'Données projet'!$B$88,BD130+BC131-BL130)))</f>
        <v>312.68000000000012</v>
      </c>
      <c r="BE131" s="14">
        <f>BD131*VLOOKUP('Données projet'!$B$11,Paramètres!$A$1:$I$89,3,0)*VLOOKUP('Données projet'!$B$11,Paramètres!$A$1:$I$89,5,0)</f>
        <v>282.91286400000007</v>
      </c>
      <c r="BF131" s="14">
        <f t="shared" si="91"/>
        <v>67.582209510300217</v>
      </c>
      <c r="BG131" s="22">
        <f t="shared" si="61"/>
        <v>610.44558636377292</v>
      </c>
      <c r="BH131" s="62">
        <f t="shared" si="62"/>
        <v>903.77891969710618</v>
      </c>
      <c r="BI131" s="62">
        <f ca="1">AVERAGE(OFFSET($BH$3,0,0,'Données projet'!$E$11+1,1))-AVERAGE(OFFSET($H$3,0,0,'Données projet'!$E$11+1,1))</f>
        <v>320.80580551060069</v>
      </c>
      <c r="BJ131" s="62">
        <f t="shared" si="92"/>
        <v>225.55225019382294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41.088551660385164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41.088551660385164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254.67898541152096</v>
      </c>
      <c r="CE131" s="62">
        <f t="shared" si="94"/>
        <v>251.52653810702509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43.149552066519078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43.149552066519078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6.3550942286383367E-14</v>
      </c>
      <c r="P132" s="14">
        <f t="shared" si="87"/>
        <v>1.0064464192543978E-12</v>
      </c>
      <c r="Q132" s="22">
        <f t="shared" si="108"/>
        <v>1.8635787380168604E-12</v>
      </c>
      <c r="R132" s="62">
        <f t="shared" si="109"/>
        <v>293.33333333333519</v>
      </c>
      <c r="S132" s="62">
        <f ca="1">AVERAGE(OFFSET($R$3,0,0,'Données projet'!$E$9+1,1))-AVERAGE(OFFSET($H$3,0,0,'Données projet'!$E$9+1,1))</f>
        <v>321.56347025977988</v>
      </c>
      <c r="T132" s="62">
        <f t="shared" si="88"/>
        <v>285.79375360040717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95.245069545556788</v>
      </c>
      <c r="AA132" s="23">
        <f>EXP(-LN(2)/25)*AA131+(1-EXP(-LN(2)/25))/(LN(2)/25)*Calculateur!V132*Calculateur!X132*VLOOKUP('Données projet'!$B$9,Paramètres!$A$1:$I$89,3,0)*0.475*44/12</f>
        <v>8.5992347538686964</v>
      </c>
      <c r="AB132" s="23">
        <f>EXP(-LN(2)/2)*AB131+(1-EXP(-LN(2)/2))/(LN(2)/2)*V132*Y132*VLOOKUP('Données projet'!$B$9,Paramètres!$A$1:$I$89,3,0)*0.475*44/12</f>
        <v>2.0294513099743342E-8</v>
      </c>
      <c r="AC132" s="24">
        <f t="shared" ref="AC132:AC153" si="111">SUM(Z132:AB132)</f>
        <v>103.84430431972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-3.4106051316484809E-13</v>
      </c>
      <c r="AJ132" s="14">
        <f>AI132*VLOOKUP('Données projet'!$B$10,Paramètres!$A$1:$I$89,3,0)*VLOOKUP('Données projet'!$B$10,Paramètres!$A$1:$I$89,5,0)</f>
        <v>-2.1282176021486519E-13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272.2908884671595</v>
      </c>
      <c r="AO132" s="62">
        <f t="shared" si="90"/>
        <v>220.74777226152867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123.17984094250932</v>
      </c>
      <c r="AV132" s="23">
        <f>EXP(-LN(2)/25)*AV131+(1-EXP(-LN(2)/25))/(LN(2)/25)*Calculateur!AQ132*Calculateur!AS132*VLOOKUP('Données projet'!$B$10,Paramètres!$A$1:$I$89,3,0)*0.475*44/12</f>
        <v>10.66901615282058</v>
      </c>
      <c r="AW132" s="23">
        <f>EXP(-LN(2)/2)*AW131+(1-EXP(-LN(2)/2))/(LN(2)/2)*AQ132*AT132*VLOOKUP('Données projet'!$B$10,Paramètres!$A$1:$I$89,3,0)*0.475*44/12</f>
        <v>4.865968585177113E-4</v>
      </c>
      <c r="AX132" s="23">
        <f t="shared" ref="AX132:AX153" si="114">SUM(AU132:AW132)</f>
        <v>133.8493436921884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6.7133333333333338</v>
      </c>
      <c r="BD132" s="13">
        <f>IF('Données projet'!$A$88&gt;35,BD131+BC132-BL131,IF(A132&lt;'Données projet'!$A$88,$BA$205^A132,IF(A132='Données projet'!$A$88,'Données projet'!$B$88,BD131+BC132-BL131)))</f>
        <v>319.39333333333343</v>
      </c>
      <c r="BE132" s="14">
        <f>BD132*VLOOKUP('Données projet'!$B$11,Paramètres!$A$1:$I$89,3,0)*VLOOKUP('Données projet'!$B$11,Paramètres!$A$1:$I$89,5,0)</f>
        <v>288.98708800000009</v>
      </c>
      <c r="BF132" s="14">
        <f t="shared" si="91"/>
        <v>68.862732774736074</v>
      </c>
      <c r="BG132" s="22">
        <f t="shared" ref="BG132:BG153" si="115">(BE132+BF132)*0.475*44/12</f>
        <v>623.25510451599882</v>
      </c>
      <c r="BH132" s="62">
        <f t="shared" ref="BH132:BH195" si="116">BG132+(AY132+AZ132)*44/12</f>
        <v>916.58843784933219</v>
      </c>
      <c r="BI132" s="62">
        <f ca="1">AVERAGE(OFFSET($BH$3,0,0,'Données projet'!$E$11+1,1))-AVERAGE(OFFSET($H$3,0,0,'Données projet'!$E$11+1,1))</f>
        <v>320.80580551060069</v>
      </c>
      <c r="BJ132" s="62">
        <f t="shared" si="92"/>
        <v>225.55225019382294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40.282830223866902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40.282830223866902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254.67898541152096</v>
      </c>
      <c r="CE132" s="62">
        <f t="shared" si="94"/>
        <v>251.52653810702509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42.30341566912265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42.30341566912265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6.3550942286383367E-14</v>
      </c>
      <c r="P133" s="14">
        <f t="shared" ref="P133:P196" si="141">EXP(-1.0587+0.8836*LN(O133)+0.284)</f>
        <v>1.0064464192543978E-12</v>
      </c>
      <c r="Q133" s="22">
        <f t="shared" si="108"/>
        <v>1.8635787380168604E-12</v>
      </c>
      <c r="R133" s="62">
        <f t="shared" si="109"/>
        <v>293.33333333333519</v>
      </c>
      <c r="S133" s="62">
        <f ca="1">AVERAGE(OFFSET($R$3,0,0,'Données projet'!$E$9+1,1))-AVERAGE(OFFSET($H$3,0,0,'Données projet'!$E$9+1,1))</f>
        <v>321.56347025977988</v>
      </c>
      <c r="T133" s="62">
        <f t="shared" ref="T133:T196" si="142">$T$3</f>
        <v>285.79375360040717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93.377371825524563</v>
      </c>
      <c r="AA133" s="23">
        <f>EXP(-LN(2)/25)*AA132+(1-EXP(-LN(2)/25))/(LN(2)/25)*Calculateur!V133*Calculateur!X133*VLOOKUP('Données projet'!$B$9,Paramètres!$A$1:$I$89,3,0)*0.475*44/12</f>
        <v>8.3640882273100559</v>
      </c>
      <c r="AB133" s="23">
        <f>EXP(-LN(2)/2)*AB132+(1-EXP(-LN(2)/2))/(LN(2)/2)*V133*Y133*VLOOKUP('Données projet'!$B$9,Paramètres!$A$1:$I$89,3,0)*0.475*44/12</f>
        <v>1.4350387833707738E-8</v>
      </c>
      <c r="AC133" s="24">
        <f t="shared" si="111"/>
        <v>101.741460067185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-3.4106051316484809E-13</v>
      </c>
      <c r="AJ133" s="14">
        <f>AI133*VLOOKUP('Données projet'!$B$10,Paramètres!$A$1:$I$89,3,0)*VLOOKUP('Données projet'!$B$10,Paramètres!$A$1:$I$89,5,0)</f>
        <v>-2.1282176021486519E-13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272.2908884671595</v>
      </c>
      <c r="AO133" s="62">
        <f t="shared" ref="AO133:AO196" si="144">$AO$3</f>
        <v>220.74777226152867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120.76435939391098</v>
      </c>
      <c r="AV133" s="23">
        <f>EXP(-LN(2)/25)*AV132+(1-EXP(-LN(2)/25))/(LN(2)/25)*Calculateur!AQ133*Calculateur!AS133*VLOOKUP('Données projet'!$B$10,Paramètres!$A$1:$I$89,3,0)*0.475*44/12</f>
        <v>10.377271345062526</v>
      </c>
      <c r="AW133" s="23">
        <f>EXP(-LN(2)/2)*AW132+(1-EXP(-LN(2)/2))/(LN(2)/2)*AQ133*AT133*VLOOKUP('Données projet'!$B$10,Paramètres!$A$1:$I$89,3,0)*0.475*44/12</f>
        <v>3.4407593836194473E-4</v>
      </c>
      <c r="AX133" s="23">
        <f t="shared" si="114"/>
        <v>131.14197481491186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6.7133333333333338</v>
      </c>
      <c r="BD133" s="13">
        <f>IF('Données projet'!$A$88&gt;35,BD132+BC133-BL132,IF(A133&lt;'Données projet'!$A$88,$BA$205^A133,IF(A133='Données projet'!$A$88,'Données projet'!$B$88,BD132+BC133-BL132)))</f>
        <v>326.10666666666674</v>
      </c>
      <c r="BE133" s="14">
        <f>BD133*VLOOKUP('Données projet'!$B$11,Paramètres!$A$1:$I$89,3,0)*VLOOKUP('Données projet'!$B$11,Paramètres!$A$1:$I$89,5,0)</f>
        <v>295.06131200000004</v>
      </c>
      <c r="BF133" s="14">
        <f t="shared" ref="BF133:BF153" si="145">EXP(-1.0587+0.8836*LN(BE133)+0.284)</f>
        <v>70.140126679697019</v>
      </c>
      <c r="BG133" s="22">
        <f t="shared" si="115"/>
        <v>636.05917236713901</v>
      </c>
      <c r="BH133" s="62">
        <f t="shared" si="116"/>
        <v>929.39250570047238</v>
      </c>
      <c r="BI133" s="62">
        <f ca="1">AVERAGE(OFFSET($BH$3,0,0,'Données projet'!$E$11+1,1))-AVERAGE(OFFSET($H$3,0,0,'Données projet'!$E$11+1,1))</f>
        <v>320.80580551060069</v>
      </c>
      <c r="BJ133" s="62">
        <f t="shared" ref="BJ133:BJ196" si="146">$BJ$3</f>
        <v>225.55225019382294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39.492908493277213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39.492908493277213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254.67898541152096</v>
      </c>
      <c r="CE133" s="62">
        <f t="shared" ref="CE133:CE196" si="148">$CE$3</f>
        <v>251.52653810702509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41.473871490386927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41.473871490386927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6.3550942286383367E-14</v>
      </c>
      <c r="P134" s="14">
        <f t="shared" si="141"/>
        <v>1.0064464192543978E-12</v>
      </c>
      <c r="Q134" s="22">
        <f t="shared" si="108"/>
        <v>1.8635787380168604E-12</v>
      </c>
      <c r="R134" s="62">
        <f t="shared" si="109"/>
        <v>293.33333333333519</v>
      </c>
      <c r="S134" s="62">
        <f ca="1">AVERAGE(OFFSET($R$3,0,0,'Données projet'!$E$9+1,1))-AVERAGE(OFFSET($H$3,0,0,'Données projet'!$E$9+1,1))</f>
        <v>321.56347025977988</v>
      </c>
      <c r="T134" s="62">
        <f t="shared" si="142"/>
        <v>285.79375360040717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91.546298518599045</v>
      </c>
      <c r="AA134" s="23">
        <f>EXP(-LN(2)/25)*AA133+(1-EXP(-LN(2)/25))/(LN(2)/25)*Calculateur!V134*Calculateur!X134*VLOOKUP('Données projet'!$B$9,Paramètres!$A$1:$I$89,3,0)*0.475*44/12</f>
        <v>8.1353717948859785</v>
      </c>
      <c r="AB134" s="23">
        <f>EXP(-LN(2)/2)*AB133+(1-EXP(-LN(2)/2))/(LN(2)/2)*V134*Y134*VLOOKUP('Données projet'!$B$9,Paramètres!$A$1:$I$89,3,0)*0.475*44/12</f>
        <v>1.0147256549871673E-8</v>
      </c>
      <c r="AC134" s="24">
        <f t="shared" si="111"/>
        <v>99.681670323632289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-3.4106051316484809E-13</v>
      </c>
      <c r="AJ134" s="14">
        <f>AI134*VLOOKUP('Données projet'!$B$10,Paramètres!$A$1:$I$89,3,0)*VLOOKUP('Données projet'!$B$10,Paramètres!$A$1:$I$89,5,0)</f>
        <v>-2.1282176021486519E-13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272.2908884671595</v>
      </c>
      <c r="AO134" s="62">
        <f t="shared" si="144"/>
        <v>220.74777226152867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118.39624396518239</v>
      </c>
      <c r="AV134" s="23">
        <f>EXP(-LN(2)/25)*AV133+(1-EXP(-LN(2)/25))/(LN(2)/25)*Calculateur!AQ134*Calculateur!AS134*VLOOKUP('Données projet'!$B$10,Paramètres!$A$1:$I$89,3,0)*0.475*44/12</f>
        <v>10.09350431441481</v>
      </c>
      <c r="AW134" s="23">
        <f>EXP(-LN(2)/2)*AW133+(1-EXP(-LN(2)/2))/(LN(2)/2)*AQ134*AT134*VLOOKUP('Données projet'!$B$10,Paramètres!$A$1:$I$89,3,0)*0.475*44/12</f>
        <v>2.4329842925885568E-4</v>
      </c>
      <c r="AX134" s="23">
        <f t="shared" si="114"/>
        <v>128.48999157802646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6.7133333333333338</v>
      </c>
      <c r="BD134" s="13">
        <f>IF('Données projet'!$A$88&gt;35,BD133+BC134-BL133,IF(A134&lt;'Données projet'!$A$88,$BA$205^A134,IF(A134='Données projet'!$A$88,'Données projet'!$B$88,BD133+BC134-BL133)))</f>
        <v>332.82000000000005</v>
      </c>
      <c r="BE134" s="14">
        <f>BD134*VLOOKUP('Données projet'!$B$11,Paramètres!$A$1:$I$89,3,0)*VLOOKUP('Données projet'!$B$11,Paramètres!$A$1:$I$89,5,0)</f>
        <v>301.13553600000006</v>
      </c>
      <c r="BF134" s="14">
        <f t="shared" si="145"/>
        <v>71.414463070011863</v>
      </c>
      <c r="BG134" s="22">
        <f t="shared" si="115"/>
        <v>648.85791504693748</v>
      </c>
      <c r="BH134" s="62">
        <f t="shared" si="116"/>
        <v>942.19124838027074</v>
      </c>
      <c r="BI134" s="62">
        <f ca="1">AVERAGE(OFFSET($BH$3,0,0,'Données projet'!$E$11+1,1))-AVERAGE(OFFSET($H$3,0,0,'Données projet'!$E$11+1,1))</f>
        <v>320.80580551060069</v>
      </c>
      <c r="BJ134" s="62">
        <f t="shared" si="146"/>
        <v>225.55225019382294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38.718476646019703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38.718476646019703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254.67898541152096</v>
      </c>
      <c r="CE134" s="62">
        <f t="shared" si="148"/>
        <v>251.52653810702509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40.660594167024222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40.660594167024222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6.3550942286383367E-14</v>
      </c>
      <c r="P135" s="14">
        <f t="shared" si="141"/>
        <v>1.0064464192543978E-12</v>
      </c>
      <c r="Q135" s="22">
        <f t="shared" si="108"/>
        <v>1.8635787380168604E-12</v>
      </c>
      <c r="R135" s="62">
        <f t="shared" si="109"/>
        <v>293.33333333333519</v>
      </c>
      <c r="S135" s="62">
        <f ca="1">AVERAGE(OFFSET($R$3,0,0,'Données projet'!$E$9+1,1))-AVERAGE(OFFSET($H$3,0,0,'Données projet'!$E$9+1,1))</f>
        <v>321.56347025977988</v>
      </c>
      <c r="T135" s="62">
        <f t="shared" si="142"/>
        <v>285.79375360040717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89.751131442377897</v>
      </c>
      <c r="AA135" s="23">
        <f>EXP(-LN(2)/25)*AA134+(1-EXP(-LN(2)/25))/(LN(2)/25)*Calculateur!V135*Calculateur!X135*VLOOKUP('Données projet'!$B$9,Paramètres!$A$1:$I$89,3,0)*0.475*44/12</f>
        <v>7.9129096253342119</v>
      </c>
      <c r="AB135" s="23">
        <f>EXP(-LN(2)/2)*AB134+(1-EXP(-LN(2)/2))/(LN(2)/2)*V135*Y135*VLOOKUP('Données projet'!$B$9,Paramètres!$A$1:$I$89,3,0)*0.475*44/12</f>
        <v>7.1751939168538707E-9</v>
      </c>
      <c r="AC135" s="24">
        <f t="shared" si="111"/>
        <v>97.664041074887294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-3.4106051316484809E-13</v>
      </c>
      <c r="AJ135" s="14">
        <f>AI135*VLOOKUP('Données projet'!$B$10,Paramètres!$A$1:$I$89,3,0)*VLOOKUP('Données projet'!$B$10,Paramètres!$A$1:$I$89,5,0)</f>
        <v>-2.1282176021486519E-13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272.2908884671595</v>
      </c>
      <c r="AO135" s="62">
        <f t="shared" si="144"/>
        <v>220.74777226152867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116.07456583560339</v>
      </c>
      <c r="AV135" s="23">
        <f>EXP(-LN(2)/25)*AV134+(1-EXP(-LN(2)/25))/(LN(2)/25)*Calculateur!AQ135*Calculateur!AS135*VLOOKUP('Données projet'!$B$10,Paramètres!$A$1:$I$89,3,0)*0.475*44/12</f>
        <v>9.8174969081428145</v>
      </c>
      <c r="AW135" s="23">
        <f>EXP(-LN(2)/2)*AW134+(1-EXP(-LN(2)/2))/(LN(2)/2)*AQ135*AT135*VLOOKUP('Données projet'!$B$10,Paramètres!$A$1:$I$89,3,0)*0.475*44/12</f>
        <v>1.7203796918097239E-4</v>
      </c>
      <c r="AX135" s="23">
        <f t="shared" si="114"/>
        <v>125.89223478171539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6.7133333333333338</v>
      </c>
      <c r="BD135" s="13">
        <f>IF('Données projet'!$A$88&gt;35,BD134+BC135-BL134,IF(A135&lt;'Données projet'!$A$88,$BA$205^A135,IF(A135='Données projet'!$A$88,'Données projet'!$B$88,BD134+BC135-BL134)))</f>
        <v>339.53333333333336</v>
      </c>
      <c r="BE135" s="14">
        <f>BD135*VLOOKUP('Données projet'!$B$11,Paramètres!$A$1:$I$89,3,0)*VLOOKUP('Données projet'!$B$11,Paramètres!$A$1:$I$89,5,0)</f>
        <v>307.20976000000002</v>
      </c>
      <c r="BF135" s="14">
        <f t="shared" si="145"/>
        <v>72.685810726425274</v>
      </c>
      <c r="BG135" s="22">
        <f t="shared" si="115"/>
        <v>661.651452348524</v>
      </c>
      <c r="BH135" s="62">
        <f t="shared" si="116"/>
        <v>954.98478568185737</v>
      </c>
      <c r="BI135" s="62">
        <f ca="1">AVERAGE(OFFSET($BH$3,0,0,'Données projet'!$E$11+1,1))-AVERAGE(OFFSET($H$3,0,0,'Données projet'!$E$11+1,1))</f>
        <v>320.80580551060069</v>
      </c>
      <c r="BJ135" s="62">
        <f t="shared" si="146"/>
        <v>225.55225019382294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37.959230934930133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37.959230934930133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254.67898541152096</v>
      </c>
      <c r="CE135" s="62">
        <f t="shared" si="148"/>
        <v>251.52653810702509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39.863264715922469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39.863264715922469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6.3550942286383367E-14</v>
      </c>
      <c r="P136" s="14">
        <f t="shared" si="141"/>
        <v>1.0064464192543978E-12</v>
      </c>
      <c r="Q136" s="22">
        <f t="shared" si="108"/>
        <v>1.8635787380168604E-12</v>
      </c>
      <c r="R136" s="62">
        <f t="shared" si="109"/>
        <v>293.33333333333519</v>
      </c>
      <c r="S136" s="62">
        <f ca="1">AVERAGE(OFFSET($R$3,0,0,'Données projet'!$E$9+1,1))-AVERAGE(OFFSET($H$3,0,0,'Données projet'!$E$9+1,1))</f>
        <v>321.56347025977988</v>
      </c>
      <c r="T136" s="62">
        <f t="shared" si="142"/>
        <v>285.79375360040717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87.991166497577652</v>
      </c>
      <c r="AA136" s="23">
        <f>EXP(-LN(2)/25)*AA135+(1-EXP(-LN(2)/25))/(LN(2)/25)*Calculateur!V136*Calculateur!X136*VLOOKUP('Données projet'!$B$9,Paramètres!$A$1:$I$89,3,0)*0.475*44/12</f>
        <v>7.696530695507616</v>
      </c>
      <c r="AB136" s="23">
        <f>EXP(-LN(2)/2)*AB135+(1-EXP(-LN(2)/2))/(LN(2)/2)*V136*Y136*VLOOKUP('Données projet'!$B$9,Paramètres!$A$1:$I$89,3,0)*0.475*44/12</f>
        <v>5.0736282749358371E-9</v>
      </c>
      <c r="AC136" s="24">
        <f t="shared" si="111"/>
        <v>95.687697198158901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-3.4106051316484809E-13</v>
      </c>
      <c r="AJ136" s="14">
        <f>AI136*VLOOKUP('Données projet'!$B$10,Paramètres!$A$1:$I$89,3,0)*VLOOKUP('Données projet'!$B$10,Paramètres!$A$1:$I$89,5,0)</f>
        <v>-2.1282176021486519E-13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272.2908884671595</v>
      </c>
      <c r="AO136" s="62">
        <f t="shared" si="144"/>
        <v>220.74777226152867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113.7984143980616</v>
      </c>
      <c r="AV136" s="23">
        <f>EXP(-LN(2)/25)*AV135+(1-EXP(-LN(2)/25))/(LN(2)/25)*Calculateur!AQ136*Calculateur!AS136*VLOOKUP('Données projet'!$B$10,Paramètres!$A$1:$I$89,3,0)*0.475*44/12</f>
        <v>9.549036938909925</v>
      </c>
      <c r="AW136" s="23">
        <f>EXP(-LN(2)/2)*AW135+(1-EXP(-LN(2)/2))/(LN(2)/2)*AQ136*AT136*VLOOKUP('Données projet'!$B$10,Paramètres!$A$1:$I$89,3,0)*0.475*44/12</f>
        <v>1.2164921462942786E-4</v>
      </c>
      <c r="AX136" s="23">
        <f t="shared" si="114"/>
        <v>123.34757298618615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6.7133333333333338</v>
      </c>
      <c r="BD136" s="13">
        <f>IF('Données projet'!$A$88&gt;35,BD135+BC136-BL135,IF(A136&lt;'Données projet'!$A$88,$BA$205^A136,IF(A136='Données projet'!$A$88,'Données projet'!$B$88,BD135+BC136-BL135)))</f>
        <v>346.24666666666667</v>
      </c>
      <c r="BE136" s="14">
        <f>BD136*VLOOKUP('Données projet'!$B$11,Paramètres!$A$1:$I$89,3,0)*VLOOKUP('Données projet'!$B$11,Paramètres!$A$1:$I$89,5,0)</f>
        <v>313.28398399999998</v>
      </c>
      <c r="BF136" s="14">
        <f t="shared" si="145"/>
        <v>73.954235554233009</v>
      </c>
      <c r="BG136" s="22">
        <f t="shared" si="115"/>
        <v>674.43989905695571</v>
      </c>
      <c r="BH136" s="62">
        <f t="shared" si="116"/>
        <v>967.77323239028897</v>
      </c>
      <c r="BI136" s="62">
        <f ca="1">AVERAGE(OFFSET($BH$3,0,0,'Données projet'!$E$11+1,1))-AVERAGE(OFFSET($H$3,0,0,'Données projet'!$E$11+1,1))</f>
        <v>320.80580551060069</v>
      </c>
      <c r="BJ136" s="62">
        <f t="shared" si="146"/>
        <v>225.55225019382294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37.21487356914087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37.21487356914087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254.67898541152096</v>
      </c>
      <c r="CE136" s="62">
        <f t="shared" si="148"/>
        <v>251.52653810702509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39.08157040903388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39.08157040903388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6.3550942286383367E-14</v>
      </c>
      <c r="P137" s="14">
        <f t="shared" si="141"/>
        <v>1.0064464192543978E-12</v>
      </c>
      <c r="Q137" s="22">
        <f t="shared" si="108"/>
        <v>1.8635787380168604E-12</v>
      </c>
      <c r="R137" s="62">
        <f t="shared" si="109"/>
        <v>293.33333333333519</v>
      </c>
      <c r="S137" s="62">
        <f ca="1">AVERAGE(OFFSET($R$3,0,0,'Données projet'!$E$9+1,1))-AVERAGE(OFFSET($H$3,0,0,'Données projet'!$E$9+1,1))</f>
        <v>321.56347025977988</v>
      </c>
      <c r="T137" s="62">
        <f t="shared" si="142"/>
        <v>285.79375360040717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86.26571339187231</v>
      </c>
      <c r="AA137" s="23">
        <f>EXP(-LN(2)/25)*AA136+(1-EXP(-LN(2)/25))/(LN(2)/25)*Calculateur!V137*Calculateur!X137*VLOOKUP('Données projet'!$B$9,Paramètres!$A$1:$I$89,3,0)*0.475*44/12</f>
        <v>7.4860686588960013</v>
      </c>
      <c r="AB137" s="23">
        <f>EXP(-LN(2)/2)*AB136+(1-EXP(-LN(2)/2))/(LN(2)/2)*V137*Y137*VLOOKUP('Données projet'!$B$9,Paramètres!$A$1:$I$89,3,0)*0.475*44/12</f>
        <v>3.5875969584269357E-9</v>
      </c>
      <c r="AC137" s="24">
        <f t="shared" si="111"/>
        <v>93.751782054355914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-3.4106051316484809E-13</v>
      </c>
      <c r="AJ137" s="14">
        <f>AI137*VLOOKUP('Données projet'!$B$10,Paramètres!$A$1:$I$89,3,0)*VLOOKUP('Données projet'!$B$10,Paramètres!$A$1:$I$89,5,0)</f>
        <v>-2.1282176021486519E-13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272.2908884671595</v>
      </c>
      <c r="AO137" s="62">
        <f t="shared" si="144"/>
        <v>220.74777226152867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111.56689690189471</v>
      </c>
      <c r="AV137" s="23">
        <f>EXP(-LN(2)/25)*AV136+(1-EXP(-LN(2)/25))/(LN(2)/25)*Calculateur!AQ137*Calculateur!AS137*VLOOKUP('Données projet'!$B$10,Paramètres!$A$1:$I$89,3,0)*0.475*44/12</f>
        <v>9.2879180216534056</v>
      </c>
      <c r="AW137" s="23">
        <f>EXP(-LN(2)/2)*AW136+(1-EXP(-LN(2)/2))/(LN(2)/2)*AQ137*AT137*VLOOKUP('Données projet'!$B$10,Paramètres!$A$1:$I$89,3,0)*0.475*44/12</f>
        <v>8.6018984590486211E-5</v>
      </c>
      <c r="AX137" s="23">
        <f t="shared" si="114"/>
        <v>120.85490094253271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6.7133333333333338</v>
      </c>
      <c r="BD137" s="13">
        <f>IF('Données projet'!$A$88&gt;35,BD136+BC137-BL136,IF(A137&lt;'Données projet'!$A$88,$BA$205^A137,IF(A137='Données projet'!$A$88,'Données projet'!$B$88,BD136+BC137-BL136)))</f>
        <v>352.96</v>
      </c>
      <c r="BE137" s="14">
        <f>BD137*VLOOKUP('Données projet'!$B$11,Paramètres!$A$1:$I$89,3,0)*VLOOKUP('Données projet'!$B$11,Paramètres!$A$1:$I$89,5,0)</f>
        <v>319.35820799999999</v>
      </c>
      <c r="BF137" s="14">
        <f t="shared" si="145"/>
        <v>75.219800756874776</v>
      </c>
      <c r="BG137" s="22">
        <f t="shared" si="115"/>
        <v>687.22336525155686</v>
      </c>
      <c r="BH137" s="62">
        <f t="shared" si="116"/>
        <v>980.55669858489023</v>
      </c>
      <c r="BI137" s="62">
        <f ca="1">AVERAGE(OFFSET($BH$3,0,0,'Données projet'!$E$11+1,1))-AVERAGE(OFFSET($H$3,0,0,'Données projet'!$E$11+1,1))</f>
        <v>320.80580551060069</v>
      </c>
      <c r="BJ137" s="62">
        <f t="shared" si="146"/>
        <v>225.55225019382294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36.485112597281571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36.485112597281571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254.67898541152096</v>
      </c>
      <c r="CE137" s="62">
        <f t="shared" si="148"/>
        <v>251.52653810702509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38.315204650716929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38.315204650716929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6.3550942286383367E-14</v>
      </c>
      <c r="P138" s="14">
        <f t="shared" si="141"/>
        <v>1.0064464192543978E-12</v>
      </c>
      <c r="Q138" s="22">
        <f t="shared" si="108"/>
        <v>1.8635787380168604E-12</v>
      </c>
      <c r="R138" s="62">
        <f t="shared" si="109"/>
        <v>293.33333333333519</v>
      </c>
      <c r="S138" s="62">
        <f ca="1">AVERAGE(OFFSET($R$3,0,0,'Données projet'!$E$9+1,1))-AVERAGE(OFFSET($H$3,0,0,'Données projet'!$E$9+1,1))</f>
        <v>321.56347025977988</v>
      </c>
      <c r="T138" s="62">
        <f t="shared" si="142"/>
        <v>285.79375360040717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84.574095369147372</v>
      </c>
      <c r="AA138" s="23">
        <f>EXP(-LN(2)/25)*AA137+(1-EXP(-LN(2)/25))/(LN(2)/25)*Calculateur!V138*Calculateur!X138*VLOOKUP('Données projet'!$B$9,Paramètres!$A$1:$I$89,3,0)*0.475*44/12</f>
        <v>7.2813617177432493</v>
      </c>
      <c r="AB138" s="23">
        <f>EXP(-LN(2)/2)*AB137+(1-EXP(-LN(2)/2))/(LN(2)/2)*V138*Y138*VLOOKUP('Données projet'!$B$9,Paramètres!$A$1:$I$89,3,0)*0.475*44/12</f>
        <v>2.536814137467919E-9</v>
      </c>
      <c r="AC138" s="24">
        <f t="shared" si="111"/>
        <v>91.855457089427432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-3.4106051316484809E-13</v>
      </c>
      <c r="AJ138" s="14">
        <f>AI138*VLOOKUP('Données projet'!$B$10,Paramètres!$A$1:$I$89,3,0)*VLOOKUP('Données projet'!$B$10,Paramètres!$A$1:$I$89,5,0)</f>
        <v>-2.1282176021486519E-13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272.2908884671595</v>
      </c>
      <c r="AO138" s="62">
        <f t="shared" si="144"/>
        <v>220.74777226152867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109.37913810273638</v>
      </c>
      <c r="AV138" s="23">
        <f>EXP(-LN(2)/25)*AV137+(1-EXP(-LN(2)/25))/(LN(2)/25)*Calculateur!AQ138*Calculateur!AS138*VLOOKUP('Données projet'!$B$10,Paramètres!$A$1:$I$89,3,0)*0.475*44/12</f>
        <v>9.033939414920912</v>
      </c>
      <c r="AW138" s="23">
        <f>EXP(-LN(2)/2)*AW137+(1-EXP(-LN(2)/2))/(LN(2)/2)*AQ138*AT138*VLOOKUP('Données projet'!$B$10,Paramètres!$A$1:$I$89,3,0)*0.475*44/12</f>
        <v>6.0824607314713939E-5</v>
      </c>
      <c r="AX138" s="23">
        <f t="shared" si="114"/>
        <v>118.4131383422646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6.7133333333333338</v>
      </c>
      <c r="BD138" s="13">
        <f>IF('Données projet'!$A$88&gt;35,BD137+BC138-BL137,IF(A138&lt;'Données projet'!$A$88,$BA$205^A138,IF(A138='Données projet'!$A$88,'Données projet'!$B$88,BD137+BC138-BL137)))</f>
        <v>359.67333333333329</v>
      </c>
      <c r="BE138" s="14">
        <f>BD138*VLOOKUP('Données projet'!$B$11,Paramètres!$A$1:$I$89,3,0)*VLOOKUP('Données projet'!$B$11,Paramètres!$A$1:$I$89,5,0)</f>
        <v>325.43243199999995</v>
      </c>
      <c r="BF138" s="14">
        <f t="shared" si="145"/>
        <v>76.482566995945305</v>
      </c>
      <c r="BG138" s="22">
        <f t="shared" si="115"/>
        <v>700.00195658460461</v>
      </c>
      <c r="BH138" s="62">
        <f t="shared" si="116"/>
        <v>993.33528991793787</v>
      </c>
      <c r="BI138" s="62">
        <f ca="1">AVERAGE(OFFSET($BH$3,0,0,'Données projet'!$E$11+1,1))-AVERAGE(OFFSET($H$3,0,0,'Données projet'!$E$11+1,1))</f>
        <v>320.80580551060069</v>
      </c>
      <c r="BJ138" s="62">
        <f t="shared" si="146"/>
        <v>225.55225019382294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35.76966179297019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35.76966179297019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254.67898541152096</v>
      </c>
      <c r="CE138" s="62">
        <f t="shared" si="148"/>
        <v>251.52653810702509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37.563866857483617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37.563866857483617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6.3550942286383367E-14</v>
      </c>
      <c r="P139" s="14">
        <f t="shared" si="141"/>
        <v>1.0064464192543978E-12</v>
      </c>
      <c r="Q139" s="22">
        <f t="shared" si="108"/>
        <v>1.8635787380168604E-12</v>
      </c>
      <c r="R139" s="62">
        <f t="shared" si="109"/>
        <v>293.33333333333519</v>
      </c>
      <c r="S139" s="62">
        <f ca="1">AVERAGE(OFFSET($R$3,0,0,'Données projet'!$E$9+1,1))-AVERAGE(OFFSET($H$3,0,0,'Données projet'!$E$9+1,1))</f>
        <v>321.56347025977988</v>
      </c>
      <c r="T139" s="62">
        <f t="shared" si="142"/>
        <v>285.79375360040717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82.915648944062966</v>
      </c>
      <c r="AA139" s="23">
        <f>EXP(-LN(2)/25)*AA138+(1-EXP(-LN(2)/25))/(LN(2)/25)*Calculateur!V139*Calculateur!X139*VLOOKUP('Données projet'!$B$9,Paramètres!$A$1:$I$89,3,0)*0.475*44/12</f>
        <v>7.0822524986613891</v>
      </c>
      <c r="AB139" s="23">
        <f>EXP(-LN(2)/2)*AB138+(1-EXP(-LN(2)/2))/(LN(2)/2)*V139*Y139*VLOOKUP('Données projet'!$B$9,Paramètres!$A$1:$I$89,3,0)*0.475*44/12</f>
        <v>1.7937984792134683E-9</v>
      </c>
      <c r="AC139" s="24">
        <f t="shared" si="111"/>
        <v>89.997901444518149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-3.4106051316484809E-13</v>
      </c>
      <c r="AJ139" s="14">
        <f>AI139*VLOOKUP('Données projet'!$B$10,Paramètres!$A$1:$I$89,3,0)*VLOOKUP('Données projet'!$B$10,Paramètres!$A$1:$I$89,5,0)</f>
        <v>-2.1282176021486519E-13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272.2908884671595</v>
      </c>
      <c r="AO139" s="62">
        <f t="shared" si="144"/>
        <v>220.74777226152867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107.23427991922843</v>
      </c>
      <c r="AV139" s="23">
        <f>EXP(-LN(2)/25)*AV138+(1-EXP(-LN(2)/25))/(LN(2)/25)*Calculateur!AQ139*Calculateur!AS139*VLOOKUP('Données projet'!$B$10,Paramètres!$A$1:$I$89,3,0)*0.475*44/12</f>
        <v>8.7869058665456734</v>
      </c>
      <c r="AW139" s="23">
        <f>EXP(-LN(2)/2)*AW138+(1-EXP(-LN(2)/2))/(LN(2)/2)*AQ139*AT139*VLOOKUP('Données projet'!$B$10,Paramètres!$A$1:$I$89,3,0)*0.475*44/12</f>
        <v>4.3009492295243112E-5</v>
      </c>
      <c r="AX139" s="23">
        <f t="shared" si="114"/>
        <v>116.0212287952664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6.7133333333333338</v>
      </c>
      <c r="BD139" s="13">
        <f>IF('Données projet'!$A$88&gt;35,BD138+BC139-BL138,IF(A139&lt;'Données projet'!$A$88,$BA$205^A139,IF(A139='Données projet'!$A$88,'Données projet'!$B$88,BD138+BC139-BL138)))</f>
        <v>366.3866666666666</v>
      </c>
      <c r="BE139" s="14">
        <f>BD139*VLOOKUP('Données projet'!$B$11,Paramètres!$A$1:$I$89,3,0)*VLOOKUP('Données projet'!$B$11,Paramètres!$A$1:$I$89,5,0)</f>
        <v>331.50665599999991</v>
      </c>
      <c r="BF139" s="14">
        <f t="shared" si="145"/>
        <v>77.742592538922509</v>
      </c>
      <c r="BG139" s="22">
        <f t="shared" si="115"/>
        <v>712.77577453862307</v>
      </c>
      <c r="BH139" s="62">
        <f t="shared" si="116"/>
        <v>1006.1091078719564</v>
      </c>
      <c r="BI139" s="62">
        <f ca="1">AVERAGE(OFFSET($BH$3,0,0,'Données projet'!$E$11+1,1))-AVERAGE(OFFSET($H$3,0,0,'Données projet'!$E$11+1,1))</f>
        <v>320.80580551060069</v>
      </c>
      <c r="BJ139" s="62">
        <f t="shared" si="146"/>
        <v>225.55225019382294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35.068240542549454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35.068240542549454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254.67898541152096</v>
      </c>
      <c r="CE139" s="62">
        <f t="shared" si="148"/>
        <v>251.52653810702509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36.827262340104802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36.827262340104802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6.3550942286383367E-14</v>
      </c>
      <c r="P140" s="14">
        <f t="shared" si="141"/>
        <v>1.0064464192543978E-12</v>
      </c>
      <c r="Q140" s="22">
        <f t="shared" si="108"/>
        <v>1.8635787380168604E-12</v>
      </c>
      <c r="R140" s="62">
        <f t="shared" si="109"/>
        <v>293.33333333333519</v>
      </c>
      <c r="S140" s="62">
        <f ca="1">AVERAGE(OFFSET($R$3,0,0,'Données projet'!$E$9+1,1))-AVERAGE(OFFSET($H$3,0,0,'Données projet'!$E$9+1,1))</f>
        <v>321.56347025977988</v>
      </c>
      <c r="T140" s="62">
        <f t="shared" si="142"/>
        <v>285.79375360040717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81.289723641822022</v>
      </c>
      <c r="AA140" s="23">
        <f>EXP(-LN(2)/25)*AA139+(1-EXP(-LN(2)/25))/(LN(2)/25)*Calculateur!V140*Calculateur!X140*VLOOKUP('Données projet'!$B$9,Paramètres!$A$1:$I$89,3,0)*0.475*44/12</f>
        <v>6.888587931646021</v>
      </c>
      <c r="AB140" s="23">
        <f>EXP(-LN(2)/2)*AB139+(1-EXP(-LN(2)/2))/(LN(2)/2)*V140*Y140*VLOOKUP('Données projet'!$B$9,Paramètres!$A$1:$I$89,3,0)*0.475*44/12</f>
        <v>1.2684070687339597E-9</v>
      </c>
      <c r="AC140" s="24">
        <f t="shared" si="111"/>
        <v>88.178311574736441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-3.4106051316484809E-13</v>
      </c>
      <c r="AJ140" s="14">
        <f>AI140*VLOOKUP('Données projet'!$B$10,Paramètres!$A$1:$I$89,3,0)*VLOOKUP('Données projet'!$B$10,Paramètres!$A$1:$I$89,5,0)</f>
        <v>-2.1282176021486519E-13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272.2908884671595</v>
      </c>
      <c r="AO140" s="62">
        <f t="shared" si="144"/>
        <v>220.74777226152867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105.13148109646475</v>
      </c>
      <c r="AV140" s="23">
        <f>EXP(-LN(2)/25)*AV139+(1-EXP(-LN(2)/25))/(LN(2)/25)*Calculateur!AQ140*Calculateur!AS140*VLOOKUP('Données projet'!$B$10,Paramètres!$A$1:$I$89,3,0)*0.475*44/12</f>
        <v>8.5466274635416859</v>
      </c>
      <c r="AW140" s="23">
        <f>EXP(-LN(2)/2)*AW139+(1-EXP(-LN(2)/2))/(LN(2)/2)*AQ140*AT140*VLOOKUP('Données projet'!$B$10,Paramètres!$A$1:$I$89,3,0)*0.475*44/12</f>
        <v>3.0412303657356976E-5</v>
      </c>
      <c r="AX140" s="23">
        <f t="shared" si="114"/>
        <v>113.67813897231009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>
        <f>VLOOKUP(A140,'Données projet'!$A$87:$I$107,2,0)</f>
        <v>373.1</v>
      </c>
      <c r="BB140" s="13">
        <f>VLOOKUP(A140,'Données projet'!$A$87:$I$107,9,0)</f>
        <v>6.7133333333333338</v>
      </c>
      <c r="BC140" s="13">
        <f t="array" ref="BC140">INDEX(BB:BB,MIN(IF(ISNUMBER(BB140:BB336),ROW(BB140:BB336),"")))</f>
        <v>6.7133333333333338</v>
      </c>
      <c r="BD140" s="13">
        <f>IF('Données projet'!$A$88&gt;35,BD139+BC140-BL139,IF(A140&lt;'Données projet'!$A$88,$BA$205^A140,IF(A140='Données projet'!$A$88,'Données projet'!$B$88,BD139+BC140-BL139)))</f>
        <v>373.09999999999991</v>
      </c>
      <c r="BE140" s="14">
        <f>BD140*VLOOKUP('Données projet'!$B$11,Paramètres!$A$1:$I$89,3,0)*VLOOKUP('Données projet'!$B$11,Paramètres!$A$1:$I$89,5,0)</f>
        <v>337.58087999999992</v>
      </c>
      <c r="BF140" s="14">
        <f t="shared" si="145"/>
        <v>78.999933395760593</v>
      </c>
      <c r="BG140" s="22">
        <f t="shared" si="115"/>
        <v>725.54491666428282</v>
      </c>
      <c r="BH140" s="62">
        <f t="shared" si="116"/>
        <v>1018.8782499976162</v>
      </c>
      <c r="BI140" s="62">
        <f ca="1">AVERAGE(OFFSET($BH$3,0,0,'Données projet'!$E$11+1,1))-AVERAGE(OFFSET($H$3,0,0,'Données projet'!$E$11+1,1))</f>
        <v>320.80580551060069</v>
      </c>
      <c r="BJ140" s="62">
        <f t="shared" si="146"/>
        <v>225.55225019382294</v>
      </c>
      <c r="BK140" s="16">
        <f>IF(ISNA(VLOOKUP(A140,'Données projet'!$A$87:$I$107,3,0)),0,VLOOKUP(A140,'Données projet'!$A$87:$I$107,3,0))</f>
        <v>11</v>
      </c>
      <c r="BL140" s="16">
        <f>IF(ISNA(VLOOKUP(A140,'Données projet'!$A$87:$I$107,4,0)),0,VLOOKUP(A140,'Données projet'!$A$87:$I$107,4,0))</f>
        <v>65.53</v>
      </c>
      <c r="BM140" s="17">
        <f>IF(ISNA(VLOOKUP(A140,'Données projet'!$A$87:$I$107,5,0)),0%,VLOOKUP(A140,'Données projet'!$A$87:$I$107,5,0)*VLOOKUP('Données projet'!$B$11,Paramètres!$A$1:$I$89,7,0))</f>
        <v>0.30099999999999999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54.109632475305915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54.109632475305915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254.67898541152096</v>
      </c>
      <c r="CE140" s="62">
        <f t="shared" si="148"/>
        <v>251.52653810702509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36.105102188027395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36.105102188027395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6.3550942286383367E-14</v>
      </c>
      <c r="P141" s="14">
        <f t="shared" si="141"/>
        <v>1.0064464192543978E-12</v>
      </c>
      <c r="Q141" s="22">
        <f t="shared" si="108"/>
        <v>1.8635787380168604E-12</v>
      </c>
      <c r="R141" s="62">
        <f t="shared" si="109"/>
        <v>293.33333333333519</v>
      </c>
      <c r="S141" s="62">
        <f ca="1">AVERAGE(OFFSET($R$3,0,0,'Données projet'!$E$9+1,1))-AVERAGE(OFFSET($H$3,0,0,'Données projet'!$E$9+1,1))</f>
        <v>321.56347025977988</v>
      </c>
      <c r="T141" s="62">
        <f t="shared" si="142"/>
        <v>285.79375360040717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79.695681743041519</v>
      </c>
      <c r="AA141" s="23">
        <f>EXP(-LN(2)/25)*AA140+(1-EXP(-LN(2)/25))/(LN(2)/25)*Calculateur!V141*Calculateur!X141*VLOOKUP('Données projet'!$B$9,Paramètres!$A$1:$I$89,3,0)*0.475*44/12</f>
        <v>6.7002191324000657</v>
      </c>
      <c r="AB141" s="23">
        <f>EXP(-LN(2)/2)*AB140+(1-EXP(-LN(2)/2))/(LN(2)/2)*V141*Y141*VLOOKUP('Données projet'!$B$9,Paramètres!$A$1:$I$89,3,0)*0.475*44/12</f>
        <v>8.9689923960673425E-10</v>
      </c>
      <c r="AC141" s="24">
        <f t="shared" si="111"/>
        <v>86.395900876338487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-3.4106051316484809E-13</v>
      </c>
      <c r="AJ141" s="14">
        <f>AI141*VLOOKUP('Données projet'!$B$10,Paramètres!$A$1:$I$89,3,0)*VLOOKUP('Données projet'!$B$10,Paramètres!$A$1:$I$89,5,0)</f>
        <v>-2.1282176021486519E-13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272.2908884671595</v>
      </c>
      <c r="AO141" s="62">
        <f t="shared" si="144"/>
        <v>220.74777226152867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103.06991687603484</v>
      </c>
      <c r="AV141" s="23">
        <f>EXP(-LN(2)/25)*AV140+(1-EXP(-LN(2)/25))/(LN(2)/25)*Calculateur!AQ141*Calculateur!AS141*VLOOKUP('Données projet'!$B$10,Paramètres!$A$1:$I$89,3,0)*0.475*44/12</f>
        <v>8.3129194861035334</v>
      </c>
      <c r="AW141" s="23">
        <f>EXP(-LN(2)/2)*AW140+(1-EXP(-LN(2)/2))/(LN(2)/2)*AQ141*AT141*VLOOKUP('Données projet'!$B$10,Paramètres!$A$1:$I$89,3,0)*0.475*44/12</f>
        <v>2.1504746147621559E-5</v>
      </c>
      <c r="AX141" s="23">
        <f t="shared" si="114"/>
        <v>111.38285786688452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6.5224999999999937</v>
      </c>
      <c r="BD141" s="13">
        <f>IF('Données projet'!$A$88&gt;35,BD140+BC141-BL140,IF(A141&lt;'Données projet'!$A$88,$BA$205^A141,IF(A141='Données projet'!$A$88,'Données projet'!$B$88,BD140+BC141-BL140)))</f>
        <v>314.09249999999986</v>
      </c>
      <c r="BE141" s="14">
        <f>BD141*VLOOKUP('Données projet'!$B$11,Paramètres!$A$1:$I$89,3,0)*VLOOKUP('Données projet'!$B$11,Paramètres!$A$1:$I$89,5,0)</f>
        <v>284.19089399999984</v>
      </c>
      <c r="BF141" s="14">
        <f t="shared" si="145"/>
        <v>67.851898019027914</v>
      </c>
      <c r="BG141" s="22">
        <f t="shared" si="115"/>
        <v>613.14119609980662</v>
      </c>
      <c r="BH141" s="62">
        <f t="shared" si="116"/>
        <v>906.47452943313988</v>
      </c>
      <c r="BI141" s="62">
        <f ca="1">AVERAGE(OFFSET($BH$3,0,0,'Données projet'!$E$11+1,1))-AVERAGE(OFFSET($H$3,0,0,'Données projet'!$E$11+1,1))</f>
        <v>320.80580551060069</v>
      </c>
      <c r="BJ141" s="62">
        <f t="shared" si="146"/>
        <v>225.55225019382294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53.048575586082137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53.048575586082137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254.67898541152096</v>
      </c>
      <c r="CE141" s="62">
        <f t="shared" si="148"/>
        <v>251.52653810702509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35.39710315605803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35.39710315605803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6.3550942286383367E-14</v>
      </c>
      <c r="P142" s="14">
        <f t="shared" si="141"/>
        <v>1.0064464192543978E-12</v>
      </c>
      <c r="Q142" s="22">
        <f t="shared" si="108"/>
        <v>1.8635787380168604E-12</v>
      </c>
      <c r="R142" s="62">
        <f t="shared" si="109"/>
        <v>293.33333333333519</v>
      </c>
      <c r="S142" s="62">
        <f ca="1">AVERAGE(OFFSET($R$3,0,0,'Données projet'!$E$9+1,1))-AVERAGE(OFFSET($H$3,0,0,'Données projet'!$E$9+1,1))</f>
        <v>321.56347025977988</v>
      </c>
      <c r="T142" s="62">
        <f t="shared" si="142"/>
        <v>285.79375360040717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78.132898033626546</v>
      </c>
      <c r="AA142" s="23">
        <f>EXP(-LN(2)/25)*AA141+(1-EXP(-LN(2)/25))/(LN(2)/25)*Calculateur!V142*Calculateur!X142*VLOOKUP('Données projet'!$B$9,Paramètres!$A$1:$I$89,3,0)*0.475*44/12</f>
        <v>6.5170012878753756</v>
      </c>
      <c r="AB142" s="23">
        <f>EXP(-LN(2)/2)*AB141+(1-EXP(-LN(2)/2))/(LN(2)/2)*V142*Y142*VLOOKUP('Données projet'!$B$9,Paramètres!$A$1:$I$89,3,0)*0.475*44/12</f>
        <v>6.3420353436697995E-10</v>
      </c>
      <c r="AC142" s="24">
        <f t="shared" si="111"/>
        <v>84.649899322136122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-3.4106051316484809E-13</v>
      </c>
      <c r="AJ142" s="14">
        <f>AI142*VLOOKUP('Données projet'!$B$10,Paramètres!$A$1:$I$89,3,0)*VLOOKUP('Données projet'!$B$10,Paramètres!$A$1:$I$89,5,0)</f>
        <v>-2.1282176021486519E-13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272.2908884671595</v>
      </c>
      <c r="AO142" s="62">
        <f t="shared" si="144"/>
        <v>220.74777226152867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101.04877867253754</v>
      </c>
      <c r="AV142" s="23">
        <f>EXP(-LN(2)/25)*AV141+(1-EXP(-LN(2)/25))/(LN(2)/25)*Calculateur!AQ142*Calculateur!AS142*VLOOKUP('Données projet'!$B$10,Paramètres!$A$1:$I$89,3,0)*0.475*44/12</f>
        <v>8.0856022655985953</v>
      </c>
      <c r="AW142" s="23">
        <f>EXP(-LN(2)/2)*AW141+(1-EXP(-LN(2)/2))/(LN(2)/2)*AQ142*AT142*VLOOKUP('Données projet'!$B$10,Paramètres!$A$1:$I$89,3,0)*0.475*44/12</f>
        <v>1.520615182867849E-5</v>
      </c>
      <c r="AX142" s="23">
        <f t="shared" si="114"/>
        <v>109.13439614428796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6.5224999999999937</v>
      </c>
      <c r="BD142" s="13">
        <f>IF('Données projet'!$A$88&gt;35,BD141+BC142-BL141,IF(A142&lt;'Données projet'!$A$88,$BA$205^A142,IF(A142='Données projet'!$A$88,'Données projet'!$B$88,BD141+BC142-BL141)))</f>
        <v>320.61499999999984</v>
      </c>
      <c r="BE142" s="14">
        <f>BD142*VLOOKUP('Données projet'!$B$11,Paramètres!$A$1:$I$89,3,0)*VLOOKUP('Données projet'!$B$11,Paramètres!$A$1:$I$89,5,0)</f>
        <v>290.09245199999987</v>
      </c>
      <c r="BF142" s="14">
        <f t="shared" si="145"/>
        <v>69.095418791455359</v>
      </c>
      <c r="BG142" s="22">
        <f t="shared" si="115"/>
        <v>625.5855416284511</v>
      </c>
      <c r="BH142" s="62">
        <f t="shared" si="116"/>
        <v>918.91887496178447</v>
      </c>
      <c r="BI142" s="62">
        <f ca="1">AVERAGE(OFFSET($BH$3,0,0,'Données projet'!$E$11+1,1))-AVERAGE(OFFSET($H$3,0,0,'Données projet'!$E$11+1,1))</f>
        <v>320.80580551060069</v>
      </c>
      <c r="BJ142" s="62">
        <f t="shared" si="146"/>
        <v>225.55225019382294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52.008325375275241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52.008325375275241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254.67898541152096</v>
      </c>
      <c r="CE142" s="62">
        <f t="shared" si="148"/>
        <v>251.52653810702509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34.702987553268812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34.702987553268812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6.3550942286383367E-14</v>
      </c>
      <c r="P143" s="14">
        <f t="shared" si="141"/>
        <v>1.0064464192543978E-12</v>
      </c>
      <c r="Q143" s="22">
        <f t="shared" si="108"/>
        <v>1.8635787380168604E-12</v>
      </c>
      <c r="R143" s="62">
        <f t="shared" si="109"/>
        <v>293.33333333333519</v>
      </c>
      <c r="S143" s="62">
        <f ca="1">AVERAGE(OFFSET($R$3,0,0,'Données projet'!$E$9+1,1))-AVERAGE(OFFSET($H$3,0,0,'Données projet'!$E$9+1,1))</f>
        <v>321.56347025977988</v>
      </c>
      <c r="T143" s="62">
        <f t="shared" si="142"/>
        <v>285.79375360040717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76.60075955954926</v>
      </c>
      <c r="AA143" s="23">
        <f>EXP(-LN(2)/25)*AA142+(1-EXP(-LN(2)/25))/(LN(2)/25)*Calculateur!V143*Calculateur!X143*VLOOKUP('Données projet'!$B$9,Paramètres!$A$1:$I$89,3,0)*0.475*44/12</f>
        <v>6.3387935449442203</v>
      </c>
      <c r="AB143" s="23">
        <f>EXP(-LN(2)/2)*AB142+(1-EXP(-LN(2)/2))/(LN(2)/2)*V143*Y143*VLOOKUP('Données projet'!$B$9,Paramètres!$A$1:$I$89,3,0)*0.475*44/12</f>
        <v>4.4844961980336717E-10</v>
      </c>
      <c r="AC143" s="24">
        <f t="shared" si="111"/>
        <v>82.939553104941936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-3.4106051316484809E-13</v>
      </c>
      <c r="AJ143" s="14">
        <f>AI143*VLOOKUP('Données projet'!$B$10,Paramètres!$A$1:$I$89,3,0)*VLOOKUP('Données projet'!$B$10,Paramètres!$A$1:$I$89,5,0)</f>
        <v>-2.1282176021486519E-13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272.2908884671595</v>
      </c>
      <c r="AO143" s="62">
        <f t="shared" si="144"/>
        <v>220.74777226152867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99.06727375643824</v>
      </c>
      <c r="AV143" s="23">
        <f>EXP(-LN(2)/25)*AV142+(1-EXP(-LN(2)/25))/(LN(2)/25)*Calculateur!AQ143*Calculateur!AS143*VLOOKUP('Données projet'!$B$10,Paramètres!$A$1:$I$89,3,0)*0.475*44/12</f>
        <v>7.8645010464424585</v>
      </c>
      <c r="AW143" s="23">
        <f>EXP(-LN(2)/2)*AW142+(1-EXP(-LN(2)/2))/(LN(2)/2)*AQ143*AT143*VLOOKUP('Données projet'!$B$10,Paramètres!$A$1:$I$89,3,0)*0.475*44/12</f>
        <v>1.0752373073810781E-5</v>
      </c>
      <c r="AX143" s="23">
        <f t="shared" si="114"/>
        <v>106.93178555525377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6.5224999999999937</v>
      </c>
      <c r="BD143" s="13">
        <f>IF('Données projet'!$A$88&gt;35,BD142+BC143-BL142,IF(A143&lt;'Données projet'!$A$88,$BA$205^A143,IF(A143='Données projet'!$A$88,'Données projet'!$B$88,BD142+BC143-BL142)))</f>
        <v>327.13749999999982</v>
      </c>
      <c r="BE143" s="14">
        <f>BD143*VLOOKUP('Données projet'!$B$11,Paramètres!$A$1:$I$89,3,0)*VLOOKUP('Données projet'!$B$11,Paramètres!$A$1:$I$89,5,0)</f>
        <v>295.99400999999983</v>
      </c>
      <c r="BF143" s="14">
        <f t="shared" si="145"/>
        <v>70.335998165580676</v>
      </c>
      <c r="BG143" s="22">
        <f t="shared" si="115"/>
        <v>638.02476422171935</v>
      </c>
      <c r="BH143" s="62">
        <f t="shared" si="116"/>
        <v>931.35809755505261</v>
      </c>
      <c r="BI143" s="62">
        <f ca="1">AVERAGE(OFFSET($BH$3,0,0,'Données projet'!$E$11+1,1))-AVERAGE(OFFSET($H$3,0,0,'Données projet'!$E$11+1,1))</f>
        <v>320.80580551060069</v>
      </c>
      <c r="BJ143" s="62">
        <f t="shared" si="146"/>
        <v>225.55225019382294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50.988473836612293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50.988473836612293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254.67898541152096</v>
      </c>
      <c r="CE143" s="62">
        <f t="shared" si="148"/>
        <v>251.52653810702509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34.022483134081575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34.022483134081575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6.3550942286383367E-14</v>
      </c>
      <c r="P144" s="14">
        <f t="shared" si="141"/>
        <v>1.0064464192543978E-12</v>
      </c>
      <c r="Q144" s="22">
        <f t="shared" si="108"/>
        <v>1.8635787380168604E-12</v>
      </c>
      <c r="R144" s="62">
        <f t="shared" si="109"/>
        <v>293.33333333333519</v>
      </c>
      <c r="S144" s="62">
        <f ca="1">AVERAGE(OFFSET($R$3,0,0,'Données projet'!$E$9+1,1))-AVERAGE(OFFSET($H$3,0,0,'Données projet'!$E$9+1,1))</f>
        <v>321.56347025977988</v>
      </c>
      <c r="T144" s="62">
        <f t="shared" si="142"/>
        <v>285.79375360040717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75.098665386436437</v>
      </c>
      <c r="AA144" s="23">
        <f>EXP(-LN(2)/25)*AA143+(1-EXP(-LN(2)/25))/(LN(2)/25)*Calculateur!V144*Calculateur!X144*VLOOKUP('Données projet'!$B$9,Paramètres!$A$1:$I$89,3,0)*0.475*44/12</f>
        <v>6.1654589021150557</v>
      </c>
      <c r="AB144" s="23">
        <f>EXP(-LN(2)/2)*AB143+(1-EXP(-LN(2)/2))/(LN(2)/2)*V144*Y144*VLOOKUP('Données projet'!$B$9,Paramètres!$A$1:$I$89,3,0)*0.475*44/12</f>
        <v>3.1710176718349003E-10</v>
      </c>
      <c r="AC144" s="24">
        <f t="shared" si="111"/>
        <v>81.264124288868601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-3.4106051316484809E-13</v>
      </c>
      <c r="AJ144" s="14">
        <f>AI144*VLOOKUP('Données projet'!$B$10,Paramètres!$A$1:$I$89,3,0)*VLOOKUP('Données projet'!$B$10,Paramètres!$A$1:$I$89,5,0)</f>
        <v>-2.1282176021486519E-13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272.2908884671595</v>
      </c>
      <c r="AO144" s="62">
        <f t="shared" si="144"/>
        <v>220.74777226152867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97.124624943144994</v>
      </c>
      <c r="AV144" s="23">
        <f>EXP(-LN(2)/25)*AV143+(1-EXP(-LN(2)/25))/(LN(2)/25)*Calculateur!AQ144*Calculateur!AS144*VLOOKUP('Données projet'!$B$10,Paramètres!$A$1:$I$89,3,0)*0.475*44/12</f>
        <v>7.6494458517513539</v>
      </c>
      <c r="AW144" s="23">
        <f>EXP(-LN(2)/2)*AW143+(1-EXP(-LN(2)/2))/(LN(2)/2)*AQ144*AT144*VLOOKUP('Données projet'!$B$10,Paramètres!$A$1:$I$89,3,0)*0.475*44/12</f>
        <v>7.6030759143392458E-6</v>
      </c>
      <c r="AX144" s="23">
        <f t="shared" si="114"/>
        <v>104.77407839797226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6.5224999999999937</v>
      </c>
      <c r="BD144" s="13">
        <f>IF('Données projet'!$A$88&gt;35,BD143+BC144-BL143,IF(A144&lt;'Données projet'!$A$88,$BA$205^A144,IF(A144='Données projet'!$A$88,'Données projet'!$B$88,BD143+BC144-BL143)))</f>
        <v>333.6599999999998</v>
      </c>
      <c r="BE144" s="14">
        <f>BD144*VLOOKUP('Données projet'!$B$11,Paramètres!$A$1:$I$89,3,0)*VLOOKUP('Données projet'!$B$11,Paramètres!$A$1:$I$89,5,0)</f>
        <v>301.8955679999998</v>
      </c>
      <c r="BF144" s="14">
        <f t="shared" si="145"/>
        <v>71.573701546507976</v>
      </c>
      <c r="BG144" s="22">
        <f t="shared" si="115"/>
        <v>650.45897779350105</v>
      </c>
      <c r="BH144" s="62">
        <f t="shared" si="116"/>
        <v>943.79231112683442</v>
      </c>
      <c r="BI144" s="62">
        <f ca="1">AVERAGE(OFFSET($BH$3,0,0,'Données projet'!$E$11+1,1))-AVERAGE(OFFSET($H$3,0,0,'Données projet'!$E$11+1,1))</f>
        <v>320.80580551060069</v>
      </c>
      <c r="BJ144" s="62">
        <f t="shared" si="146"/>
        <v>225.55225019382294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49.988620964574508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49.988620964574508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254.67898541152096</v>
      </c>
      <c r="CE144" s="62">
        <f t="shared" si="148"/>
        <v>251.52653810702509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33.355322991487888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33.355322991487888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6.3550942286383367E-14</v>
      </c>
      <c r="P145" s="14">
        <f t="shared" si="141"/>
        <v>1.0064464192543978E-12</v>
      </c>
      <c r="Q145" s="22">
        <f t="shared" si="108"/>
        <v>1.8635787380168604E-12</v>
      </c>
      <c r="R145" s="62">
        <f t="shared" si="109"/>
        <v>293.33333333333519</v>
      </c>
      <c r="S145" s="62">
        <f ca="1">AVERAGE(OFFSET($R$3,0,0,'Données projet'!$E$9+1,1))-AVERAGE(OFFSET($H$3,0,0,'Données projet'!$E$9+1,1))</f>
        <v>321.56347025977988</v>
      </c>
      <c r="T145" s="62">
        <f t="shared" si="142"/>
        <v>285.79375360040717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73.626026363871375</v>
      </c>
      <c r="AA145" s="23">
        <f>EXP(-LN(2)/25)*AA144+(1-EXP(-LN(2)/25))/(LN(2)/25)*Calculateur!V145*Calculateur!X145*VLOOKUP('Données projet'!$B$9,Paramètres!$A$1:$I$89,3,0)*0.475*44/12</f>
        <v>5.9968641042093269</v>
      </c>
      <c r="AB145" s="23">
        <f>EXP(-LN(2)/2)*AB144+(1-EXP(-LN(2)/2))/(LN(2)/2)*V145*Y145*VLOOKUP('Données projet'!$B$9,Paramètres!$A$1:$I$89,3,0)*0.475*44/12</f>
        <v>2.2422480990168364E-10</v>
      </c>
      <c r="AC145" s="24">
        <f t="shared" si="111"/>
        <v>79.622890468304917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-3.4106051316484809E-13</v>
      </c>
      <c r="AJ145" s="14">
        <f>AI145*VLOOKUP('Données projet'!$B$10,Paramètres!$A$1:$I$89,3,0)*VLOOKUP('Données projet'!$B$10,Paramètres!$A$1:$I$89,5,0)</f>
        <v>-2.1282176021486519E-13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272.2908884671595</v>
      </c>
      <c r="AO145" s="62">
        <f t="shared" si="144"/>
        <v>220.74777226152867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95.22007028818166</v>
      </c>
      <c r="AV145" s="23">
        <f>EXP(-LN(2)/25)*AV144+(1-EXP(-LN(2)/25))/(LN(2)/25)*Calculateur!AQ145*Calculateur!AS145*VLOOKUP('Données projet'!$B$10,Paramètres!$A$1:$I$89,3,0)*0.475*44/12</f>
        <v>7.4402713526683391</v>
      </c>
      <c r="AW145" s="23">
        <f>EXP(-LN(2)/2)*AW144+(1-EXP(-LN(2)/2))/(LN(2)/2)*AQ145*AT145*VLOOKUP('Données projet'!$B$10,Paramètres!$A$1:$I$89,3,0)*0.475*44/12</f>
        <v>5.3761865369053916E-6</v>
      </c>
      <c r="AX145" s="23">
        <f t="shared" si="114"/>
        <v>102.66034701703653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6.5224999999999937</v>
      </c>
      <c r="BD145" s="13">
        <f>IF('Données projet'!$A$88&gt;35,BD144+BC145-BL144,IF(A145&lt;'Données projet'!$A$88,$BA$205^A145,IF(A145='Données projet'!$A$88,'Données projet'!$B$88,BD144+BC145-BL144)))</f>
        <v>340.18249999999978</v>
      </c>
      <c r="BE145" s="14">
        <f>BD145*VLOOKUP('Données projet'!$B$11,Paramètres!$A$1:$I$89,3,0)*VLOOKUP('Données projet'!$B$11,Paramètres!$A$1:$I$89,5,0)</f>
        <v>307.79712599999976</v>
      </c>
      <c r="BF145" s="14">
        <f t="shared" si="145"/>
        <v>72.808591635954159</v>
      </c>
      <c r="BG145" s="22">
        <f t="shared" si="115"/>
        <v>662.88829154928635</v>
      </c>
      <c r="BH145" s="62">
        <f t="shared" si="116"/>
        <v>956.22162488261961</v>
      </c>
      <c r="BI145" s="62">
        <f ca="1">AVERAGE(OFFSET($BH$3,0,0,'Données projet'!$E$11+1,1))-AVERAGE(OFFSET($H$3,0,0,'Données projet'!$E$11+1,1))</f>
        <v>320.80580551060069</v>
      </c>
      <c r="BJ145" s="62">
        <f t="shared" si="146"/>
        <v>225.55225019382294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49.008374597507348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49.008374597507348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254.67898541152096</v>
      </c>
      <c r="CE145" s="62">
        <f t="shared" si="148"/>
        <v>251.52653810702509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32.701245452362961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32.701245452362961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6.3550942286383367E-14</v>
      </c>
      <c r="P146" s="14">
        <f t="shared" si="141"/>
        <v>1.0064464192543978E-12</v>
      </c>
      <c r="Q146" s="22">
        <f t="shared" si="108"/>
        <v>1.8635787380168604E-12</v>
      </c>
      <c r="R146" s="62">
        <f t="shared" si="109"/>
        <v>293.33333333333519</v>
      </c>
      <c r="S146" s="62">
        <f ca="1">AVERAGE(OFFSET($R$3,0,0,'Données projet'!$E$9+1,1))-AVERAGE(OFFSET($H$3,0,0,'Données projet'!$E$9+1,1))</f>
        <v>321.56347025977988</v>
      </c>
      <c r="T146" s="62">
        <f t="shared" si="142"/>
        <v>285.79375360040717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72.182264894317697</v>
      </c>
      <c r="AA146" s="23">
        <f>EXP(-LN(2)/25)*AA145+(1-EXP(-LN(2)/25))/(LN(2)/25)*Calculateur!V146*Calculateur!X146*VLOOKUP('Données projet'!$B$9,Paramètres!$A$1:$I$89,3,0)*0.475*44/12</f>
        <v>5.8328795399183457</v>
      </c>
      <c r="AB146" s="23">
        <f>EXP(-LN(2)/2)*AB145+(1-EXP(-LN(2)/2))/(LN(2)/2)*V146*Y146*VLOOKUP('Données projet'!$B$9,Paramètres!$A$1:$I$89,3,0)*0.475*44/12</f>
        <v>1.5855088359174504E-10</v>
      </c>
      <c r="AC146" s="24">
        <f t="shared" si="111"/>
        <v>78.0151444343946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-3.4106051316484809E-13</v>
      </c>
      <c r="AJ146" s="14">
        <f>AI146*VLOOKUP('Données projet'!$B$10,Paramètres!$A$1:$I$89,3,0)*VLOOKUP('Données projet'!$B$10,Paramètres!$A$1:$I$89,5,0)</f>
        <v>-2.1282176021486519E-13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272.2908884671595</v>
      </c>
      <c r="AO146" s="62">
        <f t="shared" si="144"/>
        <v>220.74777226152867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93.352862788338513</v>
      </c>
      <c r="AV146" s="23">
        <f>EXP(-LN(2)/25)*AV145+(1-EXP(-LN(2)/25))/(LN(2)/25)*Calculateur!AQ146*Calculateur!AS146*VLOOKUP('Données projet'!$B$10,Paramètres!$A$1:$I$89,3,0)*0.475*44/12</f>
        <v>7.236816741262758</v>
      </c>
      <c r="AW146" s="23">
        <f>EXP(-LN(2)/2)*AW145+(1-EXP(-LN(2)/2))/(LN(2)/2)*AQ146*AT146*VLOOKUP('Données projet'!$B$10,Paramètres!$A$1:$I$89,3,0)*0.475*44/12</f>
        <v>3.8015379571696237E-6</v>
      </c>
      <c r="AX146" s="23">
        <f t="shared" si="114"/>
        <v>100.58968333113923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6.5224999999999937</v>
      </c>
      <c r="BD146" s="13">
        <f>IF('Données projet'!$A$88&gt;35,BD145+BC146-BL145,IF(A146&lt;'Données projet'!$A$88,$BA$205^A146,IF(A146='Données projet'!$A$88,'Données projet'!$B$88,BD145+BC146-BL145)))</f>
        <v>346.70499999999976</v>
      </c>
      <c r="BE146" s="14">
        <f>BD146*VLOOKUP('Données projet'!$B$11,Paramètres!$A$1:$I$89,3,0)*VLOOKUP('Données projet'!$B$11,Paramètres!$A$1:$I$89,5,0)</f>
        <v>313.69868399999979</v>
      </c>
      <c r="BF146" s="14">
        <f t="shared" si="145"/>
        <v>74.040728593641816</v>
      </c>
      <c r="BG146" s="22">
        <f t="shared" si="115"/>
        <v>675.31281026725912</v>
      </c>
      <c r="BH146" s="62">
        <f t="shared" si="116"/>
        <v>968.6461436005925</v>
      </c>
      <c r="BI146" s="62">
        <f ca="1">AVERAGE(OFFSET($BH$3,0,0,'Données projet'!$E$11+1,1))-AVERAGE(OFFSET($H$3,0,0,'Données projet'!$E$11+1,1))</f>
        <v>320.80580551060069</v>
      </c>
      <c r="BJ146" s="62">
        <f t="shared" si="146"/>
        <v>225.55225019382294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48.047350263807125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48.047350263807125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254.67898541152096</v>
      </c>
      <c r="CE146" s="62">
        <f t="shared" si="148"/>
        <v>251.52653810702509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32.059993974832366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32.059993974832366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6.3550942286383367E-14</v>
      </c>
      <c r="P147" s="14">
        <f t="shared" si="141"/>
        <v>1.0064464192543978E-12</v>
      </c>
      <c r="Q147" s="22">
        <f t="shared" si="108"/>
        <v>1.8635787380168604E-12</v>
      </c>
      <c r="R147" s="62">
        <f t="shared" si="109"/>
        <v>293.33333333333519</v>
      </c>
      <c r="S147" s="62">
        <f ca="1">AVERAGE(OFFSET($R$3,0,0,'Données projet'!$E$9+1,1))-AVERAGE(OFFSET($H$3,0,0,'Données projet'!$E$9+1,1))</f>
        <v>321.56347025977988</v>
      </c>
      <c r="T147" s="62">
        <f t="shared" si="142"/>
        <v>285.79375360040717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70.766814706574422</v>
      </c>
      <c r="AA147" s="23">
        <f>EXP(-LN(2)/25)*AA146+(1-EXP(-LN(2)/25))/(LN(2)/25)*Calculateur!V147*Calculateur!X147*VLOOKUP('Données projet'!$B$9,Paramètres!$A$1:$I$89,3,0)*0.475*44/12</f>
        <v>5.6733791421614752</v>
      </c>
      <c r="AB147" s="23">
        <f>EXP(-LN(2)/2)*AB146+(1-EXP(-LN(2)/2))/(LN(2)/2)*V147*Y147*VLOOKUP('Données projet'!$B$9,Paramètres!$A$1:$I$89,3,0)*0.475*44/12</f>
        <v>1.1211240495084183E-10</v>
      </c>
      <c r="AC147" s="24">
        <f t="shared" si="111"/>
        <v>76.440193848848011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-3.4106051316484809E-13</v>
      </c>
      <c r="AJ147" s="14">
        <f>AI147*VLOOKUP('Données projet'!$B$10,Paramètres!$A$1:$I$89,3,0)*VLOOKUP('Données projet'!$B$10,Paramètres!$A$1:$I$89,5,0)</f>
        <v>-2.1282176021486519E-13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272.2908884671595</v>
      </c>
      <c r="AO147" s="62">
        <f t="shared" si="144"/>
        <v>220.74777226152867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91.522270088683172</v>
      </c>
      <c r="AV147" s="23">
        <f>EXP(-LN(2)/25)*AV146+(1-EXP(-LN(2)/25))/(LN(2)/25)*Calculateur!AQ147*Calculateur!AS147*VLOOKUP('Données projet'!$B$10,Paramètres!$A$1:$I$89,3,0)*0.475*44/12</f>
        <v>7.0389256069052752</v>
      </c>
      <c r="AW147" s="23">
        <f>EXP(-LN(2)/2)*AW146+(1-EXP(-LN(2)/2))/(LN(2)/2)*AQ147*AT147*VLOOKUP('Données projet'!$B$10,Paramètres!$A$1:$I$89,3,0)*0.475*44/12</f>
        <v>2.6880932684526962E-6</v>
      </c>
      <c r="AX147" s="23">
        <f t="shared" si="114"/>
        <v>98.561198383681727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6.5224999999999937</v>
      </c>
      <c r="BD147" s="13">
        <f>IF('Données projet'!$A$88&gt;35,BD146+BC147-BL146,IF(A147&lt;'Données projet'!$A$88,$BA$205^A147,IF(A147='Données projet'!$A$88,'Données projet'!$B$88,BD146+BC147-BL146)))</f>
        <v>353.22749999999974</v>
      </c>
      <c r="BE147" s="14">
        <f>BD147*VLOOKUP('Données projet'!$B$11,Paramètres!$A$1:$I$89,3,0)*VLOOKUP('Données projet'!$B$11,Paramètres!$A$1:$I$89,5,0)</f>
        <v>319.60024199999975</v>
      </c>
      <c r="BF147" s="14">
        <f t="shared" si="145"/>
        <v>75.27017018620478</v>
      </c>
      <c r="BG147" s="22">
        <f t="shared" si="115"/>
        <v>687.73263455763947</v>
      </c>
      <c r="BH147" s="62">
        <f t="shared" si="116"/>
        <v>981.06596789097284</v>
      </c>
      <c r="BI147" s="62">
        <f ca="1">AVERAGE(OFFSET($BH$3,0,0,'Données projet'!$E$11+1,1))-AVERAGE(OFFSET($H$3,0,0,'Données projet'!$E$11+1,1))</f>
        <v>320.80580551060069</v>
      </c>
      <c r="BJ147" s="62">
        <f t="shared" si="146"/>
        <v>225.55225019382294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47.105171031123803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47.105171031123803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254.67898541152096</v>
      </c>
      <c r="CE147" s="62">
        <f t="shared" si="148"/>
        <v>251.52653810702509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31.431317047651365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31.431317047651365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6.3550942286383367E-14</v>
      </c>
      <c r="P148" s="14">
        <f t="shared" si="141"/>
        <v>1.0064464192543978E-12</v>
      </c>
      <c r="Q148" s="22">
        <f t="shared" si="108"/>
        <v>1.8635787380168604E-12</v>
      </c>
      <c r="R148" s="62">
        <f t="shared" si="109"/>
        <v>293.33333333333519</v>
      </c>
      <c r="S148" s="62">
        <f ca="1">AVERAGE(OFFSET($R$3,0,0,'Données projet'!$E$9+1,1))-AVERAGE(OFFSET($H$3,0,0,'Données projet'!$E$9+1,1))</f>
        <v>321.56347025977988</v>
      </c>
      <c r="T148" s="62">
        <f t="shared" si="142"/>
        <v>285.79375360040717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69.379120633673423</v>
      </c>
      <c r="AA148" s="23">
        <f>EXP(-LN(2)/25)*AA147+(1-EXP(-LN(2)/25))/(LN(2)/25)*Calculateur!V148*Calculateur!X148*VLOOKUP('Données projet'!$B$9,Paramètres!$A$1:$I$89,3,0)*0.475*44/12</f>
        <v>5.5182402911690271</v>
      </c>
      <c r="AB148" s="23">
        <f>EXP(-LN(2)/2)*AB147+(1-EXP(-LN(2)/2))/(LN(2)/2)*V148*Y148*VLOOKUP('Données projet'!$B$9,Paramètres!$A$1:$I$89,3,0)*0.475*44/12</f>
        <v>7.9275441795872532E-11</v>
      </c>
      <c r="AC148" s="24">
        <f t="shared" si="111"/>
        <v>74.897360924921728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-3.4106051316484809E-13</v>
      </c>
      <c r="AJ148" s="14">
        <f>AI148*VLOOKUP('Données projet'!$B$10,Paramètres!$A$1:$I$89,3,0)*VLOOKUP('Données projet'!$B$10,Paramètres!$A$1:$I$89,5,0)</f>
        <v>-2.1282176021486519E-13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272.2908884671595</v>
      </c>
      <c r="AO148" s="62">
        <f t="shared" si="144"/>
        <v>220.74777226152867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89.727574195316777</v>
      </c>
      <c r="AV148" s="23">
        <f>EXP(-LN(2)/25)*AV147+(1-EXP(-LN(2)/25))/(LN(2)/25)*Calculateur!AQ148*Calculateur!AS148*VLOOKUP('Données projet'!$B$10,Paramètres!$A$1:$I$89,3,0)*0.475*44/12</f>
        <v>6.8464458160234409</v>
      </c>
      <c r="AW148" s="23">
        <f>EXP(-LN(2)/2)*AW147+(1-EXP(-LN(2)/2))/(LN(2)/2)*AQ148*AT148*VLOOKUP('Données projet'!$B$10,Paramètres!$A$1:$I$89,3,0)*0.475*44/12</f>
        <v>1.9007689785848121E-6</v>
      </c>
      <c r="AX148" s="23">
        <f t="shared" si="114"/>
        <v>96.574021912109203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6.5224999999999937</v>
      </c>
      <c r="BD148" s="13">
        <f>IF('Données projet'!$A$88&gt;35,BD147+BC148-BL147,IF(A148&lt;'Données projet'!$A$88,$BA$205^A148,IF(A148='Données projet'!$A$88,'Données projet'!$B$88,BD147+BC148-BL147)))</f>
        <v>359.74999999999972</v>
      </c>
      <c r="BE148" s="14">
        <f>BD148*VLOOKUP('Données projet'!$B$11,Paramètres!$A$1:$I$89,3,0)*VLOOKUP('Données projet'!$B$11,Paramètres!$A$1:$I$89,5,0)</f>
        <v>325.50179999999972</v>
      </c>
      <c r="BF148" s="14">
        <f t="shared" si="145"/>
        <v>76.496971924782571</v>
      </c>
      <c r="BG148" s="22">
        <f t="shared" si="115"/>
        <v>700.1478611023291</v>
      </c>
      <c r="BH148" s="62">
        <f t="shared" si="116"/>
        <v>993.48119443566247</v>
      </c>
      <c r="BI148" s="62">
        <f ca="1">AVERAGE(OFFSET($BH$3,0,0,'Données projet'!$E$11+1,1))-AVERAGE(OFFSET($H$3,0,0,'Données projet'!$E$11+1,1))</f>
        <v>320.80580551060069</v>
      </c>
      <c r="BJ148" s="62">
        <f t="shared" si="146"/>
        <v>225.55225019382294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46.181467358520813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46.181467358520813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254.67898541152096</v>
      </c>
      <c r="CE148" s="62">
        <f t="shared" si="148"/>
        <v>251.52653810702509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30.814968091557322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30.814968091557322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6.3550942286383367E-14</v>
      </c>
      <c r="P149" s="14">
        <f t="shared" si="141"/>
        <v>1.0064464192543978E-12</v>
      </c>
      <c r="Q149" s="22">
        <f t="shared" si="108"/>
        <v>1.8635787380168604E-12</v>
      </c>
      <c r="R149" s="62">
        <f t="shared" si="109"/>
        <v>293.33333333333519</v>
      </c>
      <c r="S149" s="62">
        <f ca="1">AVERAGE(OFFSET($R$3,0,0,'Données projet'!$E$9+1,1))-AVERAGE(OFFSET($H$3,0,0,'Données projet'!$E$9+1,1))</f>
        <v>321.56347025977988</v>
      </c>
      <c r="T149" s="62">
        <f t="shared" si="142"/>
        <v>285.79375360040717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68.018638395132214</v>
      </c>
      <c r="AA149" s="23">
        <f>EXP(-LN(2)/25)*AA148+(1-EXP(-LN(2)/25))/(LN(2)/25)*Calculateur!V149*Calculateur!X149*VLOOKUP('Données projet'!$B$9,Paramètres!$A$1:$I$89,3,0)*0.475*44/12</f>
        <v>5.3673437202153655</v>
      </c>
      <c r="AB149" s="23">
        <f>EXP(-LN(2)/2)*AB148+(1-EXP(-LN(2)/2))/(LN(2)/2)*V149*Y149*VLOOKUP('Données projet'!$B$9,Paramètres!$A$1:$I$89,3,0)*0.475*44/12</f>
        <v>5.6056202475420929E-11</v>
      </c>
      <c r="AC149" s="24">
        <f t="shared" si="111"/>
        <v>73.385982115403635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-3.4106051316484809E-13</v>
      </c>
      <c r="AJ149" s="14">
        <f>AI149*VLOOKUP('Données projet'!$B$10,Paramètres!$A$1:$I$89,3,0)*VLOOKUP('Données projet'!$B$10,Paramètres!$A$1:$I$89,5,0)</f>
        <v>-2.1282176021486519E-13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272.2908884671595</v>
      </c>
      <c r="AO149" s="62">
        <f t="shared" si="144"/>
        <v>220.74777226152867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87.968071193762896</v>
      </c>
      <c r="AV149" s="23">
        <f>EXP(-LN(2)/25)*AV148+(1-EXP(-LN(2)/25))/(LN(2)/25)*Calculateur!AQ149*Calculateur!AS149*VLOOKUP('Données projet'!$B$10,Paramètres!$A$1:$I$89,3,0)*0.475*44/12</f>
        <v>6.6592293951453421</v>
      </c>
      <c r="AW149" s="23">
        <f>EXP(-LN(2)/2)*AW148+(1-EXP(-LN(2)/2))/(LN(2)/2)*AQ149*AT149*VLOOKUP('Données projet'!$B$10,Paramètres!$A$1:$I$89,3,0)*0.475*44/12</f>
        <v>1.3440466342263483E-6</v>
      </c>
      <c r="AX149" s="23">
        <f t="shared" si="114"/>
        <v>94.627301932954879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6.5224999999999937</v>
      </c>
      <c r="BD149" s="13">
        <f>IF('Données projet'!$A$88&gt;35,BD148+BC149-BL148,IF(A149&lt;'Données projet'!$A$88,$BA$205^A149,IF(A149='Données projet'!$A$88,'Données projet'!$B$88,BD148+BC149-BL148)))</f>
        <v>366.2724999999997</v>
      </c>
      <c r="BE149" s="14">
        <f>BD149*VLOOKUP('Données projet'!$B$11,Paramètres!$A$1:$I$89,3,0)*VLOOKUP('Données projet'!$B$11,Paramètres!$A$1:$I$89,5,0)</f>
        <v>331.40335799999968</v>
      </c>
      <c r="BF149" s="14">
        <f t="shared" si="145"/>
        <v>77.721187192355004</v>
      </c>
      <c r="BG149" s="22">
        <f t="shared" si="115"/>
        <v>712.55858287668434</v>
      </c>
      <c r="BH149" s="62">
        <f t="shared" si="116"/>
        <v>1005.8919162100176</v>
      </c>
      <c r="BI149" s="62">
        <f ca="1">AVERAGE(OFFSET($BH$3,0,0,'Données projet'!$E$11+1,1))-AVERAGE(OFFSET($H$3,0,0,'Données projet'!$E$11+1,1))</f>
        <v>320.80580551060069</v>
      </c>
      <c r="BJ149" s="62">
        <f t="shared" si="146"/>
        <v>225.55225019382294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45.275876951533959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45.275876951533959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254.67898541152096</v>
      </c>
      <c r="CE149" s="62">
        <f t="shared" si="148"/>
        <v>251.52653810702509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30.210705362556538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30.210705362556538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6.3550942286383367E-14</v>
      </c>
      <c r="P150" s="14">
        <f t="shared" si="141"/>
        <v>1.0064464192543978E-12</v>
      </c>
      <c r="Q150" s="22">
        <f t="shared" si="108"/>
        <v>1.8635787380168604E-12</v>
      </c>
      <c r="R150" s="62">
        <f t="shared" si="109"/>
        <v>293.33333333333519</v>
      </c>
      <c r="S150" s="62">
        <f ca="1">AVERAGE(OFFSET($R$3,0,0,'Données projet'!$E$9+1,1))-AVERAGE(OFFSET($H$3,0,0,'Données projet'!$E$9+1,1))</f>
        <v>321.56347025977988</v>
      </c>
      <c r="T150" s="62">
        <f t="shared" si="142"/>
        <v>285.79375360040717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66.68483438347657</v>
      </c>
      <c r="AA150" s="23">
        <f>EXP(-LN(2)/25)*AA149+(1-EXP(-LN(2)/25))/(LN(2)/25)*Calculateur!V150*Calculateur!X150*VLOOKUP('Données projet'!$B$9,Paramètres!$A$1:$I$89,3,0)*0.475*44/12</f>
        <v>5.2205734239297374</v>
      </c>
      <c r="AB150" s="23">
        <f>EXP(-LN(2)/2)*AB149+(1-EXP(-LN(2)/2))/(LN(2)/2)*V150*Y150*VLOOKUP('Données projet'!$B$9,Paramètres!$A$1:$I$89,3,0)*0.475*44/12</f>
        <v>3.9637720897936273E-11</v>
      </c>
      <c r="AC150" s="24">
        <f t="shared" si="111"/>
        <v>71.90540780744594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-3.4106051316484809E-13</v>
      </c>
      <c r="AJ150" s="14">
        <f>AI150*VLOOKUP('Données projet'!$B$10,Paramètres!$A$1:$I$89,3,0)*VLOOKUP('Données projet'!$B$10,Paramètres!$A$1:$I$89,5,0)</f>
        <v>-2.1282176021486519E-13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272.2908884671595</v>
      </c>
      <c r="AO150" s="62">
        <f t="shared" si="144"/>
        <v>220.74777226152867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86.243070972878627</v>
      </c>
      <c r="AV150" s="23">
        <f>EXP(-LN(2)/25)*AV149+(1-EXP(-LN(2)/25))/(LN(2)/25)*Calculateur!AQ150*Calculateur!AS150*VLOOKUP('Données projet'!$B$10,Paramètres!$A$1:$I$89,3,0)*0.475*44/12</f>
        <v>6.4771324171414388</v>
      </c>
      <c r="AW150" s="23">
        <f>EXP(-LN(2)/2)*AW149+(1-EXP(-LN(2)/2))/(LN(2)/2)*AQ150*AT150*VLOOKUP('Données projet'!$B$10,Paramètres!$A$1:$I$89,3,0)*0.475*44/12</f>
        <v>9.5038448929240625E-7</v>
      </c>
      <c r="AX150" s="23">
        <f t="shared" si="114"/>
        <v>92.72020434040455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6.5224999999999937</v>
      </c>
      <c r="BD150" s="13">
        <f>IF('Données projet'!$A$88&gt;35,BD149+BC150-BL149,IF(A150&lt;'Données projet'!$A$88,$BA$205^A150,IF(A150='Données projet'!$A$88,'Données projet'!$B$88,BD149+BC150-BL149)))</f>
        <v>372.79499999999967</v>
      </c>
      <c r="BE150" s="14">
        <f>BD150*VLOOKUP('Données projet'!$B$11,Paramètres!$A$1:$I$89,3,0)*VLOOKUP('Données projet'!$B$11,Paramètres!$A$1:$I$89,5,0)</f>
        <v>337.30491599999971</v>
      </c>
      <c r="BF150" s="14">
        <f t="shared" si="145"/>
        <v>78.942867361749492</v>
      </c>
      <c r="BG150" s="22">
        <f t="shared" si="115"/>
        <v>724.96488935504658</v>
      </c>
      <c r="BH150" s="62">
        <f t="shared" si="116"/>
        <v>1018.2982226883798</v>
      </c>
      <c r="BI150" s="62">
        <f ca="1">AVERAGE(OFFSET($BH$3,0,0,'Données projet'!$E$11+1,1))-AVERAGE(OFFSET($H$3,0,0,'Données projet'!$E$11+1,1))</f>
        <v>320.80580551060069</v>
      </c>
      <c r="BJ150" s="62">
        <f t="shared" si="146"/>
        <v>225.55225019382294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44.388044620072506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44.388044620072506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254.67898541152096</v>
      </c>
      <c r="CE150" s="62">
        <f t="shared" si="148"/>
        <v>251.52653810702509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29.618291857107589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29.618291857107589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6.3550942286383367E-14</v>
      </c>
      <c r="P151" s="14">
        <f t="shared" si="141"/>
        <v>1.0064464192543978E-12</v>
      </c>
      <c r="Q151" s="22">
        <f t="shared" si="108"/>
        <v>1.8635787380168604E-12</v>
      </c>
      <c r="R151" s="62">
        <f t="shared" si="109"/>
        <v>293.33333333333519</v>
      </c>
      <c r="S151" s="62">
        <f ca="1">AVERAGE(OFFSET($R$3,0,0,'Données projet'!$E$9+1,1))-AVERAGE(OFFSET($H$3,0,0,'Données projet'!$E$9+1,1))</f>
        <v>321.56347025977988</v>
      </c>
      <c r="T151" s="62">
        <f t="shared" si="142"/>
        <v>285.79375360040717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65.37718545494937</v>
      </c>
      <c r="AA151" s="23">
        <f>EXP(-LN(2)/25)*AA150+(1-EXP(-LN(2)/25))/(LN(2)/25)*Calculateur!V151*Calculateur!X151*VLOOKUP('Données projet'!$B$9,Paramètres!$A$1:$I$89,3,0)*0.475*44/12</f>
        <v>5.0778165691143542</v>
      </c>
      <c r="AB151" s="23">
        <f>EXP(-LN(2)/2)*AB150+(1-EXP(-LN(2)/2))/(LN(2)/2)*V151*Y151*VLOOKUP('Données projet'!$B$9,Paramètres!$A$1:$I$89,3,0)*0.475*44/12</f>
        <v>2.8028101237710468E-11</v>
      </c>
      <c r="AC151" s="24">
        <f t="shared" si="111"/>
        <v>70.455002024091755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-3.4106051316484809E-13</v>
      </c>
      <c r="AJ151" s="14">
        <f>AI151*VLOOKUP('Données projet'!$B$10,Paramètres!$A$1:$I$89,3,0)*VLOOKUP('Données projet'!$B$10,Paramètres!$A$1:$I$89,5,0)</f>
        <v>-2.1282176021486519E-13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272.2908884671595</v>
      </c>
      <c r="AO151" s="62">
        <f t="shared" si="144"/>
        <v>220.74777226152867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84.551896954179654</v>
      </c>
      <c r="AV151" s="23">
        <f>EXP(-LN(2)/25)*AV150+(1-EXP(-LN(2)/25))/(LN(2)/25)*Calculateur!AQ151*Calculateur!AS151*VLOOKUP('Données projet'!$B$10,Paramètres!$A$1:$I$89,3,0)*0.475*44/12</f>
        <v>6.3000148905771161</v>
      </c>
      <c r="AW151" s="23">
        <f>EXP(-LN(2)/2)*AW150+(1-EXP(-LN(2)/2))/(LN(2)/2)*AQ151*AT151*VLOOKUP('Données projet'!$B$10,Paramètres!$A$1:$I$89,3,0)*0.475*44/12</f>
        <v>6.7202331711317426E-7</v>
      </c>
      <c r="AX151" s="23">
        <f t="shared" si="114"/>
        <v>90.851912516780089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6.5224999999999937</v>
      </c>
      <c r="BD151" s="13">
        <f>IF('Données projet'!$A$88&gt;35,BD150+BC151-BL150,IF(A151&lt;'Données projet'!$A$88,$BA$205^A151,IF(A151='Données projet'!$A$88,'Données projet'!$B$88,BD150+BC151-BL150)))</f>
        <v>379.31749999999965</v>
      </c>
      <c r="BE151" s="14">
        <f>BD151*VLOOKUP('Données projet'!$B$11,Paramètres!$A$1:$I$89,3,0)*VLOOKUP('Données projet'!$B$11,Paramètres!$A$1:$I$89,5,0)</f>
        <v>343.20647399999967</v>
      </c>
      <c r="BF151" s="14">
        <f t="shared" si="145"/>
        <v>80.162061905155412</v>
      </c>
      <c r="BG151" s="22">
        <f t="shared" si="115"/>
        <v>737.36686670147844</v>
      </c>
      <c r="BH151" s="62">
        <f t="shared" si="116"/>
        <v>1030.7002000348118</v>
      </c>
      <c r="BI151" s="62">
        <f ca="1">AVERAGE(OFFSET($BH$3,0,0,'Données projet'!$E$11+1,1))-AVERAGE(OFFSET($H$3,0,0,'Données projet'!$E$11+1,1))</f>
        <v>320.80580551060069</v>
      </c>
      <c r="BJ151" s="62">
        <f t="shared" si="146"/>
        <v>225.55225019382294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43.517622139106763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43.517622139106763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254.67898541152096</v>
      </c>
      <c r="CE151" s="62">
        <f t="shared" si="148"/>
        <v>251.52653810702509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29.037495219163937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29.037495219163937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6.3550942286383367E-14</v>
      </c>
      <c r="P152" s="14">
        <f t="shared" si="141"/>
        <v>1.0064464192543978E-12</v>
      </c>
      <c r="Q152" s="22">
        <f t="shared" si="108"/>
        <v>1.8635787380168604E-12</v>
      </c>
      <c r="R152" s="62">
        <f t="shared" si="109"/>
        <v>293.33333333333519</v>
      </c>
      <c r="S152" s="62">
        <f ca="1">AVERAGE(OFFSET($R$3,0,0,'Données projet'!$E$9+1,1))-AVERAGE(OFFSET($H$3,0,0,'Données projet'!$E$9+1,1))</f>
        <v>321.56347025977988</v>
      </c>
      <c r="T152" s="62">
        <f t="shared" si="142"/>
        <v>285.79375360040717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64.095178724323503</v>
      </c>
      <c r="AA152" s="23">
        <f>EXP(-LN(2)/25)*AA151+(1-EXP(-LN(2)/25))/(LN(2)/25)*Calculateur!V152*Calculateur!X152*VLOOKUP('Données projet'!$B$9,Paramètres!$A$1:$I$89,3,0)*0.475*44/12</f>
        <v>4.938963408001154</v>
      </c>
      <c r="AB152" s="23">
        <f>EXP(-LN(2)/2)*AB151+(1-EXP(-LN(2)/2))/(LN(2)/2)*V152*Y152*VLOOKUP('Données projet'!$B$9,Paramètres!$A$1:$I$89,3,0)*0.475*44/12</f>
        <v>1.981886044896814E-11</v>
      </c>
      <c r="AC152" s="24">
        <f t="shared" si="111"/>
        <v>69.034142132344485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-3.4106051316484809E-13</v>
      </c>
      <c r="AJ152" s="14">
        <f>AI152*VLOOKUP('Données projet'!$B$10,Paramètres!$A$1:$I$89,3,0)*VLOOKUP('Données projet'!$B$10,Paramètres!$A$1:$I$89,5,0)</f>
        <v>-2.1282176021486519E-13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272.2908884671595</v>
      </c>
      <c r="AO152" s="62">
        <f t="shared" si="144"/>
        <v>220.74777226152867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82.893885826473067</v>
      </c>
      <c r="AV152" s="23">
        <f>EXP(-LN(2)/25)*AV151+(1-EXP(-LN(2)/25))/(LN(2)/25)*Calculateur!AQ152*Calculateur!AS152*VLOOKUP('Données projet'!$B$10,Paramètres!$A$1:$I$89,3,0)*0.475*44/12</f>
        <v>6.1277406520909006</v>
      </c>
      <c r="AW152" s="23">
        <f>EXP(-LN(2)/2)*AW151+(1-EXP(-LN(2)/2))/(LN(2)/2)*AQ152*AT152*VLOOKUP('Données projet'!$B$10,Paramètres!$A$1:$I$89,3,0)*0.475*44/12</f>
        <v>4.7519224464620318E-7</v>
      </c>
      <c r="AX152" s="23">
        <f t="shared" si="114"/>
        <v>89.021626953756211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>
        <f>VLOOKUP(A152,'Données projet'!$A$87:$I$107,2,0)</f>
        <v>385.84</v>
      </c>
      <c r="BB152" s="13">
        <f>VLOOKUP(A152,'Données projet'!$A$87:$I$107,9,0)</f>
        <v>6.5224999999999937</v>
      </c>
      <c r="BC152" s="13">
        <f t="array" ref="BC152">INDEX(BB:BB,MIN(IF(ISNUMBER(BB152:BB348),ROW(BB152:BB348),"")))</f>
        <v>6.5224999999999937</v>
      </c>
      <c r="BD152" s="13">
        <f>IF('Données projet'!$A$88&gt;35,BD151+BC152-BL151,IF(A152&lt;'Données projet'!$A$88,$BA$205^A152,IF(A152='Données projet'!$A$88,'Données projet'!$B$88,BD151+BC152-BL151)))</f>
        <v>385.83999999999963</v>
      </c>
      <c r="BE152" s="14">
        <f>BD152*VLOOKUP('Données projet'!$B$11,Paramètres!$A$1:$I$89,3,0)*VLOOKUP('Données projet'!$B$11,Paramètres!$A$1:$I$89,5,0)</f>
        <v>349.1080319999997</v>
      </c>
      <c r="BF152" s="14">
        <f t="shared" si="145"/>
        <v>81.378818495893242</v>
      </c>
      <c r="BG152" s="22">
        <f t="shared" si="115"/>
        <v>749.7645979470135</v>
      </c>
      <c r="BH152" s="62">
        <f t="shared" si="116"/>
        <v>1043.0979312803468</v>
      </c>
      <c r="BI152" s="62">
        <f ca="1">AVERAGE(OFFSET($BH$3,0,0,'Données projet'!$E$11+1,1))-AVERAGE(OFFSET($H$3,0,0,'Données projet'!$E$11+1,1))</f>
        <v>320.80580551060069</v>
      </c>
      <c r="BJ152" s="62">
        <f t="shared" si="146"/>
        <v>225.55225019382294</v>
      </c>
      <c r="BK152" s="16">
        <f>IF(ISNA(VLOOKUP(A152,'Données projet'!$A$87:$I$107,3,0)),0,VLOOKUP(A152,'Données projet'!$A$87:$I$107,3,0))</f>
        <v>12</v>
      </c>
      <c r="BL152" s="16">
        <f>IF(ISNA(VLOOKUP(A152,'Données projet'!$A$87:$I$107,4,0)),0,VLOOKUP(A152,'Données projet'!$A$87:$I$107,4,0))</f>
        <v>153.56</v>
      </c>
      <c r="BM152" s="17">
        <f>IF(ISNA(VLOOKUP(A152,'Données projet'!$A$87:$I$107,5,0)),0%,VLOOKUP(A152,'Données projet'!$A$87:$I$107,5,0)*VLOOKUP('Données projet'!$B$11,Paramètres!$A$1:$I$89,7,0))</f>
        <v>0.30099999999999999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88.896440554595856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88.896440554595856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254.67898541152096</v>
      </c>
      <c r="CE152" s="62">
        <f t="shared" si="148"/>
        <v>251.52653810702509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28.468087649039386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28.468087649039386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6.3550942286383367E-14</v>
      </c>
      <c r="P153" s="14">
        <f t="shared" si="141"/>
        <v>1.0064464192543978E-12</v>
      </c>
      <c r="Q153" s="22">
        <f t="shared" si="108"/>
        <v>1.8635787380168604E-12</v>
      </c>
      <c r="R153" s="62">
        <f t="shared" si="109"/>
        <v>293.33333333333519</v>
      </c>
      <c r="S153" s="62">
        <f ca="1">AVERAGE(OFFSET($R$3,0,0,'Données projet'!$E$9+1,1))-AVERAGE(OFFSET($H$3,0,0,'Données projet'!$E$9+1,1))</f>
        <v>321.56347025977988</v>
      </c>
      <c r="T153" s="62">
        <f t="shared" si="142"/>
        <v>285.79375360040717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62.838311363738306</v>
      </c>
      <c r="AA153" s="23">
        <f>EXP(-LN(2)/25)*AA152+(1-EXP(-LN(2)/25))/(LN(2)/25)*Calculateur!V153*Calculateur!X153*VLOOKUP('Données projet'!$B$9,Paramètres!$A$1:$I$89,3,0)*0.475*44/12</f>
        <v>4.8039071938805646</v>
      </c>
      <c r="AB153" s="23">
        <f>EXP(-LN(2)/2)*AB152+(1-EXP(-LN(2)/2))/(LN(2)/2)*V153*Y153*VLOOKUP('Données projet'!$B$9,Paramètres!$A$1:$I$89,3,0)*0.475*44/12</f>
        <v>1.4014050618855236E-11</v>
      </c>
      <c r="AC153" s="24">
        <f t="shared" si="111"/>
        <v>67.642218557632887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-3.4106051316484809E-13</v>
      </c>
      <c r="AJ153" s="14">
        <f>AI153*VLOOKUP('Données projet'!$B$10,Paramètres!$A$1:$I$89,3,0)*VLOOKUP('Données projet'!$B$10,Paramètres!$A$1:$I$89,5,0)</f>
        <v>-2.1282176021486519E-13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272.2908884671595</v>
      </c>
      <c r="AO153" s="62">
        <f t="shared" si="144"/>
        <v>220.74777226152867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81.268387285693876</v>
      </c>
      <c r="AV153" s="23">
        <f>EXP(-LN(2)/25)*AV152+(1-EXP(-LN(2)/25))/(LN(2)/25)*Calculateur!AQ153*Calculateur!AS153*VLOOKUP('Données projet'!$B$10,Paramètres!$A$1:$I$89,3,0)*0.475*44/12</f>
        <v>5.9601772617155993</v>
      </c>
      <c r="AW153" s="23">
        <f>EXP(-LN(2)/2)*AW152+(1-EXP(-LN(2)/2))/(LN(2)/2)*AQ153*AT153*VLOOKUP('Données projet'!$B$10,Paramètres!$A$1:$I$89,3,0)*0.475*44/12</f>
        <v>3.3601165855658718E-7</v>
      </c>
      <c r="AX153" s="23">
        <f t="shared" si="114"/>
        <v>87.228564883421129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3.8900000000000077</v>
      </c>
      <c r="BD153" s="13">
        <f>IF('Données projet'!$A$88&gt;35,BD152+BC153-BL152,IF(A153&lt;'Données projet'!$A$88,$BA$205^A153,IF(A153='Données projet'!$A$88,'Données projet'!$B$88,BD152+BC153-BL152)))</f>
        <v>236.16999999999962</v>
      </c>
      <c r="BE153" s="14">
        <f>BD153*VLOOKUP('Données projet'!$B$11,Paramètres!$A$1:$I$89,3,0)*VLOOKUP('Données projet'!$B$11,Paramètres!$A$1:$I$89,5,0)</f>
        <v>213.68661599999965</v>
      </c>
      <c r="BF153" s="14">
        <f t="shared" si="145"/>
        <v>52.740386260338589</v>
      </c>
      <c r="BG153" s="22">
        <f t="shared" si="115"/>
        <v>464.0270289367557</v>
      </c>
      <c r="BH153" s="62">
        <f t="shared" si="116"/>
        <v>757.36036227008901</v>
      </c>
      <c r="BI153" s="62">
        <f ca="1">AVERAGE(OFFSET($BH$3,0,0,'Données projet'!$E$11+1,1))-AVERAGE(OFFSET($H$3,0,0,'Données projet'!$E$11+1,1))</f>
        <v>320.80580551060069</v>
      </c>
      <c r="BJ153" s="62">
        <f t="shared" si="146"/>
        <v>225.55225019382294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87.153235576795041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87.153235576795041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254.67898541152096</v>
      </c>
      <c r="CE153" s="62">
        <f t="shared" si="148"/>
        <v>251.52653810702509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27.909845814060656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27.909845814060656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6.3550942286383367E-14</v>
      </c>
      <c r="P154" s="14">
        <f t="shared" si="141"/>
        <v>1.0064464192543978E-12</v>
      </c>
      <c r="Q154" s="22">
        <f t="shared" ref="Q154:Q203" si="162">(O154+P154)*0.475*44/12</f>
        <v>1.8635787380168604E-12</v>
      </c>
      <c r="R154" s="62">
        <f t="shared" si="109"/>
        <v>293.33333333333519</v>
      </c>
      <c r="S154" s="62">
        <f ca="1">AVERAGE(OFFSET($R$3,0,0,'Données projet'!$E$9+1,1))-AVERAGE(OFFSET($H$3,0,0,'Données projet'!$E$9+1,1))</f>
        <v>321.56347025977988</v>
      </c>
      <c r="T154" s="62">
        <f t="shared" si="142"/>
        <v>285.79375360040717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61.606090405480792</v>
      </c>
      <c r="AA154" s="23">
        <f>EXP(-LN(2)/25)*AA153+(1-EXP(-LN(2)/25))/(LN(2)/25)*Calculateur!V154*Calculateur!X154*VLOOKUP('Données projet'!$B$9,Paramètres!$A$1:$I$89,3,0)*0.475*44/12</f>
        <v>4.6725440990374008</v>
      </c>
      <c r="AB154" s="23">
        <f>EXP(-LN(2)/2)*AB153+(1-EXP(-LN(2)/2))/(LN(2)/2)*V154*Y154*VLOOKUP('Données projet'!$B$9,Paramètres!$A$1:$I$89,3,0)*0.475*44/12</f>
        <v>9.9094302244840714E-12</v>
      </c>
      <c r="AC154" s="24">
        <f t="shared" ref="AC154:AC203" si="163">SUM(Z154:AB154)</f>
        <v>66.2786345045281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projet'!$B$10,Paramètres!$A$1:$I$89,3,0)*VLOOKUP('Données projet'!$B$10,Paramètres!$A$1:$I$89,5,0)</f>
        <v>-2.1282176021486519E-13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272.2908884671595</v>
      </c>
      <c r="AO154" s="62">
        <f t="shared" si="144"/>
        <v>220.74777226152867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79.674763779843147</v>
      </c>
      <c r="AV154" s="23">
        <f>EXP(-LN(2)/25)*AV153+(1-EXP(-LN(2)/25))/(LN(2)/25)*Calculateur!AQ154*Calculateur!AS154*VLOOKUP('Données projet'!$B$10,Paramètres!$A$1:$I$89,3,0)*0.475*44/12</f>
        <v>5.7971959010618859</v>
      </c>
      <c r="AW154" s="23">
        <f>EXP(-LN(2)/2)*AW153+(1-EXP(-LN(2)/2))/(LN(2)/2)*AQ154*AT154*VLOOKUP('Données projet'!$B$10,Paramètres!$A$1:$I$89,3,0)*0.475*44/12</f>
        <v>2.3759612232310164E-7</v>
      </c>
      <c r="AX154" s="23">
        <f t="shared" ref="AX154:AX203" si="166">SUM(AU154:AW154)</f>
        <v>85.471959918501156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3.8900000000000077</v>
      </c>
      <c r="BD154" s="13">
        <f>IF('Données projet'!$A$88&gt;35,BD153+BC154-BL153,IF(A154&lt;'Données projet'!$A$88,$BA$205^A154,IF(A154='Données projet'!$A$88,'Données projet'!$B$88,BD153+BC154-BL153)))</f>
        <v>240.05999999999963</v>
      </c>
      <c r="BE154" s="14">
        <f>BD154*VLOOKUP('Données projet'!$B$11,Paramètres!$A$1:$I$89,3,0)*VLOOKUP('Données projet'!$B$11,Paramètres!$A$1:$I$89,5,0)</f>
        <v>217.20628799999966</v>
      </c>
      <c r="BF154" s="14">
        <f t="shared" ref="BF154:BF203" si="167">EXP(-1.0587+0.8836*LN(BE154)+0.284)</f>
        <v>53.507235326386635</v>
      </c>
      <c r="BG154" s="22">
        <f t="shared" ref="BG154:BG203" si="168">(BE154+BF154)*0.475*44/12</f>
        <v>471.49271979345605</v>
      </c>
      <c r="BH154" s="62">
        <f t="shared" si="116"/>
        <v>764.82605312678936</v>
      </c>
      <c r="BI154" s="62">
        <f ca="1">AVERAGE(OFFSET($BH$3,0,0,'Données projet'!$E$11+1,1))-AVERAGE(OFFSET($H$3,0,0,'Données projet'!$E$11+1,1))</f>
        <v>320.80580551060069</v>
      </c>
      <c r="BJ154" s="62">
        <f t="shared" si="146"/>
        <v>225.55225019382294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85.444213785358855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85.444213785358855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254.67898541152096</v>
      </c>
      <c r="CE154" s="62">
        <f t="shared" si="148"/>
        <v>251.52653810702509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27.36255076097196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27.36255076097196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6.3550942286383367E-14</v>
      </c>
      <c r="P155" s="14">
        <f t="shared" si="141"/>
        <v>1.0064464192543978E-12</v>
      </c>
      <c r="Q155" s="22">
        <f t="shared" si="162"/>
        <v>1.8635787380168604E-12</v>
      </c>
      <c r="R155" s="62">
        <f t="shared" si="109"/>
        <v>293.33333333333519</v>
      </c>
      <c r="S155" s="62">
        <f ca="1">AVERAGE(OFFSET($R$3,0,0,'Données projet'!$E$9+1,1))-AVERAGE(OFFSET($H$3,0,0,'Données projet'!$E$9+1,1))</f>
        <v>321.56347025977988</v>
      </c>
      <c r="T155" s="62">
        <f t="shared" si="142"/>
        <v>285.79375360040717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60.398032548634141</v>
      </c>
      <c r="AA155" s="23">
        <f>EXP(-LN(2)/25)*AA154+(1-EXP(-LN(2)/25))/(LN(2)/25)*Calculateur!V155*Calculateur!X155*VLOOKUP('Données projet'!$B$9,Paramètres!$A$1:$I$89,3,0)*0.475*44/12</f>
        <v>4.544773134930808</v>
      </c>
      <c r="AB155" s="23">
        <f>EXP(-LN(2)/2)*AB154+(1-EXP(-LN(2)/2))/(LN(2)/2)*V155*Y155*VLOOKUP('Données projet'!$B$9,Paramètres!$A$1:$I$89,3,0)*0.475*44/12</f>
        <v>7.0070253094276194E-12</v>
      </c>
      <c r="AC155" s="24">
        <f t="shared" si="163"/>
        <v>64.942805683571962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projet'!$B$10,Paramètres!$A$1:$I$89,3,0)*VLOOKUP('Données projet'!$B$10,Paramètres!$A$1:$I$89,5,0)</f>
        <v>-2.1282176021486519E-13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272.2908884671595</v>
      </c>
      <c r="AO155" s="62">
        <f t="shared" si="144"/>
        <v>220.74777226152867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78.112390258927789</v>
      </c>
      <c r="AV155" s="23">
        <f>EXP(-LN(2)/25)*AV154+(1-EXP(-LN(2)/25))/(LN(2)/25)*Calculateur!AQ155*Calculateur!AS155*VLOOKUP('Données projet'!$B$10,Paramètres!$A$1:$I$89,3,0)*0.475*44/12</f>
        <v>5.6386712742860654</v>
      </c>
      <c r="AW155" s="23">
        <f>EXP(-LN(2)/2)*AW154+(1-EXP(-LN(2)/2))/(LN(2)/2)*AQ155*AT155*VLOOKUP('Données projet'!$B$10,Paramètres!$A$1:$I$89,3,0)*0.475*44/12</f>
        <v>1.6800582927829362E-7</v>
      </c>
      <c r="AX155" s="23">
        <f t="shared" si="166"/>
        <v>83.751061701219683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3.8900000000000077</v>
      </c>
      <c r="BD155" s="13">
        <f>IF('Données projet'!$A$88&gt;35,BD154+BC155-BL154,IF(A155&lt;'Données projet'!$A$88,$BA$205^A155,IF(A155='Données projet'!$A$88,'Données projet'!$B$88,BD154+BC155-BL154)))</f>
        <v>243.94999999999965</v>
      </c>
      <c r="BE155" s="14">
        <f>BD155*VLOOKUP('Données projet'!$B$11,Paramètres!$A$1:$I$89,3,0)*VLOOKUP('Données projet'!$B$11,Paramètres!$A$1:$I$89,5,0)</f>
        <v>220.72595999999967</v>
      </c>
      <c r="BF155" s="14">
        <f t="shared" si="167"/>
        <v>54.272639274623394</v>
      </c>
      <c r="BG155" s="22">
        <f t="shared" si="168"/>
        <v>478.95589373663512</v>
      </c>
      <c r="BH155" s="62">
        <f t="shared" si="116"/>
        <v>772.28922706996843</v>
      </c>
      <c r="BI155" s="62">
        <f ca="1">AVERAGE(OFFSET($BH$3,0,0,'Données projet'!$E$11+1,1))-AVERAGE(OFFSET($H$3,0,0,'Données projet'!$E$11+1,1))</f>
        <v>320.80580551060069</v>
      </c>
      <c r="BJ155" s="62">
        <f t="shared" si="146"/>
        <v>225.55225019382294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83.768704868852367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83.768704868852367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254.67898541152096</v>
      </c>
      <c r="CE155" s="62">
        <f t="shared" si="148"/>
        <v>251.52653810702509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26.825987830057311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26.825987830057311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6.3550942286383367E-14</v>
      </c>
      <c r="P156" s="14">
        <f t="shared" si="141"/>
        <v>1.0064464192543978E-12</v>
      </c>
      <c r="Q156" s="22">
        <f t="shared" si="162"/>
        <v>1.8635787380168604E-12</v>
      </c>
      <c r="R156" s="62">
        <f t="shared" si="109"/>
        <v>293.33333333333519</v>
      </c>
      <c r="S156" s="62">
        <f ca="1">AVERAGE(OFFSET($R$3,0,0,'Données projet'!$E$9+1,1))-AVERAGE(OFFSET($H$3,0,0,'Données projet'!$E$9+1,1))</f>
        <v>321.56347025977988</v>
      </c>
      <c r="T156" s="62">
        <f t="shared" si="142"/>
        <v>285.79375360040717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59.213663969517718</v>
      </c>
      <c r="AA156" s="23">
        <f>EXP(-LN(2)/25)*AA155+(1-EXP(-LN(2)/25))/(LN(2)/25)*Calculateur!V156*Calculateur!X156*VLOOKUP('Données projet'!$B$9,Paramètres!$A$1:$I$89,3,0)*0.475*44/12</f>
        <v>4.4204960745568931</v>
      </c>
      <c r="AB156" s="23">
        <f>EXP(-LN(2)/2)*AB155+(1-EXP(-LN(2)/2))/(LN(2)/2)*V156*Y156*VLOOKUP('Données projet'!$B$9,Paramètres!$A$1:$I$89,3,0)*0.475*44/12</f>
        <v>4.9547151122420365E-12</v>
      </c>
      <c r="AC156" s="24">
        <f t="shared" si="163"/>
        <v>63.634160044079564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projet'!$B$10,Paramètres!$A$1:$I$89,3,0)*VLOOKUP('Données projet'!$B$10,Paramètres!$A$1:$I$89,5,0)</f>
        <v>-2.1282176021486519E-13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272.2908884671595</v>
      </c>
      <c r="AO156" s="62">
        <f t="shared" si="144"/>
        <v>220.74777226152867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76.58065392980383</v>
      </c>
      <c r="AV156" s="23">
        <f>EXP(-LN(2)/25)*AV155+(1-EXP(-LN(2)/25))/(LN(2)/25)*Calculateur!AQ156*Calculateur!AS156*VLOOKUP('Données projet'!$B$10,Paramètres!$A$1:$I$89,3,0)*0.475*44/12</f>
        <v>5.4844815117658783</v>
      </c>
      <c r="AW156" s="23">
        <f>EXP(-LN(2)/2)*AW155+(1-EXP(-LN(2)/2))/(LN(2)/2)*AQ156*AT156*VLOOKUP('Données projet'!$B$10,Paramètres!$A$1:$I$89,3,0)*0.475*44/12</f>
        <v>1.1879806116155083E-7</v>
      </c>
      <c r="AX156" s="23">
        <f t="shared" si="166"/>
        <v>82.065135560367764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>
        <f>VLOOKUP(A156,'Données projet'!$A$87:$I$107,2,0)</f>
        <v>247.84</v>
      </c>
      <c r="BB156" s="13">
        <f>VLOOKUP(A156,'Données projet'!$A$87:$I$107,9,0)</f>
        <v>3.8900000000000077</v>
      </c>
      <c r="BC156" s="13">
        <f t="array" ref="BC156">INDEX(BB:BB,MIN(IF(ISNUMBER(BB156:BB352),ROW(BB156:BB352),"")))</f>
        <v>3.8900000000000077</v>
      </c>
      <c r="BD156" s="13">
        <f>IF('Données projet'!$A$88&gt;35,BD155+BC156-BL155,IF(A156&lt;'Données projet'!$A$88,$BA$205^A156,IF(A156='Données projet'!$A$88,'Données projet'!$B$88,BD155+BC156-BL155)))</f>
        <v>247.83999999999966</v>
      </c>
      <c r="BE156" s="14">
        <f>BD156*VLOOKUP('Données projet'!$B$11,Paramètres!$A$1:$I$89,3,0)*VLOOKUP('Données projet'!$B$11,Paramètres!$A$1:$I$89,5,0)</f>
        <v>224.24563199999969</v>
      </c>
      <c r="BF156" s="14">
        <f t="shared" si="167"/>
        <v>55.036623809359014</v>
      </c>
      <c r="BG156" s="22">
        <f t="shared" si="168"/>
        <v>486.41659553463313</v>
      </c>
      <c r="BH156" s="62">
        <f t="shared" si="116"/>
        <v>779.74992886796645</v>
      </c>
      <c r="BI156" s="62">
        <f ca="1">AVERAGE(OFFSET($BH$3,0,0,'Données projet'!$E$11+1,1))-AVERAGE(OFFSET($H$3,0,0,'Données projet'!$E$11+1,1))</f>
        <v>320.80580551060069</v>
      </c>
      <c r="BJ156" s="62">
        <f t="shared" si="146"/>
        <v>225.55225019382294</v>
      </c>
      <c r="BK156" s="16">
        <f>IF(ISNA(VLOOKUP(A156,'Données projet'!$A$87:$I$107,3,0)),0,VLOOKUP(A156,'Données projet'!$A$87:$I$107,3,0))</f>
        <v>13</v>
      </c>
      <c r="BL156" s="16">
        <f>IF(ISNA(VLOOKUP(A156,'Données projet'!$A$87:$I$107,4,0)),0,VLOOKUP(A156,'Données projet'!$A$87:$I$107,4,0))</f>
        <v>89.29</v>
      </c>
      <c r="BM156" s="17">
        <f>IF(ISNA(VLOOKUP(A156,'Données projet'!$A$87:$I$107,5,0)),0%,VLOOKUP(A156,'Données projet'!$A$87:$I$107,5,0)*VLOOKUP('Données projet'!$B$11,Paramètres!$A$1:$I$89,7,0))</f>
        <v>0.30099999999999999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109.00851244033525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109.00851244033525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254.67898541152096</v>
      </c>
      <c r="CE156" s="62">
        <f t="shared" si="148"/>
        <v>251.52653810702509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26.299946570946826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26.299946570946826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6.3550942286383367E-14</v>
      </c>
      <c r="P157" s="14">
        <f t="shared" si="141"/>
        <v>1.0064464192543978E-12</v>
      </c>
      <c r="Q157" s="22">
        <f t="shared" si="162"/>
        <v>1.8635787380168604E-12</v>
      </c>
      <c r="R157" s="62">
        <f t="shared" si="109"/>
        <v>293.33333333333519</v>
      </c>
      <c r="S157" s="62">
        <f ca="1">AVERAGE(OFFSET($R$3,0,0,'Données projet'!$E$9+1,1))-AVERAGE(OFFSET($H$3,0,0,'Données projet'!$E$9+1,1))</f>
        <v>321.56347025977988</v>
      </c>
      <c r="T157" s="62">
        <f t="shared" si="142"/>
        <v>285.79375360040717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58.052520135844262</v>
      </c>
      <c r="AA157" s="23">
        <f>EXP(-LN(2)/25)*AA156+(1-EXP(-LN(2)/25))/(LN(2)/25)*Calculateur!V157*Calculateur!X157*VLOOKUP('Données projet'!$B$9,Paramètres!$A$1:$I$89,3,0)*0.475*44/12</f>
        <v>4.2996173769343491</v>
      </c>
      <c r="AB157" s="23">
        <f>EXP(-LN(2)/2)*AB156+(1-EXP(-LN(2)/2))/(LN(2)/2)*V157*Y157*VLOOKUP('Données projet'!$B$9,Paramètres!$A$1:$I$89,3,0)*0.475*44/12</f>
        <v>3.5035126547138101E-12</v>
      </c>
      <c r="AC157" s="24">
        <f t="shared" si="163"/>
        <v>62.352137512782114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projet'!$B$10,Paramètres!$A$1:$I$89,3,0)*VLOOKUP('Données projet'!$B$10,Paramètres!$A$1:$I$89,5,0)</f>
        <v>-2.1282176021486519E-13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272.2908884671595</v>
      </c>
      <c r="AO157" s="62">
        <f t="shared" si="144"/>
        <v>220.74777226152867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75.07895401582708</v>
      </c>
      <c r="AV157" s="23">
        <f>EXP(-LN(2)/25)*AV156+(1-EXP(-LN(2)/25))/(LN(2)/25)*Calculateur!AQ157*Calculateur!AS157*VLOOKUP('Données projet'!$B$10,Paramètres!$A$1:$I$89,3,0)*0.475*44/12</f>
        <v>5.3345080764102928</v>
      </c>
      <c r="AW157" s="23">
        <f>EXP(-LN(2)/2)*AW156+(1-EXP(-LN(2)/2))/(LN(2)/2)*AQ157*AT157*VLOOKUP('Données projet'!$B$10,Paramètres!$A$1:$I$89,3,0)*0.475*44/12</f>
        <v>8.4002914639146823E-8</v>
      </c>
      <c r="AX157" s="23">
        <f t="shared" si="166"/>
        <v>80.413462176240287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2.3049999999999997</v>
      </c>
      <c r="BD157" s="13">
        <f>IF('Données projet'!$A$88&gt;35,BD156+BC157-BL156,IF(A157&lt;'Données projet'!$A$88,$BA$205^A157,IF(A157='Données projet'!$A$88,'Données projet'!$B$88,BD156+BC157-BL156)))</f>
        <v>160.85499999999968</v>
      </c>
      <c r="BE157" s="14">
        <f>BD157*VLOOKUP('Données projet'!$B$11,Paramètres!$A$1:$I$89,3,0)*VLOOKUP('Données projet'!$B$11,Paramètres!$A$1:$I$89,5,0)</f>
        <v>145.54160399999969</v>
      </c>
      <c r="BF157" s="14">
        <f t="shared" si="167"/>
        <v>37.563626766587511</v>
      </c>
      <c r="BG157" s="22">
        <f t="shared" si="168"/>
        <v>318.90827691847267</v>
      </c>
      <c r="BH157" s="62">
        <f t="shared" si="116"/>
        <v>612.24161025180592</v>
      </c>
      <c r="BI157" s="62">
        <f ca="1">AVERAGE(OFFSET($BH$3,0,0,'Données projet'!$E$11+1,1))-AVERAGE(OFFSET($H$3,0,0,'Données projet'!$E$11+1,1))</f>
        <v>320.80580551060069</v>
      </c>
      <c r="BJ157" s="62">
        <f t="shared" si="146"/>
        <v>225.55225019382294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106.87092200000767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106.87092200000767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254.67898541152096</v>
      </c>
      <c r="CE157" s="62">
        <f t="shared" si="148"/>
        <v>251.52653810702509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25.784220660074013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25.784220660074013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6.3550942286383367E-14</v>
      </c>
      <c r="P158" s="14">
        <f t="shared" si="141"/>
        <v>1.0064464192543978E-12</v>
      </c>
      <c r="Q158" s="22">
        <f t="shared" si="162"/>
        <v>1.8635787380168604E-12</v>
      </c>
      <c r="R158" s="62">
        <f t="shared" si="109"/>
        <v>293.33333333333519</v>
      </c>
      <c r="S158" s="62">
        <f ca="1">AVERAGE(OFFSET($R$3,0,0,'Données projet'!$E$9+1,1))-AVERAGE(OFFSET($H$3,0,0,'Données projet'!$E$9+1,1))</f>
        <v>321.56347025977988</v>
      </c>
      <c r="T158" s="62">
        <f t="shared" si="142"/>
        <v>285.79375360040717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56.914145624521332</v>
      </c>
      <c r="AA158" s="23">
        <f>EXP(-LN(2)/25)*AA157+(1-EXP(-LN(2)/25))/(LN(2)/25)*Calculateur!V158*Calculateur!X158*VLOOKUP('Données projet'!$B$9,Paramètres!$A$1:$I$89,3,0)*0.475*44/12</f>
        <v>4.1820441136550279</v>
      </c>
      <c r="AB158" s="23">
        <f>EXP(-LN(2)/2)*AB157+(1-EXP(-LN(2)/2))/(LN(2)/2)*V158*Y158*VLOOKUP('Données projet'!$B$9,Paramètres!$A$1:$I$89,3,0)*0.475*44/12</f>
        <v>2.4773575561210187E-12</v>
      </c>
      <c r="AC158" s="24">
        <f t="shared" si="163"/>
        <v>61.096189738178843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projet'!$B$10,Paramètres!$A$1:$I$89,3,0)*VLOOKUP('Données projet'!$B$10,Paramètres!$A$1:$I$89,5,0)</f>
        <v>-2.1282176021486519E-13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272.2908884671595</v>
      </c>
      <c r="AO158" s="62">
        <f t="shared" si="144"/>
        <v>220.74777226152867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73.60670152121692</v>
      </c>
      <c r="AV158" s="23">
        <f>EXP(-LN(2)/25)*AV157+(1-EXP(-LN(2)/25))/(LN(2)/25)*Calculateur!AQ158*Calculateur!AS158*VLOOKUP('Données projet'!$B$10,Paramètres!$A$1:$I$89,3,0)*0.475*44/12</f>
        <v>5.1886356725312659</v>
      </c>
      <c r="AW158" s="23">
        <f>EXP(-LN(2)/2)*AW157+(1-EXP(-LN(2)/2))/(LN(2)/2)*AQ158*AT158*VLOOKUP('Données projet'!$B$10,Paramètres!$A$1:$I$89,3,0)*0.475*44/12</f>
        <v>5.9399030580775424E-8</v>
      </c>
      <c r="AX158" s="23">
        <f t="shared" si="166"/>
        <v>78.79533725314721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2.3049999999999997</v>
      </c>
      <c r="BD158" s="13">
        <f>IF('Données projet'!$A$88&gt;35,BD157+BC158-BL157,IF(A158&lt;'Données projet'!$A$88,$BA$205^A158,IF(A158='Données projet'!$A$88,'Données projet'!$B$88,BD157+BC158-BL157)))</f>
        <v>163.15999999999968</v>
      </c>
      <c r="BE158" s="14">
        <f>BD158*VLOOKUP('Données projet'!$B$11,Paramètres!$A$1:$I$89,3,0)*VLOOKUP('Données projet'!$B$11,Paramètres!$A$1:$I$89,5,0)</f>
        <v>147.6271679999997</v>
      </c>
      <c r="BF158" s="14">
        <f t="shared" si="167"/>
        <v>38.038851636013895</v>
      </c>
      <c r="BG158" s="22">
        <f t="shared" si="168"/>
        <v>323.36831753272367</v>
      </c>
      <c r="BH158" s="62">
        <f t="shared" si="116"/>
        <v>616.70165086605698</v>
      </c>
      <c r="BI158" s="62">
        <f ca="1">AVERAGE(OFFSET($BH$3,0,0,'Données projet'!$E$11+1,1))-AVERAGE(OFFSET($H$3,0,0,'Données projet'!$E$11+1,1))</f>
        <v>320.80580551060069</v>
      </c>
      <c r="BJ158" s="62">
        <f t="shared" si="146"/>
        <v>225.55225019382294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104.77524840441347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104.77524840441347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254.67898541152096</v>
      </c>
      <c r="CE158" s="62">
        <f t="shared" si="148"/>
        <v>251.52653810702509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25.27860781975167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25.27860781975167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6.3550942286383367E-14</v>
      </c>
      <c r="P159" s="14">
        <f t="shared" si="141"/>
        <v>1.0064464192543978E-12</v>
      </c>
      <c r="Q159" s="22">
        <f t="shared" si="162"/>
        <v>1.8635787380168604E-12</v>
      </c>
      <c r="R159" s="62">
        <f t="shared" si="109"/>
        <v>293.33333333333519</v>
      </c>
      <c r="S159" s="62">
        <f ca="1">AVERAGE(OFFSET($R$3,0,0,'Données projet'!$E$9+1,1))-AVERAGE(OFFSET($H$3,0,0,'Données projet'!$E$9+1,1))</f>
        <v>321.56347025977988</v>
      </c>
      <c r="T159" s="62">
        <f t="shared" si="142"/>
        <v>285.79375360040717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55.798093943025556</v>
      </c>
      <c r="AA159" s="23">
        <f>EXP(-LN(2)/25)*AA158+(1-EXP(-LN(2)/25))/(LN(2)/25)*Calculateur!V159*Calculateur!X159*VLOOKUP('Données projet'!$B$9,Paramètres!$A$1:$I$89,3,0)*0.475*44/12</f>
        <v>4.0676858974429893</v>
      </c>
      <c r="AB159" s="23">
        <f>EXP(-LN(2)/2)*AB158+(1-EXP(-LN(2)/2))/(LN(2)/2)*V159*Y159*VLOOKUP('Données projet'!$B$9,Paramètres!$A$1:$I$89,3,0)*0.475*44/12</f>
        <v>1.7517563273569054E-12</v>
      </c>
      <c r="AC159" s="24">
        <f t="shared" si="163"/>
        <v>59.865779840470303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projet'!$B$10,Paramètres!$A$1:$I$89,3,0)*VLOOKUP('Données projet'!$B$10,Paramètres!$A$1:$I$89,5,0)</f>
        <v>-2.1282176021486519E-13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272.2908884671595</v>
      </c>
      <c r="AO159" s="62">
        <f t="shared" si="144"/>
        <v>220.74777226152867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72.163319000040701</v>
      </c>
      <c r="AV159" s="23">
        <f>EXP(-LN(2)/25)*AV158+(1-EXP(-LN(2)/25))/(LN(2)/25)*Calculateur!AQ159*Calculateur!AS159*VLOOKUP('Données projet'!$B$10,Paramètres!$A$1:$I$89,3,0)*0.475*44/12</f>
        <v>5.0467521572074068</v>
      </c>
      <c r="AW159" s="23">
        <f>EXP(-LN(2)/2)*AW158+(1-EXP(-LN(2)/2))/(LN(2)/2)*AQ159*AT159*VLOOKUP('Données projet'!$B$10,Paramètres!$A$1:$I$89,3,0)*0.475*44/12</f>
        <v>4.2001457319573418E-8</v>
      </c>
      <c r="AX159" s="23">
        <f t="shared" si="166"/>
        <v>77.210071199249569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2.3049999999999997</v>
      </c>
      <c r="BD159" s="13">
        <f>IF('Données projet'!$A$88&gt;35,BD158+BC159-BL158,IF(A159&lt;'Données projet'!$A$88,$BA$205^A159,IF(A159='Données projet'!$A$88,'Données projet'!$B$88,BD158+BC159-BL158)))</f>
        <v>165.46499999999969</v>
      </c>
      <c r="BE159" s="14">
        <f>BD159*VLOOKUP('Données projet'!$B$11,Paramètres!$A$1:$I$89,3,0)*VLOOKUP('Données projet'!$B$11,Paramètres!$A$1:$I$89,5,0)</f>
        <v>149.71273199999973</v>
      </c>
      <c r="BF159" s="14">
        <f t="shared" si="167"/>
        <v>38.513295655433602</v>
      </c>
      <c r="BG159" s="22">
        <f t="shared" si="168"/>
        <v>327.82699816654639</v>
      </c>
      <c r="BH159" s="62">
        <f t="shared" si="116"/>
        <v>621.1603314998797</v>
      </c>
      <c r="BI159" s="62">
        <f ca="1">AVERAGE(OFFSET($BH$3,0,0,'Données projet'!$E$11+1,1))-AVERAGE(OFFSET($H$3,0,0,'Données projet'!$E$11+1,1))</f>
        <v>320.80580551060069</v>
      </c>
      <c r="BJ159" s="62">
        <f t="shared" si="146"/>
        <v>225.55225019382294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102.72066968979421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102.72066968979421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254.67898541152096</v>
      </c>
      <c r="CE159" s="62">
        <f t="shared" si="148"/>
        <v>251.52653810702509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24.782909738834668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24.782909738834668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6.3550942286383367E-14</v>
      </c>
      <c r="P160" s="14">
        <f t="shared" si="141"/>
        <v>1.0064464192543978E-12</v>
      </c>
      <c r="Q160" s="22">
        <f t="shared" si="162"/>
        <v>1.8635787380168604E-12</v>
      </c>
      <c r="R160" s="62">
        <f t="shared" si="109"/>
        <v>293.33333333333519</v>
      </c>
      <c r="S160" s="62">
        <f ca="1">AVERAGE(OFFSET($R$3,0,0,'Données projet'!$E$9+1,1))-AVERAGE(OFFSET($H$3,0,0,'Données projet'!$E$9+1,1))</f>
        <v>321.56347025977988</v>
      </c>
      <c r="T160" s="62">
        <f t="shared" si="142"/>
        <v>285.79375360040717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54.703927354279607</v>
      </c>
      <c r="AA160" s="23">
        <f>EXP(-LN(2)/25)*AA159+(1-EXP(-LN(2)/25))/(LN(2)/25)*Calculateur!V160*Calculateur!X160*VLOOKUP('Données projet'!$B$9,Paramètres!$A$1:$I$89,3,0)*0.475*44/12</f>
        <v>3.956454812667106</v>
      </c>
      <c r="AB160" s="23">
        <f>EXP(-LN(2)/2)*AB159+(1-EXP(-LN(2)/2))/(LN(2)/2)*V160*Y160*VLOOKUP('Données projet'!$B$9,Paramètres!$A$1:$I$89,3,0)*0.475*44/12</f>
        <v>1.2386787780605095E-12</v>
      </c>
      <c r="AC160" s="24">
        <f t="shared" si="163"/>
        <v>58.660382166947947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projet'!$B$10,Paramètres!$A$1:$I$89,3,0)*VLOOKUP('Données projet'!$B$10,Paramètres!$A$1:$I$89,5,0)</f>
        <v>-2.1282176021486519E-13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272.2908884671595</v>
      </c>
      <c r="AO160" s="62">
        <f t="shared" si="144"/>
        <v>220.74777226152867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70.748240329728347</v>
      </c>
      <c r="AV160" s="23">
        <f>EXP(-LN(2)/25)*AV159+(1-EXP(-LN(2)/25))/(LN(2)/25)*Calculateur!AQ160*Calculateur!AS160*VLOOKUP('Données projet'!$B$10,Paramètres!$A$1:$I$89,3,0)*0.475*44/12</f>
        <v>4.908748454071409</v>
      </c>
      <c r="AW160" s="23">
        <f>EXP(-LN(2)/2)*AW159+(1-EXP(-LN(2)/2))/(LN(2)/2)*AQ160*AT160*VLOOKUP('Données projet'!$B$10,Paramètres!$A$1:$I$89,3,0)*0.475*44/12</f>
        <v>2.9699515290387719E-8</v>
      </c>
      <c r="AX160" s="23">
        <f t="shared" si="166"/>
        <v>75.656988813499282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>
        <f>VLOOKUP(A160,'Données projet'!$A$87:$I$107,2,0)</f>
        <v>167.77</v>
      </c>
      <c r="BB160" s="13">
        <f>VLOOKUP(A160,'Données projet'!$A$87:$I$107,9,0)</f>
        <v>2.3049999999999997</v>
      </c>
      <c r="BC160" s="13">
        <f t="array" ref="BC160">INDEX(BB:BB,MIN(IF(ISNUMBER(BB160:BB356),ROW(BB160:BB356),"")))</f>
        <v>2.3049999999999997</v>
      </c>
      <c r="BD160" s="13">
        <f>IF('Données projet'!$A$88&gt;35,BD159+BC160-BL159,IF(A160&lt;'Données projet'!$A$88,$BA$205^A160,IF(A160='Données projet'!$A$88,'Données projet'!$B$88,BD159+BC160-BL159)))</f>
        <v>167.7699999999997</v>
      </c>
      <c r="BE160" s="14">
        <f>BD160*VLOOKUP('Données projet'!$B$11,Paramètres!$A$1:$I$89,3,0)*VLOOKUP('Données projet'!$B$11,Paramètres!$A$1:$I$89,5,0)</f>
        <v>151.79829599999971</v>
      </c>
      <c r="BF160" s="14">
        <f t="shared" si="167"/>
        <v>38.986970959529813</v>
      </c>
      <c r="BG160" s="22">
        <f t="shared" si="168"/>
        <v>332.28433995451388</v>
      </c>
      <c r="BH160" s="62">
        <f t="shared" si="116"/>
        <v>625.6176732878472</v>
      </c>
      <c r="BI160" s="62">
        <f ca="1">AVERAGE(OFFSET($BH$3,0,0,'Données projet'!$E$11+1,1))-AVERAGE(OFFSET($H$3,0,0,'Données projet'!$E$11+1,1))</f>
        <v>320.80580551060069</v>
      </c>
      <c r="BJ160" s="62">
        <f t="shared" si="146"/>
        <v>225.55225019382294</v>
      </c>
      <c r="BK160" s="16">
        <f>IF(ISNA(VLOOKUP(A160,'Données projet'!$A$87:$I$107,3,0)),0,VLOOKUP(A160,'Données projet'!$A$87:$I$107,3,0))</f>
        <v>14</v>
      </c>
      <c r="BL160" s="16">
        <f>IF(ISNA(VLOOKUP(A160,'Données projet'!$A$87:$I$107,4,0)),0,VLOOKUP(A160,'Données projet'!$A$87:$I$107,4,0))</f>
        <v>57.95</v>
      </c>
      <c r="BM160" s="17">
        <f>IF(ISNA(VLOOKUP(A160,'Données projet'!$A$87:$I$107,5,0)),0%,VLOOKUP(A160,'Données projet'!$A$87:$I$107,5,0)*VLOOKUP('Données projet'!$B$11,Paramètres!$A$1:$I$89,7,0))</f>
        <v>0.30099999999999999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118.15333490147823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118.15333490147823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254.67898541152096</v>
      </c>
      <c r="CE160" s="62">
        <f t="shared" si="148"/>
        <v>251.52653810702509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24.296931994938472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24.296931994938472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6.3550942286383367E-14</v>
      </c>
      <c r="P161" s="14">
        <f t="shared" si="141"/>
        <v>1.0064464192543978E-12</v>
      </c>
      <c r="Q161" s="22">
        <f t="shared" si="162"/>
        <v>1.8635787380168604E-12</v>
      </c>
      <c r="R161" s="62">
        <f t="shared" si="109"/>
        <v>293.33333333333519</v>
      </c>
      <c r="S161" s="62">
        <f ca="1">AVERAGE(OFFSET($R$3,0,0,'Données projet'!$E$9+1,1))-AVERAGE(OFFSET($H$3,0,0,'Données projet'!$E$9+1,1))</f>
        <v>321.56347025977988</v>
      </c>
      <c r="T161" s="62">
        <f t="shared" si="142"/>
        <v>285.79375360040717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53.631216704963244</v>
      </c>
      <c r="AA161" s="23">
        <f>EXP(-LN(2)/25)*AA160+(1-EXP(-LN(2)/25))/(LN(2)/25)*Calculateur!V161*Calculateur!X161*VLOOKUP('Données projet'!$B$9,Paramètres!$A$1:$I$89,3,0)*0.475*44/12</f>
        <v>3.848265347753808</v>
      </c>
      <c r="AB161" s="23">
        <f>EXP(-LN(2)/2)*AB160+(1-EXP(-LN(2)/2))/(LN(2)/2)*V161*Y161*VLOOKUP('Données projet'!$B$9,Paramètres!$A$1:$I$89,3,0)*0.475*44/12</f>
        <v>8.7587816367845283E-13</v>
      </c>
      <c r="AC161" s="24">
        <f t="shared" si="163"/>
        <v>57.479482052717927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projet'!$B$10,Paramètres!$A$1:$I$89,3,0)*VLOOKUP('Données projet'!$B$10,Paramètres!$A$1:$I$89,5,0)</f>
        <v>-2.1282176021486519E-13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272.2908884671595</v>
      </c>
      <c r="AO161" s="62">
        <f t="shared" si="144"/>
        <v>220.74777226152867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69.360910489028058</v>
      </c>
      <c r="AV161" s="23">
        <f>EXP(-LN(2)/25)*AV160+(1-EXP(-LN(2)/25))/(LN(2)/25)*Calculateur!AQ161*Calculateur!AS161*VLOOKUP('Données projet'!$B$10,Paramètres!$A$1:$I$89,3,0)*0.475*44/12</f>
        <v>4.7745184694549643</v>
      </c>
      <c r="AW161" s="23">
        <f>EXP(-LN(2)/2)*AW160+(1-EXP(-LN(2)/2))/(LN(2)/2)*AQ161*AT161*VLOOKUP('Données projet'!$B$10,Paramètres!$A$1:$I$89,3,0)*0.475*44/12</f>
        <v>2.1000728659786712E-8</v>
      </c>
      <c r="AX161" s="23">
        <f t="shared" si="166"/>
        <v>74.135428979483748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1.4024999999999999</v>
      </c>
      <c r="BD161" s="13">
        <f>IF('Données projet'!$A$88&gt;35,BD160+BC161-BL160,IF(A161&lt;'Données projet'!$A$88,$BA$205^A161,IF(A161='Données projet'!$A$88,'Données projet'!$B$88,BD160+BC161-BL160)))</f>
        <v>111.2224999999997</v>
      </c>
      <c r="BE161" s="14">
        <f>BD161*VLOOKUP('Données projet'!$B$11,Paramètres!$A$1:$I$89,3,0)*VLOOKUP('Données projet'!$B$11,Paramètres!$A$1:$I$89,5,0)</f>
        <v>100.63411799999972</v>
      </c>
      <c r="BF161" s="14">
        <f t="shared" si="167"/>
        <v>27.113011795358847</v>
      </c>
      <c r="BG161" s="22">
        <f t="shared" si="168"/>
        <v>222.49291772691615</v>
      </c>
      <c r="BH161" s="62">
        <f t="shared" si="116"/>
        <v>515.82625106024943</v>
      </c>
      <c r="BI161" s="62">
        <f ca="1">AVERAGE(OFFSET($BH$3,0,0,'Données projet'!$E$11+1,1))-AVERAGE(OFFSET($H$3,0,0,'Données projet'!$E$11+1,1))</f>
        <v>320.80580551060069</v>
      </c>
      <c r="BJ161" s="62">
        <f t="shared" si="146"/>
        <v>225.55225019382294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115.83642007047857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115.83642007047857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254.67898541152096</v>
      </c>
      <c r="CE161" s="62">
        <f t="shared" si="148"/>
        <v>251.52653810702509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23.820483978182924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23.820483978182924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6.3550942286383367E-14</v>
      </c>
      <c r="P162" s="14">
        <f t="shared" si="141"/>
        <v>1.0064464192543978E-12</v>
      </c>
      <c r="Q162" s="22">
        <f t="shared" si="162"/>
        <v>1.8635787380168604E-12</v>
      </c>
      <c r="R162" s="62">
        <f t="shared" si="109"/>
        <v>293.33333333333519</v>
      </c>
      <c r="S162" s="62">
        <f ca="1">AVERAGE(OFFSET($R$3,0,0,'Données projet'!$E$9+1,1))-AVERAGE(OFFSET($H$3,0,0,'Données projet'!$E$9+1,1))</f>
        <v>321.56347025977988</v>
      </c>
      <c r="T162" s="62">
        <f t="shared" si="142"/>
        <v>285.79375360040717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52.579541257191082</v>
      </c>
      <c r="AA162" s="23">
        <f>EXP(-LN(2)/25)*AA161+(1-EXP(-LN(2)/25))/(LN(2)/25)*Calculateur!V162*Calculateur!X162*VLOOKUP('Données projet'!$B$9,Paramètres!$A$1:$I$89,3,0)*0.475*44/12</f>
        <v>3.7430343294480006</v>
      </c>
      <c r="AB162" s="23">
        <f>EXP(-LN(2)/2)*AB161+(1-EXP(-LN(2)/2))/(LN(2)/2)*V162*Y162*VLOOKUP('Données projet'!$B$9,Paramètres!$A$1:$I$89,3,0)*0.475*44/12</f>
        <v>6.1933938903025487E-13</v>
      </c>
      <c r="AC162" s="24">
        <f t="shared" si="163"/>
        <v>56.322575586639701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projet'!$B$10,Paramètres!$A$1:$I$89,3,0)*VLOOKUP('Données projet'!$B$10,Paramètres!$A$1:$I$89,5,0)</f>
        <v>-2.1282176021486519E-13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272.2908884671595</v>
      </c>
      <c r="AO162" s="62">
        <f t="shared" si="144"/>
        <v>220.74777226152867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68.000785340316241</v>
      </c>
      <c r="AV162" s="23">
        <f>EXP(-LN(2)/25)*AV161+(1-EXP(-LN(2)/25))/(LN(2)/25)*Calculateur!AQ162*Calculateur!AS162*VLOOKUP('Données projet'!$B$10,Paramètres!$A$1:$I$89,3,0)*0.475*44/12</f>
        <v>4.6439590108267046</v>
      </c>
      <c r="AW162" s="23">
        <f>EXP(-LN(2)/2)*AW161+(1-EXP(-LN(2)/2))/(LN(2)/2)*AQ162*AT162*VLOOKUP('Données projet'!$B$10,Paramètres!$A$1:$I$89,3,0)*0.475*44/12</f>
        <v>1.4849757645193861E-8</v>
      </c>
      <c r="AX162" s="23">
        <f t="shared" si="166"/>
        <v>72.644744365992707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1.4024999999999999</v>
      </c>
      <c r="BD162" s="13">
        <f>IF('Données projet'!$A$88&gt;35,BD161+BC162-BL161,IF(A162&lt;'Données projet'!$A$88,$BA$205^A162,IF(A162='Données projet'!$A$88,'Données projet'!$B$88,BD161+BC162-BL161)))</f>
        <v>112.6249999999997</v>
      </c>
      <c r="BE162" s="14">
        <f>BD162*VLOOKUP('Données projet'!$B$11,Paramètres!$A$1:$I$89,3,0)*VLOOKUP('Données projet'!$B$11,Paramètres!$A$1:$I$89,5,0)</f>
        <v>101.90309999999972</v>
      </c>
      <c r="BF162" s="14">
        <f t="shared" si="167"/>
        <v>27.414886227568331</v>
      </c>
      <c r="BG162" s="22">
        <f t="shared" si="168"/>
        <v>225.22882601301433</v>
      </c>
      <c r="BH162" s="62">
        <f t="shared" si="116"/>
        <v>518.5621593463477</v>
      </c>
      <c r="BI162" s="62">
        <f ca="1">AVERAGE(OFFSET($BH$3,0,0,'Données projet'!$E$11+1,1))-AVERAGE(OFFSET($H$3,0,0,'Données projet'!$E$11+1,1))</f>
        <v>320.80580551060069</v>
      </c>
      <c r="BJ162" s="62">
        <f t="shared" si="146"/>
        <v>225.55225019382294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113.5649385261363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113.5649385261363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254.67898541152096</v>
      </c>
      <c r="CE162" s="62">
        <f t="shared" si="148"/>
        <v>251.52653810702509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23.353378816431359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23.353378816431359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6.3550942286383367E-14</v>
      </c>
      <c r="P163" s="14">
        <f t="shared" si="141"/>
        <v>1.0064464192543978E-12</v>
      </c>
      <c r="Q163" s="22">
        <f t="shared" si="162"/>
        <v>1.8635787380168604E-12</v>
      </c>
      <c r="R163" s="62">
        <f t="shared" si="109"/>
        <v>293.33333333333519</v>
      </c>
      <c r="S163" s="62">
        <f ca="1">AVERAGE(OFFSET($R$3,0,0,'Données projet'!$E$9+1,1))-AVERAGE(OFFSET($H$3,0,0,'Données projet'!$E$9+1,1))</f>
        <v>321.56347025977988</v>
      </c>
      <c r="T163" s="62">
        <f t="shared" si="142"/>
        <v>285.79375360040717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51.548488523491045</v>
      </c>
      <c r="AA163" s="23">
        <f>EXP(-LN(2)/25)*AA162+(1-EXP(-LN(2)/25))/(LN(2)/25)*Calculateur!V163*Calculateur!X163*VLOOKUP('Données projet'!$B$9,Paramètres!$A$1:$I$89,3,0)*0.475*44/12</f>
        <v>3.6406808588716246</v>
      </c>
      <c r="AB163" s="23">
        <f>EXP(-LN(2)/2)*AB162+(1-EXP(-LN(2)/2))/(LN(2)/2)*V163*Y163*VLOOKUP('Données projet'!$B$9,Paramètres!$A$1:$I$89,3,0)*0.475*44/12</f>
        <v>4.3793908183922651E-13</v>
      </c>
      <c r="AC163" s="24">
        <f t="shared" si="163"/>
        <v>55.189169382363112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projet'!$B$10,Paramètres!$A$1:$I$89,3,0)*VLOOKUP('Données projet'!$B$10,Paramètres!$A$1:$I$89,5,0)</f>
        <v>-2.1282176021486519E-13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272.2908884671595</v>
      </c>
      <c r="AO163" s="62">
        <f t="shared" si="144"/>
        <v>220.74777226152867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66.667331416176239</v>
      </c>
      <c r="AV163" s="23">
        <f>EXP(-LN(2)/25)*AV162+(1-EXP(-LN(2)/25))/(LN(2)/25)*Calculateur!AQ163*Calculateur!AS163*VLOOKUP('Données projet'!$B$10,Paramètres!$A$1:$I$89,3,0)*0.475*44/12</f>
        <v>4.5169697074604578</v>
      </c>
      <c r="AW163" s="23">
        <f>EXP(-LN(2)/2)*AW162+(1-EXP(-LN(2)/2))/(LN(2)/2)*AQ163*AT163*VLOOKUP('Données projet'!$B$10,Paramètres!$A$1:$I$89,3,0)*0.475*44/12</f>
        <v>1.0500364329893358E-8</v>
      </c>
      <c r="AX163" s="23">
        <f t="shared" si="166"/>
        <v>71.184301134137058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1.4024999999999999</v>
      </c>
      <c r="BD163" s="13">
        <f>IF('Données projet'!$A$88&gt;35,BD162+BC163-BL162,IF(A163&lt;'Données projet'!$A$88,$BA$205^A163,IF(A163='Données projet'!$A$88,'Données projet'!$B$88,BD162+BC163-BL162)))</f>
        <v>114.0274999999997</v>
      </c>
      <c r="BE163" s="14">
        <f>BD163*VLOOKUP('Données projet'!$B$11,Paramètres!$A$1:$I$89,3,0)*VLOOKUP('Données projet'!$B$11,Paramètres!$A$1:$I$89,5,0)</f>
        <v>103.17208199999973</v>
      </c>
      <c r="BF163" s="14">
        <f t="shared" si="167"/>
        <v>27.716323394967262</v>
      </c>
      <c r="BG163" s="22">
        <f t="shared" si="168"/>
        <v>227.96397272956747</v>
      </c>
      <c r="BH163" s="62">
        <f t="shared" si="116"/>
        <v>521.29730606290082</v>
      </c>
      <c r="BI163" s="62">
        <f ca="1">AVERAGE(OFFSET($BH$3,0,0,'Données projet'!$E$11+1,1))-AVERAGE(OFFSET($H$3,0,0,'Données projet'!$E$11+1,1))</f>
        <v>320.80580551060069</v>
      </c>
      <c r="BJ163" s="62">
        <f t="shared" si="146"/>
        <v>225.55225019382294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111.33799934941165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111.33799934941165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254.67898541152096</v>
      </c>
      <c r="CE163" s="62">
        <f t="shared" si="148"/>
        <v>251.52653810702509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22.895433301995723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22.895433301995723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6.3550942286383367E-14</v>
      </c>
      <c r="P164" s="14">
        <f t="shared" si="141"/>
        <v>1.0064464192543978E-12</v>
      </c>
      <c r="Q164" s="22">
        <f t="shared" si="162"/>
        <v>1.8635787380168604E-12</v>
      </c>
      <c r="R164" s="62">
        <f t="shared" si="109"/>
        <v>293.33333333333519</v>
      </c>
      <c r="S164" s="62">
        <f ca="1">AVERAGE(OFFSET($R$3,0,0,'Données projet'!$E$9+1,1))-AVERAGE(OFFSET($H$3,0,0,'Données projet'!$E$9+1,1))</f>
        <v>321.56347025977988</v>
      </c>
      <c r="T164" s="62">
        <f t="shared" si="142"/>
        <v>285.79375360040717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50.537654105018795</v>
      </c>
      <c r="AA164" s="23">
        <f>EXP(-LN(2)/25)*AA163+(1-EXP(-LN(2)/25))/(LN(2)/25)*Calculateur!V164*Calculateur!X164*VLOOKUP('Données projet'!$B$9,Paramètres!$A$1:$I$89,3,0)*0.475*44/12</f>
        <v>3.5411262493306945</v>
      </c>
      <c r="AB164" s="23">
        <f>EXP(-LN(2)/2)*AB163+(1-EXP(-LN(2)/2))/(LN(2)/2)*V164*Y164*VLOOKUP('Données projet'!$B$9,Paramètres!$A$1:$I$89,3,0)*0.475*44/12</f>
        <v>3.0966969451512748E-13</v>
      </c>
      <c r="AC164" s="24">
        <f t="shared" si="163"/>
        <v>54.078780354349803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projet'!$B$10,Paramètres!$A$1:$I$89,3,0)*VLOOKUP('Données projet'!$B$10,Paramètres!$A$1:$I$89,5,0)</f>
        <v>-2.1282176021486519E-13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272.2908884671595</v>
      </c>
      <c r="AO164" s="62">
        <f t="shared" si="144"/>
        <v>220.74777226152867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65.360025710162049</v>
      </c>
      <c r="AV164" s="23">
        <f>EXP(-LN(2)/25)*AV163+(1-EXP(-LN(2)/25))/(LN(2)/25)*Calculateur!AQ164*Calculateur!AS164*VLOOKUP('Données projet'!$B$10,Paramètres!$A$1:$I$89,3,0)*0.475*44/12</f>
        <v>4.3934529332728385</v>
      </c>
      <c r="AW164" s="23">
        <f>EXP(-LN(2)/2)*AW163+(1-EXP(-LN(2)/2))/(LN(2)/2)*AQ164*AT164*VLOOKUP('Données projet'!$B$10,Paramètres!$A$1:$I$89,3,0)*0.475*44/12</f>
        <v>7.4248788225969321E-9</v>
      </c>
      <c r="AX164" s="23">
        <f t="shared" si="166"/>
        <v>69.753478650859762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>
        <f>VLOOKUP(A164,'Données projet'!$A$87:$I$107,2,0)</f>
        <v>115.43</v>
      </c>
      <c r="BB164" s="13">
        <f>VLOOKUP(A164,'Données projet'!$A$87:$I$107,9,0)</f>
        <v>1.4024999999999999</v>
      </c>
      <c r="BC164" s="13">
        <f t="array" ref="BC164">INDEX(BB:BB,MIN(IF(ISNUMBER(BB164:BB360),ROW(BB164:BB360),"")))</f>
        <v>1.4024999999999999</v>
      </c>
      <c r="BD164" s="13">
        <f>IF('Données projet'!$A$88&gt;35,BD163+BC164-BL163,IF(A164&lt;'Données projet'!$A$88,$BA$205^A164,IF(A164='Données projet'!$A$88,'Données projet'!$B$88,BD163+BC164-BL163)))</f>
        <v>115.42999999999971</v>
      </c>
      <c r="BE164" s="14">
        <f>BD164*VLOOKUP('Données projet'!$B$11,Paramètres!$A$1:$I$89,3,0)*VLOOKUP('Données projet'!$B$11,Paramètres!$A$1:$I$89,5,0)</f>
        <v>104.44106399999973</v>
      </c>
      <c r="BF164" s="14">
        <f t="shared" si="167"/>
        <v>28.017329297798007</v>
      </c>
      <c r="BG164" s="22">
        <f t="shared" si="168"/>
        <v>230.69836832699772</v>
      </c>
      <c r="BH164" s="62">
        <f t="shared" si="116"/>
        <v>524.03170166033101</v>
      </c>
      <c r="BI164" s="62">
        <f ca="1">AVERAGE(OFFSET($BH$3,0,0,'Données projet'!$E$11+1,1))-AVERAGE(OFFSET($H$3,0,0,'Données projet'!$E$11+1,1))</f>
        <v>320.80580551060069</v>
      </c>
      <c r="BJ164" s="62">
        <f t="shared" si="146"/>
        <v>225.55225019382294</v>
      </c>
      <c r="BK164" s="16">
        <f>IF(ISNA(VLOOKUP(A164,'Données projet'!$A$87:$I$107,3,0)),0,VLOOKUP(A164,'Données projet'!$A$87:$I$107,3,0))</f>
        <v>15</v>
      </c>
      <c r="BL164" s="16">
        <f>IF(ISNA(VLOOKUP(A164,'Données projet'!$A$87:$I$107,4,0)),0,VLOOKUP(A164,'Données projet'!$A$87:$I$107,4,0))</f>
        <v>115.43</v>
      </c>
      <c r="BM164" s="17">
        <f>IF(ISNA(VLOOKUP(A164,'Données projet'!$A$87:$I$107,5,0)),0%,VLOOKUP(A164,'Données projet'!$A$87:$I$107,5,0)*VLOOKUP('Données projet'!$B$11,Paramètres!$A$1:$I$89,7,0))</f>
        <v>0.34400000000000003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148.87176600630715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148.87176600630715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254.67898541152096</v>
      </c>
      <c r="CE164" s="62">
        <f t="shared" si="148"/>
        <v>251.52653810702509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22.446467819778988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22.446467819778988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6.3550942286383367E-14</v>
      </c>
      <c r="P165" s="14">
        <f t="shared" si="141"/>
        <v>1.0064464192543978E-12</v>
      </c>
      <c r="Q165" s="22">
        <f t="shared" si="162"/>
        <v>1.8635787380168604E-12</v>
      </c>
      <c r="R165" s="62">
        <f t="shared" si="109"/>
        <v>293.33333333333519</v>
      </c>
      <c r="S165" s="62">
        <f ca="1">AVERAGE(OFFSET($R$3,0,0,'Données projet'!$E$9+1,1))-AVERAGE(OFFSET($H$3,0,0,'Données projet'!$E$9+1,1))</f>
        <v>321.56347025977988</v>
      </c>
      <c r="T165" s="62">
        <f t="shared" si="142"/>
        <v>285.79375360040717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49.546641532944669</v>
      </c>
      <c r="AA165" s="23">
        <f>EXP(-LN(2)/25)*AA164+(1-EXP(-LN(2)/25))/(LN(2)/25)*Calculateur!V165*Calculateur!X165*VLOOKUP('Données projet'!$B$9,Paramètres!$A$1:$I$89,3,0)*0.475*44/12</f>
        <v>3.4442939658230105</v>
      </c>
      <c r="AB165" s="23">
        <f>EXP(-LN(2)/2)*AB164+(1-EXP(-LN(2)/2))/(LN(2)/2)*V165*Y165*VLOOKUP('Données projet'!$B$9,Paramètres!$A$1:$I$89,3,0)*0.475*44/12</f>
        <v>2.1896954091961328E-13</v>
      </c>
      <c r="AC165" s="24">
        <f t="shared" si="163"/>
        <v>52.990935498767897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projet'!$B$10,Paramètres!$A$1:$I$89,3,0)*VLOOKUP('Données projet'!$B$10,Paramètres!$A$1:$I$89,5,0)</f>
        <v>-2.1282176021486519E-13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272.2908884671595</v>
      </c>
      <c r="AO165" s="62">
        <f t="shared" si="144"/>
        <v>220.74777226152867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64.078355471665049</v>
      </c>
      <c r="AV165" s="23">
        <f>EXP(-LN(2)/25)*AV164+(1-EXP(-LN(2)/25))/(LN(2)/25)*Calculateur!AQ165*Calculateur!AS165*VLOOKUP('Données projet'!$B$10,Paramètres!$A$1:$I$89,3,0)*0.475*44/12</f>
        <v>4.2733137317708447</v>
      </c>
      <c r="AW165" s="23">
        <f>EXP(-LN(2)/2)*AW164+(1-EXP(-LN(2)/2))/(LN(2)/2)*AQ165*AT165*VLOOKUP('Données projet'!$B$10,Paramètres!$A$1:$I$89,3,0)*0.475*44/12</f>
        <v>5.2501821649466797E-9</v>
      </c>
      <c r="AX165" s="23">
        <f t="shared" si="166"/>
        <v>68.351669208686076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-2.9842794901924208E-13</v>
      </c>
      <c r="BE165" s="14">
        <f>BD165*VLOOKUP('Données projet'!$B$11,Paramètres!$A$1:$I$89,3,0)*VLOOKUP('Données projet'!$B$11,Paramètres!$A$1:$I$89,5,0)</f>
        <v>-2.7001760827261026E-13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320.80580551060069</v>
      </c>
      <c r="BJ165" s="62">
        <f t="shared" si="146"/>
        <v>225.55225019382294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145.95248147773469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145.95248147773469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254.67898541152096</v>
      </c>
      <c r="CE165" s="62">
        <f t="shared" si="148"/>
        <v>251.52653810702509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22.006306276826617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22.006306276826617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6.3550942286383367E-14</v>
      </c>
      <c r="P166" s="14">
        <f t="shared" si="141"/>
        <v>1.0064464192543978E-12</v>
      </c>
      <c r="Q166" s="22">
        <f t="shared" si="162"/>
        <v>1.8635787380168604E-12</v>
      </c>
      <c r="R166" s="62">
        <f t="shared" si="109"/>
        <v>293.33333333333519</v>
      </c>
      <c r="S166" s="62">
        <f ca="1">AVERAGE(OFFSET($R$3,0,0,'Données projet'!$E$9+1,1))-AVERAGE(OFFSET($H$3,0,0,'Données projet'!$E$9+1,1))</f>
        <v>321.56347025977988</v>
      </c>
      <c r="T166" s="62">
        <f t="shared" si="142"/>
        <v>285.79375360040717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48.575062112950938</v>
      </c>
      <c r="AA166" s="23">
        <f>EXP(-LN(2)/25)*AA165+(1-EXP(-LN(2)/25))/(LN(2)/25)*Calculateur!V166*Calculateur!X166*VLOOKUP('Données projet'!$B$9,Paramètres!$A$1:$I$89,3,0)*0.475*44/12</f>
        <v>3.3501095662000329</v>
      </c>
      <c r="AB166" s="23">
        <f>EXP(-LN(2)/2)*AB165+(1-EXP(-LN(2)/2))/(LN(2)/2)*V166*Y166*VLOOKUP('Données projet'!$B$9,Paramètres!$A$1:$I$89,3,0)*0.475*44/12</f>
        <v>1.5483484725756377E-13</v>
      </c>
      <c r="AC166" s="24">
        <f t="shared" si="163"/>
        <v>51.925171679151127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projet'!$B$10,Paramètres!$A$1:$I$89,3,0)*VLOOKUP('Données projet'!$B$10,Paramètres!$A$1:$I$89,5,0)</f>
        <v>-2.1282176021486519E-13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272.2908884671595</v>
      </c>
      <c r="AO166" s="62">
        <f t="shared" si="144"/>
        <v>220.74777226152867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62.821818004803319</v>
      </c>
      <c r="AV166" s="23">
        <f>EXP(-LN(2)/25)*AV165+(1-EXP(-LN(2)/25))/(LN(2)/25)*Calculateur!AQ166*Calculateur!AS166*VLOOKUP('Données projet'!$B$10,Paramètres!$A$1:$I$89,3,0)*0.475*44/12</f>
        <v>4.1564597430517685</v>
      </c>
      <c r="AW166" s="23">
        <f>EXP(-LN(2)/2)*AW165+(1-EXP(-LN(2)/2))/(LN(2)/2)*AQ166*AT166*VLOOKUP('Données projet'!$B$10,Paramètres!$A$1:$I$89,3,0)*0.475*44/12</f>
        <v>3.7124394112984665E-9</v>
      </c>
      <c r="AX166" s="23">
        <f t="shared" si="166"/>
        <v>66.978277751567532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-2.9842794901924208E-13</v>
      </c>
      <c r="BE166" s="14">
        <f>BD166*VLOOKUP('Données projet'!$B$11,Paramètres!$A$1:$I$89,3,0)*VLOOKUP('Données projet'!$B$11,Paramètres!$A$1:$I$89,5,0)</f>
        <v>-2.7001760827261026E-13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320.80580551060069</v>
      </c>
      <c r="BJ166" s="62">
        <f t="shared" si="146"/>
        <v>225.55225019382294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143.0904423381798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143.0904423381798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254.67898541152096</v>
      </c>
      <c r="CE166" s="62">
        <f t="shared" si="148"/>
        <v>251.52653810702509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21.574776033259511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21.574776033259511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6.3550942286383367E-14</v>
      </c>
      <c r="P167" s="14">
        <f t="shared" si="141"/>
        <v>1.0064464192543978E-12</v>
      </c>
      <c r="Q167" s="22">
        <f t="shared" si="162"/>
        <v>1.8635787380168604E-12</v>
      </c>
      <c r="R167" s="62">
        <f t="shared" si="109"/>
        <v>293.33333333333519</v>
      </c>
      <c r="S167" s="62">
        <f ca="1">AVERAGE(OFFSET($R$3,0,0,'Données projet'!$E$9+1,1))-AVERAGE(OFFSET($H$3,0,0,'Données projet'!$E$9+1,1))</f>
        <v>321.56347025977988</v>
      </c>
      <c r="T167" s="62">
        <f t="shared" si="142"/>
        <v>285.79375360040717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47.622534772778351</v>
      </c>
      <c r="AA167" s="23">
        <f>EXP(-LN(2)/25)*AA166+(1-EXP(-LN(2)/25))/(LN(2)/25)*Calculateur!V167*Calculateur!X167*VLOOKUP('Données projet'!$B$9,Paramètres!$A$1:$I$89,3,0)*0.475*44/12</f>
        <v>3.2585006439376878</v>
      </c>
      <c r="AB167" s="23">
        <f>EXP(-LN(2)/2)*AB166+(1-EXP(-LN(2)/2))/(LN(2)/2)*V167*Y167*VLOOKUP('Données projet'!$B$9,Paramètres!$A$1:$I$89,3,0)*0.475*44/12</f>
        <v>1.0948477045980665E-13</v>
      </c>
      <c r="AC167" s="24">
        <f t="shared" si="163"/>
        <v>50.881035416716145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projet'!$B$10,Paramètres!$A$1:$I$89,3,0)*VLOOKUP('Données projet'!$B$10,Paramètres!$A$1:$I$89,5,0)</f>
        <v>-2.1282176021486519E-13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272.2908884671595</v>
      </c>
      <c r="AO167" s="62">
        <f t="shared" si="144"/>
        <v>220.74777226152867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61.589920471254565</v>
      </c>
      <c r="AV167" s="23">
        <f>EXP(-LN(2)/25)*AV166+(1-EXP(-LN(2)/25))/(LN(2)/25)*Calculateur!AQ167*Calculateur!AS167*VLOOKUP('Données projet'!$B$10,Paramètres!$A$1:$I$89,3,0)*0.475*44/12</f>
        <v>4.0428011327992994</v>
      </c>
      <c r="AW167" s="23">
        <f>EXP(-LN(2)/2)*AW166+(1-EXP(-LN(2)/2))/(LN(2)/2)*AQ167*AT167*VLOOKUP('Données projet'!$B$10,Paramètres!$A$1:$I$89,3,0)*0.475*44/12</f>
        <v>2.6250910824733403E-9</v>
      </c>
      <c r="AX167" s="23">
        <f t="shared" si="166"/>
        <v>65.632721606678956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-2.9842794901924208E-13</v>
      </c>
      <c r="BE167" s="14">
        <f>BD167*VLOOKUP('Données projet'!$B$11,Paramètres!$A$1:$I$89,3,0)*VLOOKUP('Données projet'!$B$11,Paramètres!$A$1:$I$89,5,0)</f>
        <v>-2.7001760827261026E-13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320.80580551060069</v>
      </c>
      <c r="BJ167" s="62">
        <f t="shared" si="146"/>
        <v>225.55225019382294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140.28452604048007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140.28452604048007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254.67898541152096</v>
      </c>
      <c r="CE167" s="62">
        <f t="shared" si="148"/>
        <v>251.52653810702509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21.151707834561297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21.151707834561297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6.3550942286383367E-14</v>
      </c>
      <c r="P168" s="14">
        <f t="shared" si="141"/>
        <v>1.0064464192543978E-12</v>
      </c>
      <c r="Q168" s="22">
        <f t="shared" si="162"/>
        <v>1.8635787380168604E-12</v>
      </c>
      <c r="R168" s="62">
        <f t="shared" si="109"/>
        <v>293.33333333333519</v>
      </c>
      <c r="S168" s="62">
        <f ca="1">AVERAGE(OFFSET($R$3,0,0,'Données projet'!$E$9+1,1))-AVERAGE(OFFSET($H$3,0,0,'Données projet'!$E$9+1,1))</f>
        <v>321.56347025977988</v>
      </c>
      <c r="T168" s="62">
        <f t="shared" si="142"/>
        <v>285.79375360040717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46.688685912762239</v>
      </c>
      <c r="AA168" s="23">
        <f>EXP(-LN(2)/25)*AA167+(1-EXP(-LN(2)/25))/(LN(2)/25)*Calculateur!V168*Calculateur!X168*VLOOKUP('Données projet'!$B$9,Paramètres!$A$1:$I$89,3,0)*0.475*44/12</f>
        <v>3.1693967724721102</v>
      </c>
      <c r="AB168" s="23">
        <f>EXP(-LN(2)/2)*AB167+(1-EXP(-LN(2)/2))/(LN(2)/2)*V168*Y168*VLOOKUP('Données projet'!$B$9,Paramètres!$A$1:$I$89,3,0)*0.475*44/12</f>
        <v>7.7417423628781896E-14</v>
      </c>
      <c r="AC168" s="24">
        <f t="shared" si="163"/>
        <v>49.858082685234429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projet'!$B$10,Paramètres!$A$1:$I$89,3,0)*VLOOKUP('Données projet'!$B$10,Paramètres!$A$1:$I$89,5,0)</f>
        <v>-2.1282176021486519E-13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272.2908884671595</v>
      </c>
      <c r="AO168" s="62">
        <f t="shared" si="144"/>
        <v>220.74777226152867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60.382179696955404</v>
      </c>
      <c r="AV168" s="23">
        <f>EXP(-LN(2)/25)*AV167+(1-EXP(-LN(2)/25))/(LN(2)/25)*Calculateur!AQ168*Calculateur!AS168*VLOOKUP('Données projet'!$B$10,Paramètres!$A$1:$I$89,3,0)*0.475*44/12</f>
        <v>3.932250523221231</v>
      </c>
      <c r="AW168" s="23">
        <f>EXP(-LN(2)/2)*AW167+(1-EXP(-LN(2)/2))/(LN(2)/2)*AQ168*AT168*VLOOKUP('Données projet'!$B$10,Paramètres!$A$1:$I$89,3,0)*0.475*44/12</f>
        <v>1.8562197056492334E-9</v>
      </c>
      <c r="AX168" s="23">
        <f t="shared" si="166"/>
        <v>64.314430222032854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-2.9842794901924208E-13</v>
      </c>
      <c r="BE168" s="14">
        <f>BD168*VLOOKUP('Données projet'!$B$11,Paramètres!$A$1:$I$89,3,0)*VLOOKUP('Données projet'!$B$11,Paramètres!$A$1:$I$89,5,0)</f>
        <v>-2.7001760827261026E-13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320.80580551060069</v>
      </c>
      <c r="BJ168" s="62">
        <f t="shared" si="146"/>
        <v>225.55225019382294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137.53363204993829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137.53363204993829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254.67898541152096</v>
      </c>
      <c r="CE168" s="62">
        <f t="shared" si="148"/>
        <v>251.52653810702509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20.736935745193435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20.736935745193435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6.3550942286383367E-14</v>
      </c>
      <c r="P169" s="14">
        <f t="shared" si="141"/>
        <v>1.0064464192543978E-12</v>
      </c>
      <c r="Q169" s="22">
        <f t="shared" si="162"/>
        <v>1.8635787380168604E-12</v>
      </c>
      <c r="R169" s="62">
        <f t="shared" si="109"/>
        <v>293.33333333333519</v>
      </c>
      <c r="S169" s="62">
        <f ca="1">AVERAGE(OFFSET($R$3,0,0,'Données projet'!$E$9+1,1))-AVERAGE(OFFSET($H$3,0,0,'Données projet'!$E$9+1,1))</f>
        <v>321.56347025977988</v>
      </c>
      <c r="T169" s="62">
        <f t="shared" si="142"/>
        <v>285.79375360040717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45.77314925929948</v>
      </c>
      <c r="AA169" s="23">
        <f>EXP(-LN(2)/25)*AA168+(1-EXP(-LN(2)/25))/(LN(2)/25)*Calculateur!V169*Calculateur!X169*VLOOKUP('Données projet'!$B$9,Paramètres!$A$1:$I$89,3,0)*0.475*44/12</f>
        <v>3.0827294510575278</v>
      </c>
      <c r="AB169" s="23">
        <f>EXP(-LN(2)/2)*AB168+(1-EXP(-LN(2)/2))/(LN(2)/2)*V169*Y169*VLOOKUP('Données projet'!$B$9,Paramètres!$A$1:$I$89,3,0)*0.475*44/12</f>
        <v>5.4742385229903339E-14</v>
      </c>
      <c r="AC169" s="24">
        <f t="shared" si="163"/>
        <v>48.855878710357061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projet'!$B$10,Paramètres!$A$1:$I$89,3,0)*VLOOKUP('Données projet'!$B$10,Paramètres!$A$1:$I$89,5,0)</f>
        <v>-2.1282176021486519E-13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272.2908884671595</v>
      </c>
      <c r="AO169" s="62">
        <f t="shared" si="144"/>
        <v>220.74777226152867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59.198121982591111</v>
      </c>
      <c r="AV169" s="23">
        <f>EXP(-LN(2)/25)*AV168+(1-EXP(-LN(2)/25))/(LN(2)/25)*Calculateur!AQ169*Calculateur!AS169*VLOOKUP('Données projet'!$B$10,Paramètres!$A$1:$I$89,3,0)*0.475*44/12</f>
        <v>3.8247229258756787</v>
      </c>
      <c r="AW169" s="23">
        <f>EXP(-LN(2)/2)*AW168+(1-EXP(-LN(2)/2))/(LN(2)/2)*AQ169*AT169*VLOOKUP('Données projet'!$B$10,Paramètres!$A$1:$I$89,3,0)*0.475*44/12</f>
        <v>1.3125455412366703E-9</v>
      </c>
      <c r="AX169" s="23">
        <f t="shared" si="166"/>
        <v>63.02284490977933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-2.9842794901924208E-13</v>
      </c>
      <c r="BE169" s="14">
        <f>BD169*VLOOKUP('Données projet'!$B$11,Paramètres!$A$1:$I$89,3,0)*VLOOKUP('Données projet'!$B$11,Paramètres!$A$1:$I$89,5,0)</f>
        <v>-2.7001760827261026E-13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320.80580551060069</v>
      </c>
      <c r="BJ169" s="62">
        <f t="shared" si="146"/>
        <v>225.55225019382294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134.83668141267137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134.83668141267137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254.67898541152096</v>
      </c>
      <c r="CE169" s="62">
        <f t="shared" si="148"/>
        <v>251.52653810702509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20.330297083512082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20.330297083512082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6.3550942286383367E-14</v>
      </c>
      <c r="P170" s="14">
        <f t="shared" si="141"/>
        <v>1.0064464192543978E-12</v>
      </c>
      <c r="Q170" s="22">
        <f t="shared" si="162"/>
        <v>1.8635787380168604E-12</v>
      </c>
      <c r="R170" s="62">
        <f t="shared" si="109"/>
        <v>293.33333333333519</v>
      </c>
      <c r="S170" s="62">
        <f ca="1">AVERAGE(OFFSET($R$3,0,0,'Données projet'!$E$9+1,1))-AVERAGE(OFFSET($H$3,0,0,'Données projet'!$E$9+1,1))</f>
        <v>321.56347025977988</v>
      </c>
      <c r="T170" s="62">
        <f t="shared" si="142"/>
        <v>285.79375360040717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44.875565721188906</v>
      </c>
      <c r="AA170" s="23">
        <f>EXP(-LN(2)/25)*AA169+(1-EXP(-LN(2)/25))/(LN(2)/25)*Calculateur!V170*Calculateur!X170*VLOOKUP('Données projet'!$B$9,Paramètres!$A$1:$I$89,3,0)*0.475*44/12</f>
        <v>2.9984320521046635</v>
      </c>
      <c r="AB170" s="23">
        <f>EXP(-LN(2)/2)*AB169+(1-EXP(-LN(2)/2))/(LN(2)/2)*V170*Y170*VLOOKUP('Données projet'!$B$9,Paramètres!$A$1:$I$89,3,0)*0.475*44/12</f>
        <v>3.8708711814390954E-14</v>
      </c>
      <c r="AC170" s="24">
        <f t="shared" si="163"/>
        <v>47.873997773293603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projet'!$B$10,Paramètres!$A$1:$I$89,3,0)*VLOOKUP('Données projet'!$B$10,Paramètres!$A$1:$I$89,5,0)</f>
        <v>-2.1282176021486519E-13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272.2908884671595</v>
      </c>
      <c r="AO170" s="62">
        <f t="shared" si="144"/>
        <v>220.74777226152867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58.037282917801612</v>
      </c>
      <c r="AV170" s="23">
        <f>EXP(-LN(2)/25)*AV169+(1-EXP(-LN(2)/25))/(LN(2)/25)*Calculateur!AQ170*Calculateur!AS170*VLOOKUP('Données projet'!$B$10,Paramètres!$A$1:$I$89,3,0)*0.475*44/12</f>
        <v>3.7201356763341713</v>
      </c>
      <c r="AW170" s="23">
        <f>EXP(-LN(2)/2)*AW169+(1-EXP(-LN(2)/2))/(LN(2)/2)*AQ170*AT170*VLOOKUP('Données projet'!$B$10,Paramètres!$A$1:$I$89,3,0)*0.475*44/12</f>
        <v>9.2810985282461693E-10</v>
      </c>
      <c r="AX170" s="23">
        <f t="shared" si="166"/>
        <v>61.757418595063896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-2.9842794901924208E-13</v>
      </c>
      <c r="BE170" s="14">
        <f>BD170*VLOOKUP('Données projet'!$B$11,Paramètres!$A$1:$I$89,3,0)*VLOOKUP('Données projet'!$B$11,Paramètres!$A$1:$I$89,5,0)</f>
        <v>-2.7001760827261026E-13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320.80580551060069</v>
      </c>
      <c r="BJ170" s="62">
        <f t="shared" si="146"/>
        <v>225.55225019382294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132.1926163324238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132.1926163324238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254.67898541152096</v>
      </c>
      <c r="CE170" s="62">
        <f t="shared" si="148"/>
        <v>251.52653810702509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19.931632357961206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19.931632357961206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6.3550942286383367E-14</v>
      </c>
      <c r="P171" s="14">
        <f t="shared" si="141"/>
        <v>1.0064464192543978E-12</v>
      </c>
      <c r="Q171" s="22">
        <f t="shared" si="162"/>
        <v>1.8635787380168604E-12</v>
      </c>
      <c r="R171" s="62">
        <f t="shared" si="109"/>
        <v>293.33333333333519</v>
      </c>
      <c r="S171" s="62">
        <f ca="1">AVERAGE(OFFSET($R$3,0,0,'Données projet'!$E$9+1,1))-AVERAGE(OFFSET($H$3,0,0,'Données projet'!$E$9+1,1))</f>
        <v>321.56347025977988</v>
      </c>
      <c r="T171" s="62">
        <f t="shared" si="142"/>
        <v>285.79375360040717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43.995583248788783</v>
      </c>
      <c r="AA171" s="23">
        <f>EXP(-LN(2)/25)*AA170+(1-EXP(-LN(2)/25))/(LN(2)/25)*Calculateur!V171*Calculateur!X171*VLOOKUP('Données projet'!$B$9,Paramètres!$A$1:$I$89,3,0)*0.475*44/12</f>
        <v>2.9164397699591729</v>
      </c>
      <c r="AB171" s="23">
        <f>EXP(-LN(2)/2)*AB170+(1-EXP(-LN(2)/2))/(LN(2)/2)*V171*Y171*VLOOKUP('Données projet'!$B$9,Paramètres!$A$1:$I$89,3,0)*0.475*44/12</f>
        <v>2.7371192614951673E-14</v>
      </c>
      <c r="AC171" s="24">
        <f t="shared" si="163"/>
        <v>46.912023018747988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projet'!$B$10,Paramètres!$A$1:$I$89,3,0)*VLOOKUP('Données projet'!$B$10,Paramètres!$A$1:$I$89,5,0)</f>
        <v>-2.1282176021486519E-13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272.2908884671595</v>
      </c>
      <c r="AO171" s="62">
        <f t="shared" si="144"/>
        <v>220.74777226152867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56.89920719903072</v>
      </c>
      <c r="AV171" s="23">
        <f>EXP(-LN(2)/25)*AV170+(1-EXP(-LN(2)/25))/(LN(2)/25)*Calculateur!AQ171*Calculateur!AS171*VLOOKUP('Données projet'!$B$10,Paramètres!$A$1:$I$89,3,0)*0.475*44/12</f>
        <v>3.6184083706313808</v>
      </c>
      <c r="AW171" s="23">
        <f>EXP(-LN(2)/2)*AW170+(1-EXP(-LN(2)/2))/(LN(2)/2)*AQ171*AT171*VLOOKUP('Données projet'!$B$10,Paramètres!$A$1:$I$89,3,0)*0.475*44/12</f>
        <v>6.5627277061833527E-10</v>
      </c>
      <c r="AX171" s="23">
        <f t="shared" si="166"/>
        <v>60.51761557031837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-2.9842794901924208E-13</v>
      </c>
      <c r="BE171" s="14">
        <f>BD171*VLOOKUP('Données projet'!$B$11,Paramètres!$A$1:$I$89,3,0)*VLOOKUP('Données projet'!$B$11,Paramètres!$A$1:$I$89,5,0)</f>
        <v>-2.7001760827261026E-13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320.80580551060069</v>
      </c>
      <c r="BJ171" s="62">
        <f t="shared" si="146"/>
        <v>225.55225019382294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129.60039975567943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129.60039975567943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254.67898541152096</v>
      </c>
      <c r="CE171" s="62">
        <f t="shared" si="148"/>
        <v>251.52653810702509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19.540785204516911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19.540785204516911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6.3550942286383367E-14</v>
      </c>
      <c r="P172" s="14">
        <f t="shared" si="141"/>
        <v>1.0064464192543978E-12</v>
      </c>
      <c r="Q172" s="22">
        <f t="shared" si="162"/>
        <v>1.8635787380168604E-12</v>
      </c>
      <c r="R172" s="62">
        <f t="shared" si="109"/>
        <v>293.33333333333519</v>
      </c>
      <c r="S172" s="62">
        <f ca="1">AVERAGE(OFFSET($R$3,0,0,'Données projet'!$E$9+1,1))-AVERAGE(OFFSET($H$3,0,0,'Données projet'!$E$9+1,1))</f>
        <v>321.56347025977988</v>
      </c>
      <c r="T172" s="62">
        <f t="shared" si="142"/>
        <v>285.79375360040717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43.132856695936113</v>
      </c>
      <c r="AA172" s="23">
        <f>EXP(-LN(2)/25)*AA171+(1-EXP(-LN(2)/25))/(LN(2)/25)*Calculateur!V172*Calculateur!X172*VLOOKUP('Données projet'!$B$9,Paramètres!$A$1:$I$89,3,0)*0.475*44/12</f>
        <v>2.8366895710807376</v>
      </c>
      <c r="AB172" s="23">
        <f>EXP(-LN(2)/2)*AB171+(1-EXP(-LN(2)/2))/(LN(2)/2)*V172*Y172*VLOOKUP('Données projet'!$B$9,Paramètres!$A$1:$I$89,3,0)*0.475*44/12</f>
        <v>1.935435590719548E-14</v>
      </c>
      <c r="AC172" s="24">
        <f t="shared" si="163"/>
        <v>45.969546267016874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projet'!$B$10,Paramètres!$A$1:$I$89,3,0)*VLOOKUP('Données projet'!$B$10,Paramètres!$A$1:$I$89,5,0)</f>
        <v>-2.1282176021486519E-13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272.2908884671595</v>
      </c>
      <c r="AO172" s="62">
        <f t="shared" si="144"/>
        <v>220.74777226152867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55.783448450947276</v>
      </c>
      <c r="AV172" s="23">
        <f>EXP(-LN(2)/25)*AV171+(1-EXP(-LN(2)/25))/(LN(2)/25)*Calculateur!AQ172*Calculateur!AS172*VLOOKUP('Données projet'!$B$10,Paramètres!$A$1:$I$89,3,0)*0.475*44/12</f>
        <v>3.5194628034526394</v>
      </c>
      <c r="AW172" s="23">
        <f>EXP(-LN(2)/2)*AW171+(1-EXP(-LN(2)/2))/(LN(2)/2)*AQ172*AT172*VLOOKUP('Données projet'!$B$10,Paramètres!$A$1:$I$89,3,0)*0.475*44/12</f>
        <v>4.6405492641230852E-10</v>
      </c>
      <c r="AX172" s="23">
        <f t="shared" si="166"/>
        <v>59.302911254863972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-2.9842794901924208E-13</v>
      </c>
      <c r="BE172" s="14">
        <f>BD172*VLOOKUP('Données projet'!$B$11,Paramètres!$A$1:$I$89,3,0)*VLOOKUP('Données projet'!$B$11,Paramètres!$A$1:$I$89,5,0)</f>
        <v>-2.7001760827261026E-13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320.80580551060069</v>
      </c>
      <c r="BJ172" s="62">
        <f t="shared" si="146"/>
        <v>225.55225019382294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127.05901496490903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127.05901496490903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254.67898541152096</v>
      </c>
      <c r="CE172" s="62">
        <f t="shared" si="148"/>
        <v>251.52653810702509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19.157602325358436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19.157602325358436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6.3550942286383367E-14</v>
      </c>
      <c r="P173" s="14">
        <f t="shared" si="141"/>
        <v>1.0064464192543978E-12</v>
      </c>
      <c r="Q173" s="22">
        <f t="shared" si="162"/>
        <v>1.8635787380168604E-12</v>
      </c>
      <c r="R173" s="62">
        <f t="shared" si="109"/>
        <v>293.33333333333519</v>
      </c>
      <c r="S173" s="62">
        <f ca="1">AVERAGE(OFFSET($R$3,0,0,'Données projet'!$E$9+1,1))-AVERAGE(OFFSET($H$3,0,0,'Données projet'!$E$9+1,1))</f>
        <v>321.56347025977988</v>
      </c>
      <c r="T173" s="62">
        <f t="shared" si="142"/>
        <v>285.79375360040717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42.287047684573643</v>
      </c>
      <c r="AA173" s="23">
        <f>EXP(-LN(2)/25)*AA172+(1-EXP(-LN(2)/25))/(LN(2)/25)*Calculateur!V173*Calculateur!X173*VLOOKUP('Données projet'!$B$9,Paramètres!$A$1:$I$89,3,0)*0.475*44/12</f>
        <v>2.7591201455845136</v>
      </c>
      <c r="AB173" s="23">
        <f>EXP(-LN(2)/2)*AB172+(1-EXP(-LN(2)/2))/(LN(2)/2)*V173*Y173*VLOOKUP('Données projet'!$B$9,Paramètres!$A$1:$I$89,3,0)*0.475*44/12</f>
        <v>1.368559630747584E-14</v>
      </c>
      <c r="AC173" s="24">
        <f t="shared" si="163"/>
        <v>45.046167830158168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projet'!$B$10,Paramètres!$A$1:$I$89,3,0)*VLOOKUP('Données projet'!$B$10,Paramètres!$A$1:$I$89,5,0)</f>
        <v>-2.1282176021486519E-13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272.2908884671595</v>
      </c>
      <c r="AO173" s="62">
        <f t="shared" si="144"/>
        <v>220.74777226152867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54.68956905136811</v>
      </c>
      <c r="AV173" s="23">
        <f>EXP(-LN(2)/25)*AV172+(1-EXP(-LN(2)/25))/(LN(2)/25)*Calculateur!AQ173*Calculateur!AS173*VLOOKUP('Données projet'!$B$10,Paramètres!$A$1:$I$89,3,0)*0.475*44/12</f>
        <v>3.4232229080117218</v>
      </c>
      <c r="AW173" s="23">
        <f>EXP(-LN(2)/2)*AW172+(1-EXP(-LN(2)/2))/(LN(2)/2)*AQ173*AT173*VLOOKUP('Données projet'!$B$10,Paramètres!$A$1:$I$89,3,0)*0.475*44/12</f>
        <v>3.2813638530916769E-10</v>
      </c>
      <c r="AX173" s="23">
        <f t="shared" si="166"/>
        <v>58.11279195970797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-2.9842794901924208E-13</v>
      </c>
      <c r="BE173" s="14">
        <f>BD173*VLOOKUP('Données projet'!$B$11,Paramètres!$A$1:$I$89,3,0)*VLOOKUP('Données projet'!$B$11,Paramètres!$A$1:$I$89,5,0)</f>
        <v>-2.7001760827261026E-13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320.80580551060069</v>
      </c>
      <c r="BJ173" s="62">
        <f t="shared" si="146"/>
        <v>225.55225019382294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124.56746517979396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124.56746517979396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254.67898541152096</v>
      </c>
      <c r="CE173" s="62">
        <f t="shared" si="148"/>
        <v>251.52653810702509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18.78193342874178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18.78193342874178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6.3550942286383367E-14</v>
      </c>
      <c r="P174" s="14">
        <f t="shared" si="141"/>
        <v>1.0064464192543978E-12</v>
      </c>
      <c r="Q174" s="22">
        <f t="shared" si="162"/>
        <v>1.8635787380168604E-12</v>
      </c>
      <c r="R174" s="62">
        <f t="shared" si="109"/>
        <v>293.33333333333519</v>
      </c>
      <c r="S174" s="62">
        <f ca="1">AVERAGE(OFFSET($R$3,0,0,'Données projet'!$E$9+1,1))-AVERAGE(OFFSET($H$3,0,0,'Données projet'!$E$9+1,1))</f>
        <v>321.56347025977988</v>
      </c>
      <c r="T174" s="62">
        <f t="shared" si="142"/>
        <v>285.79375360040717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41.45782447203144</v>
      </c>
      <c r="AA174" s="23">
        <f>EXP(-LN(2)/25)*AA173+(1-EXP(-LN(2)/25))/(LN(2)/25)*Calculateur!V174*Calculateur!X174*VLOOKUP('Données projet'!$B$9,Paramètres!$A$1:$I$89,3,0)*0.475*44/12</f>
        <v>2.6836718601076828</v>
      </c>
      <c r="AB174" s="23">
        <f>EXP(-LN(2)/2)*AB173+(1-EXP(-LN(2)/2))/(LN(2)/2)*V174*Y174*VLOOKUP('Données projet'!$B$9,Paramètres!$A$1:$I$89,3,0)*0.475*44/12</f>
        <v>9.6771779535977417E-15</v>
      </c>
      <c r="AC174" s="24">
        <f t="shared" si="163"/>
        <v>44.141496332139127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projet'!$B$10,Paramètres!$A$1:$I$89,3,0)*VLOOKUP('Données projet'!$B$10,Paramètres!$A$1:$I$89,5,0)</f>
        <v>-2.1282176021486519E-13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272.2908884671595</v>
      </c>
      <c r="AO174" s="62">
        <f t="shared" si="144"/>
        <v>220.74777226152867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53.617139959614136</v>
      </c>
      <c r="AV174" s="23">
        <f>EXP(-LN(2)/25)*AV173+(1-EXP(-LN(2)/25))/(LN(2)/25)*Calculateur!AQ174*Calculateur!AS174*VLOOKUP('Données projet'!$B$10,Paramètres!$A$1:$I$89,3,0)*0.475*44/12</f>
        <v>3.3296146975726724</v>
      </c>
      <c r="AW174" s="23">
        <f>EXP(-LN(2)/2)*AW173+(1-EXP(-LN(2)/2))/(LN(2)/2)*AQ174*AT174*VLOOKUP('Données projet'!$B$10,Paramètres!$A$1:$I$89,3,0)*0.475*44/12</f>
        <v>2.3202746320615431E-10</v>
      </c>
      <c r="AX174" s="23">
        <f t="shared" si="166"/>
        <v>56.946754657418836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-2.9842794901924208E-13</v>
      </c>
      <c r="BE174" s="14">
        <f>BD174*VLOOKUP('Données projet'!$B$11,Paramètres!$A$1:$I$89,3,0)*VLOOKUP('Données projet'!$B$11,Paramètres!$A$1:$I$89,5,0)</f>
        <v>-2.7001760827261026E-13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320.80580551060069</v>
      </c>
      <c r="BJ174" s="62">
        <f t="shared" si="146"/>
        <v>225.55225019382294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122.12477316626969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122.12477316626969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254.67898541152096</v>
      </c>
      <c r="CE174" s="62">
        <f t="shared" si="148"/>
        <v>251.52653810702509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18.413631170052373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18.413631170052373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6.3550942286383367E-14</v>
      </c>
      <c r="P175" s="14">
        <f t="shared" si="141"/>
        <v>1.0064464192543978E-12</v>
      </c>
      <c r="Q175" s="22">
        <f t="shared" si="162"/>
        <v>1.8635787380168604E-12</v>
      </c>
      <c r="R175" s="62">
        <f t="shared" si="109"/>
        <v>293.33333333333519</v>
      </c>
      <c r="S175" s="62">
        <f ca="1">AVERAGE(OFFSET($R$3,0,0,'Données projet'!$E$9+1,1))-AVERAGE(OFFSET($H$3,0,0,'Données projet'!$E$9+1,1))</f>
        <v>321.56347025977988</v>
      </c>
      <c r="T175" s="62">
        <f t="shared" si="142"/>
        <v>285.79375360040717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40.644861820910968</v>
      </c>
      <c r="AA175" s="23">
        <f>EXP(-LN(2)/25)*AA174+(1-EXP(-LN(2)/25))/(LN(2)/25)*Calculateur!V175*Calculateur!X175*VLOOKUP('Données projet'!$B$9,Paramètres!$A$1:$I$89,3,0)*0.475*44/12</f>
        <v>2.6102867119648687</v>
      </c>
      <c r="AB175" s="23">
        <f>EXP(-LN(2)/2)*AB174+(1-EXP(-LN(2)/2))/(LN(2)/2)*V175*Y175*VLOOKUP('Données projet'!$B$9,Paramètres!$A$1:$I$89,3,0)*0.475*44/12</f>
        <v>6.8427981537379206E-15</v>
      </c>
      <c r="AC175" s="24">
        <f t="shared" si="163"/>
        <v>43.255148532875843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projet'!$B$10,Paramètres!$A$1:$I$89,3,0)*VLOOKUP('Données projet'!$B$10,Paramètres!$A$1:$I$89,5,0)</f>
        <v>-2.1282176021486519E-13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272.2908884671595</v>
      </c>
      <c r="AO175" s="62">
        <f t="shared" si="144"/>
        <v>220.74777226152867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52.565740548232306</v>
      </c>
      <c r="AV175" s="23">
        <f>EXP(-LN(2)/25)*AV174+(1-EXP(-LN(2)/25))/(LN(2)/25)*Calculateur!AQ175*Calculateur!AS175*VLOOKUP('Données projet'!$B$10,Paramètres!$A$1:$I$89,3,0)*0.475*44/12</f>
        <v>3.2385662085707208</v>
      </c>
      <c r="AW175" s="23">
        <f>EXP(-LN(2)/2)*AW174+(1-EXP(-LN(2)/2))/(LN(2)/2)*AQ175*AT175*VLOOKUP('Données projet'!$B$10,Paramètres!$A$1:$I$89,3,0)*0.475*44/12</f>
        <v>1.6406819265458387E-10</v>
      </c>
      <c r="AX175" s="23">
        <f t="shared" si="166"/>
        <v>55.804306756967101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-2.9842794901924208E-13</v>
      </c>
      <c r="BE175" s="14">
        <f>BD175*VLOOKUP('Données projet'!$B$11,Paramètres!$A$1:$I$89,3,0)*VLOOKUP('Données projet'!$B$11,Paramètres!$A$1:$I$89,5,0)</f>
        <v>-2.7001760827261026E-13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320.80580551060069</v>
      </c>
      <c r="BJ175" s="62">
        <f t="shared" si="146"/>
        <v>225.55225019382294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119.72998085323562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119.72998085323562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254.67898541152096</v>
      </c>
      <c r="CE175" s="62">
        <f t="shared" si="148"/>
        <v>251.52653810702509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18.052551094013669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18.052551094013669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6.3550942286383367E-14</v>
      </c>
      <c r="P176" s="14">
        <f t="shared" si="141"/>
        <v>1.0064464192543978E-12</v>
      </c>
      <c r="Q176" s="22">
        <f t="shared" si="162"/>
        <v>1.8635787380168604E-12</v>
      </c>
      <c r="R176" s="62">
        <f t="shared" si="109"/>
        <v>293.33333333333519</v>
      </c>
      <c r="S176" s="62">
        <f ca="1">AVERAGE(OFFSET($R$3,0,0,'Données projet'!$E$9+1,1))-AVERAGE(OFFSET($H$3,0,0,'Données projet'!$E$9+1,1))</f>
        <v>321.56347025977988</v>
      </c>
      <c r="T176" s="62">
        <f t="shared" si="142"/>
        <v>285.79375360040717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39.847840871520717</v>
      </c>
      <c r="AA176" s="23">
        <f>EXP(-LN(2)/25)*AA175+(1-EXP(-LN(2)/25))/(LN(2)/25)*Calculateur!V176*Calculateur!X176*VLOOKUP('Données projet'!$B$9,Paramètres!$A$1:$I$89,3,0)*0.475*44/12</f>
        <v>2.5389082845571771</v>
      </c>
      <c r="AB176" s="23">
        <f>EXP(-LN(2)/2)*AB175+(1-EXP(-LN(2)/2))/(LN(2)/2)*V176*Y176*VLOOKUP('Données projet'!$B$9,Paramètres!$A$1:$I$89,3,0)*0.475*44/12</f>
        <v>4.8385889767988717E-15</v>
      </c>
      <c r="AC176" s="24">
        <f t="shared" si="163"/>
        <v>42.386749156077904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projet'!$B$10,Paramètres!$A$1:$I$89,3,0)*VLOOKUP('Données projet'!$B$10,Paramètres!$A$1:$I$89,5,0)</f>
        <v>-2.1282176021486519E-13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272.2908884671595</v>
      </c>
      <c r="AO176" s="62">
        <f t="shared" si="144"/>
        <v>220.74777226152867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51.534958438017348</v>
      </c>
      <c r="AV176" s="23">
        <f>EXP(-LN(2)/25)*AV175+(1-EXP(-LN(2)/25))/(LN(2)/25)*Calculateur!AQ176*Calculateur!AS176*VLOOKUP('Données projet'!$B$10,Paramètres!$A$1:$I$89,3,0)*0.475*44/12</f>
        <v>3.1500074452885594</v>
      </c>
      <c r="AW176" s="23">
        <f>EXP(-LN(2)/2)*AW175+(1-EXP(-LN(2)/2))/(LN(2)/2)*AQ176*AT176*VLOOKUP('Données projet'!$B$10,Paramètres!$A$1:$I$89,3,0)*0.475*44/12</f>
        <v>1.1601373160307717E-10</v>
      </c>
      <c r="AX176" s="23">
        <f t="shared" si="166"/>
        <v>54.684965883421917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-2.9842794901924208E-13</v>
      </c>
      <c r="BE176" s="14">
        <f>BD176*VLOOKUP('Données projet'!$B$11,Paramètres!$A$1:$I$89,3,0)*VLOOKUP('Données projet'!$B$11,Paramètres!$A$1:$I$89,5,0)</f>
        <v>-2.7001760827261026E-13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320.80580551060069</v>
      </c>
      <c r="BJ176" s="62">
        <f t="shared" si="146"/>
        <v>225.55225019382294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117.38214895678107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117.38214895678107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254.67898541152096</v>
      </c>
      <c r="CE176" s="62">
        <f t="shared" si="148"/>
        <v>251.52653810702509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17.698551578028987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17.698551578028987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6.3550942286383367E-14</v>
      </c>
      <c r="P177" s="14">
        <f t="shared" si="141"/>
        <v>1.0064464192543978E-12</v>
      </c>
      <c r="Q177" s="22">
        <f t="shared" si="162"/>
        <v>1.8635787380168604E-12</v>
      </c>
      <c r="R177" s="62">
        <f t="shared" si="109"/>
        <v>293.33333333333519</v>
      </c>
      <c r="S177" s="62">
        <f ca="1">AVERAGE(OFFSET($R$3,0,0,'Données projet'!$E$9+1,1))-AVERAGE(OFFSET($H$3,0,0,'Données projet'!$E$9+1,1))</f>
        <v>321.56347025977988</v>
      </c>
      <c r="T177" s="62">
        <f t="shared" si="142"/>
        <v>285.79375360040717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39.06644901681323</v>
      </c>
      <c r="AA177" s="23">
        <f>EXP(-LN(2)/25)*AA176+(1-EXP(-LN(2)/25))/(LN(2)/25)*Calculateur!V177*Calculateur!X177*VLOOKUP('Données projet'!$B$9,Paramètres!$A$1:$I$89,3,0)*0.475*44/12</f>
        <v>2.469481704000577</v>
      </c>
      <c r="AB177" s="23">
        <f>EXP(-LN(2)/2)*AB176+(1-EXP(-LN(2)/2))/(LN(2)/2)*V177*Y177*VLOOKUP('Données projet'!$B$9,Paramètres!$A$1:$I$89,3,0)*0.475*44/12</f>
        <v>3.4213990768689607E-15</v>
      </c>
      <c r="AC177" s="24">
        <f t="shared" si="163"/>
        <v>41.535930720813809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projet'!$B$10,Paramètres!$A$1:$I$89,3,0)*VLOOKUP('Données projet'!$B$10,Paramètres!$A$1:$I$89,5,0)</f>
        <v>-2.1282176021486519E-13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272.2908884671595</v>
      </c>
      <c r="AO177" s="62">
        <f t="shared" si="144"/>
        <v>220.74777226152867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50.524389336268705</v>
      </c>
      <c r="AV177" s="23">
        <f>EXP(-LN(2)/25)*AV176+(1-EXP(-LN(2)/25))/(LN(2)/25)*Calculateur!AQ177*Calculateur!AS177*VLOOKUP('Données projet'!$B$10,Paramètres!$A$1:$I$89,3,0)*0.475*44/12</f>
        <v>3.0638703260454516</v>
      </c>
      <c r="AW177" s="23">
        <f>EXP(-LN(2)/2)*AW176+(1-EXP(-LN(2)/2))/(LN(2)/2)*AQ177*AT177*VLOOKUP('Données projet'!$B$10,Paramètres!$A$1:$I$89,3,0)*0.475*44/12</f>
        <v>8.2034096327291948E-11</v>
      </c>
      <c r="AX177" s="23">
        <f t="shared" si="166"/>
        <v>53.58825966239619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-2.9842794901924208E-13</v>
      </c>
      <c r="BE177" s="14">
        <f>BD177*VLOOKUP('Données projet'!$B$11,Paramètres!$A$1:$I$89,3,0)*VLOOKUP('Données projet'!$B$11,Paramètres!$A$1:$I$89,5,0)</f>
        <v>-2.7001760827261026E-13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320.80580551060069</v>
      </c>
      <c r="BJ177" s="62">
        <f t="shared" si="146"/>
        <v>225.55225019382294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115.08035661177993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115.08035661177993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254.67898541152096</v>
      </c>
      <c r="CE177" s="62">
        <f t="shared" si="148"/>
        <v>251.52653810702509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17.351493776634378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17.351493776634378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6.3550942286383367E-14</v>
      </c>
      <c r="P178" s="14">
        <f t="shared" si="141"/>
        <v>1.0064464192543978E-12</v>
      </c>
      <c r="Q178" s="22">
        <f t="shared" si="162"/>
        <v>1.8635787380168604E-12</v>
      </c>
      <c r="R178" s="62">
        <f t="shared" si="109"/>
        <v>293.33333333333519</v>
      </c>
      <c r="S178" s="62">
        <f ca="1">AVERAGE(OFFSET($R$3,0,0,'Données projet'!$E$9+1,1))-AVERAGE(OFFSET($H$3,0,0,'Données projet'!$E$9+1,1))</f>
        <v>321.56347025977988</v>
      </c>
      <c r="T178" s="62">
        <f t="shared" si="142"/>
        <v>285.79375360040717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38.300379779774588</v>
      </c>
      <c r="AA178" s="23">
        <f>EXP(-LN(2)/25)*AA177+(1-EXP(-LN(2)/25))/(LN(2)/25)*Calculateur!V178*Calculateur!X178*VLOOKUP('Données projet'!$B$9,Paramètres!$A$1:$I$89,3,0)*0.475*44/12</f>
        <v>2.4019535969402823</v>
      </c>
      <c r="AB178" s="23">
        <f>EXP(-LN(2)/2)*AB177+(1-EXP(-LN(2)/2))/(LN(2)/2)*V178*Y178*VLOOKUP('Données projet'!$B$9,Paramètres!$A$1:$I$89,3,0)*0.475*44/12</f>
        <v>2.4192944883994362E-15</v>
      </c>
      <c r="AC178" s="24">
        <f t="shared" si="163"/>
        <v>40.702333376714869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projet'!$B$10,Paramètres!$A$1:$I$89,3,0)*VLOOKUP('Données projet'!$B$10,Paramètres!$A$1:$I$89,5,0)</f>
        <v>-2.1282176021486519E-13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272.2908884671595</v>
      </c>
      <c r="AO178" s="62">
        <f t="shared" si="144"/>
        <v>220.74777226152867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49.533636878219063</v>
      </c>
      <c r="AV178" s="23">
        <f>EXP(-LN(2)/25)*AV177+(1-EXP(-LN(2)/25))/(LN(2)/25)*Calculateur!AQ178*Calculateur!AS178*VLOOKUP('Données projet'!$B$10,Paramètres!$A$1:$I$89,3,0)*0.475*44/12</f>
        <v>2.980088630857801</v>
      </c>
      <c r="AW178" s="23">
        <f>EXP(-LN(2)/2)*AW177+(1-EXP(-LN(2)/2))/(LN(2)/2)*AQ178*AT178*VLOOKUP('Données projet'!$B$10,Paramètres!$A$1:$I$89,3,0)*0.475*44/12</f>
        <v>5.800686580153859E-11</v>
      </c>
      <c r="AX178" s="23">
        <f t="shared" si="166"/>
        <v>52.513725509134872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-2.9842794901924208E-13</v>
      </c>
      <c r="BE178" s="14">
        <f>BD178*VLOOKUP('Données projet'!$B$11,Paramètres!$A$1:$I$89,3,0)*VLOOKUP('Données projet'!$B$11,Paramètres!$A$1:$I$89,5,0)</f>
        <v>-2.7001760827261026E-13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320.80580551060069</v>
      </c>
      <c r="BJ178" s="62">
        <f t="shared" si="146"/>
        <v>225.55225019382294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112.82370101070957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112.82370101070957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254.67898541152096</v>
      </c>
      <c r="CE178" s="62">
        <f t="shared" si="148"/>
        <v>251.52653810702509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17.011241567040759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17.011241567040759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6.3550942286383367E-14</v>
      </c>
      <c r="P179" s="14">
        <f t="shared" si="141"/>
        <v>1.0064464192543978E-12</v>
      </c>
      <c r="Q179" s="22">
        <f t="shared" si="162"/>
        <v>1.8635787380168604E-12</v>
      </c>
      <c r="R179" s="62">
        <f t="shared" si="109"/>
        <v>293.33333333333519</v>
      </c>
      <c r="S179" s="62">
        <f ca="1">AVERAGE(OFFSET($R$3,0,0,'Données projet'!$E$9+1,1))-AVERAGE(OFFSET($H$3,0,0,'Données projet'!$E$9+1,1))</f>
        <v>321.56347025977988</v>
      </c>
      <c r="T179" s="62">
        <f t="shared" si="142"/>
        <v>285.79375360040717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37.549332693218176</v>
      </c>
      <c r="AA179" s="23">
        <f>EXP(-LN(2)/25)*AA178+(1-EXP(-LN(2)/25))/(LN(2)/25)*Calculateur!V179*Calculateur!X179*VLOOKUP('Données projet'!$B$9,Paramètres!$A$1:$I$89,3,0)*0.475*44/12</f>
        <v>2.3362720495187004</v>
      </c>
      <c r="AB179" s="23">
        <f>EXP(-LN(2)/2)*AB178+(1-EXP(-LN(2)/2))/(LN(2)/2)*V179*Y179*VLOOKUP('Données projet'!$B$9,Paramètres!$A$1:$I$89,3,0)*0.475*44/12</f>
        <v>1.7106995384344807E-15</v>
      </c>
      <c r="AC179" s="24">
        <f t="shared" si="163"/>
        <v>39.885604742736874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projet'!$B$10,Paramètres!$A$1:$I$89,3,0)*VLOOKUP('Données projet'!$B$10,Paramètres!$A$1:$I$89,5,0)</f>
        <v>-2.1282176021486519E-13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272.2908884671595</v>
      </c>
      <c r="AO179" s="62">
        <f t="shared" si="144"/>
        <v>220.74777226152867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48.56231247157244</v>
      </c>
      <c r="AV179" s="23">
        <f>EXP(-LN(2)/25)*AV178+(1-EXP(-LN(2)/25))/(LN(2)/25)*Calculateur!AQ179*Calculateur!AS179*VLOOKUP('Données projet'!$B$10,Paramètres!$A$1:$I$89,3,0)*0.475*44/12</f>
        <v>2.8985979505309443</v>
      </c>
      <c r="AW179" s="23">
        <f>EXP(-LN(2)/2)*AW178+(1-EXP(-LN(2)/2))/(LN(2)/2)*AQ179*AT179*VLOOKUP('Données projet'!$B$10,Paramètres!$A$1:$I$89,3,0)*0.475*44/12</f>
        <v>4.1017048163645981E-11</v>
      </c>
      <c r="AX179" s="23">
        <f t="shared" si="166"/>
        <v>51.460910422144401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-2.9842794901924208E-13</v>
      </c>
      <c r="BE179" s="14">
        <f>BD179*VLOOKUP('Données projet'!$B$11,Paramètres!$A$1:$I$89,3,0)*VLOOKUP('Données projet'!$B$11,Paramètres!$A$1:$I$89,5,0)</f>
        <v>-2.7001760827261026E-13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320.80580551060069</v>
      </c>
      <c r="BJ179" s="62">
        <f t="shared" si="146"/>
        <v>225.55225019382294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110.61129704955219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110.61129704955219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254.67898541152096</v>
      </c>
      <c r="CE179" s="62">
        <f t="shared" si="148"/>
        <v>251.52653810702509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16.677661495743916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16.677661495743916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6.3550942286383367E-14</v>
      </c>
      <c r="P180" s="14">
        <f t="shared" si="141"/>
        <v>1.0064464192543978E-12</v>
      </c>
      <c r="Q180" s="22">
        <f t="shared" si="162"/>
        <v>1.8635787380168604E-12</v>
      </c>
      <c r="R180" s="62">
        <f t="shared" si="109"/>
        <v>293.33333333333519</v>
      </c>
      <c r="S180" s="62">
        <f ca="1">AVERAGE(OFFSET($R$3,0,0,'Données projet'!$E$9+1,1))-AVERAGE(OFFSET($H$3,0,0,'Données projet'!$E$9+1,1))</f>
        <v>321.56347025977988</v>
      </c>
      <c r="T180" s="62">
        <f t="shared" si="142"/>
        <v>285.79375360040717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36.813013181935645</v>
      </c>
      <c r="AA180" s="23">
        <f>EXP(-LN(2)/25)*AA179+(1-EXP(-LN(2)/25))/(LN(2)/25)*Calculateur!V180*Calculateur!X180*VLOOKUP('Données projet'!$B$9,Paramètres!$A$1:$I$89,3,0)*0.475*44/12</f>
        <v>2.272386567465404</v>
      </c>
      <c r="AB180" s="23">
        <f>EXP(-LN(2)/2)*AB179+(1-EXP(-LN(2)/2))/(LN(2)/2)*V180*Y180*VLOOKUP('Données projet'!$B$9,Paramètres!$A$1:$I$89,3,0)*0.475*44/12</f>
        <v>1.2096472441997183E-15</v>
      </c>
      <c r="AC180" s="24">
        <f t="shared" si="163"/>
        <v>39.085399749401049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projet'!$B$10,Paramètres!$A$1:$I$89,3,0)*VLOOKUP('Données projet'!$B$10,Paramètres!$A$1:$I$89,5,0)</f>
        <v>-2.1282176021486519E-13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272.2908884671595</v>
      </c>
      <c r="AO180" s="62">
        <f t="shared" si="144"/>
        <v>220.74777226152867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47.610035144090773</v>
      </c>
      <c r="AV180" s="23">
        <f>EXP(-LN(2)/25)*AV179+(1-EXP(-LN(2)/25))/(LN(2)/25)*Calculateur!AQ180*Calculateur!AS180*VLOOKUP('Données projet'!$B$10,Paramètres!$A$1:$I$89,3,0)*0.475*44/12</f>
        <v>2.819335637143034</v>
      </c>
      <c r="AW180" s="23">
        <f>EXP(-LN(2)/2)*AW179+(1-EXP(-LN(2)/2))/(LN(2)/2)*AQ180*AT180*VLOOKUP('Données projet'!$B$10,Paramètres!$A$1:$I$89,3,0)*0.475*44/12</f>
        <v>2.9003432900769302E-11</v>
      </c>
      <c r="AX180" s="23">
        <f t="shared" si="166"/>
        <v>50.429370781262811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-2.9842794901924208E-13</v>
      </c>
      <c r="BE180" s="14">
        <f>BD180*VLOOKUP('Données projet'!$B$11,Paramètres!$A$1:$I$89,3,0)*VLOOKUP('Données projet'!$B$11,Paramètres!$A$1:$I$89,5,0)</f>
        <v>-2.7001760827261026E-13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320.80580551060069</v>
      </c>
      <c r="BJ180" s="62">
        <f t="shared" si="146"/>
        <v>225.55225019382294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108.44227698063993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108.44227698063993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254.67898541152096</v>
      </c>
      <c r="CE180" s="62">
        <f t="shared" si="148"/>
        <v>251.52653810702509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16.350622726181452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16.350622726181452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6.3550942286383367E-14</v>
      </c>
      <c r="P181" s="14">
        <f t="shared" si="141"/>
        <v>1.0064464192543978E-12</v>
      </c>
      <c r="Q181" s="22">
        <f t="shared" si="162"/>
        <v>1.8635787380168604E-12</v>
      </c>
      <c r="R181" s="62">
        <f t="shared" si="109"/>
        <v>293.33333333333519</v>
      </c>
      <c r="S181" s="62">
        <f ca="1">AVERAGE(OFFSET($R$3,0,0,'Données projet'!$E$9+1,1))-AVERAGE(OFFSET($H$3,0,0,'Données projet'!$E$9+1,1))</f>
        <v>321.56347025977988</v>
      </c>
      <c r="T181" s="62">
        <f t="shared" si="142"/>
        <v>285.79375360040717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36.091132447158806</v>
      </c>
      <c r="AA181" s="23">
        <f>EXP(-LN(2)/25)*AA180+(1-EXP(-LN(2)/25))/(LN(2)/25)*Calculateur!V181*Calculateur!X181*VLOOKUP('Données projet'!$B$9,Paramètres!$A$1:$I$89,3,0)*0.475*44/12</f>
        <v>2.2102480372784465</v>
      </c>
      <c r="AB181" s="23">
        <f>EXP(-LN(2)/2)*AB180+(1-EXP(-LN(2)/2))/(LN(2)/2)*V181*Y181*VLOOKUP('Données projet'!$B$9,Paramètres!$A$1:$I$89,3,0)*0.475*44/12</f>
        <v>8.5534976921724047E-16</v>
      </c>
      <c r="AC181" s="24">
        <f t="shared" si="163"/>
        <v>38.301380484437253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projet'!$B$10,Paramètres!$A$1:$I$89,3,0)*VLOOKUP('Données projet'!$B$10,Paramètres!$A$1:$I$89,5,0)</f>
        <v>-2.1282176021486519E-13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272.2908884671595</v>
      </c>
      <c r="AO181" s="62">
        <f t="shared" si="144"/>
        <v>220.74777226152867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46.6764313941692</v>
      </c>
      <c r="AV181" s="23">
        <f>EXP(-LN(2)/25)*AV180+(1-EXP(-LN(2)/25))/(LN(2)/25)*Calculateur!AQ181*Calculateur!AS181*VLOOKUP('Données projet'!$B$10,Paramètres!$A$1:$I$89,3,0)*0.475*44/12</f>
        <v>2.7422407558829405</v>
      </c>
      <c r="AW181" s="23">
        <f>EXP(-LN(2)/2)*AW180+(1-EXP(-LN(2)/2))/(LN(2)/2)*AQ181*AT181*VLOOKUP('Données projet'!$B$10,Paramètres!$A$1:$I$89,3,0)*0.475*44/12</f>
        <v>2.0508524081822993E-11</v>
      </c>
      <c r="AX181" s="23">
        <f t="shared" si="166"/>
        <v>49.418672150072645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-2.9842794901924208E-13</v>
      </c>
      <c r="BE181" s="14">
        <f>BD181*VLOOKUP('Données projet'!$B$11,Paramètres!$A$1:$I$89,3,0)*VLOOKUP('Données projet'!$B$11,Paramètres!$A$1:$I$89,5,0)</f>
        <v>-2.7001760827261026E-13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320.80580551060069</v>
      </c>
      <c r="BJ181" s="62">
        <f t="shared" si="146"/>
        <v>225.55225019382294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106.31579007230744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106.31579007230744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254.67898541152096</v>
      </c>
      <c r="CE181" s="62">
        <f t="shared" si="148"/>
        <v>251.52653810702509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16.029996987416155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16.029996987416155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6.3550942286383367E-14</v>
      </c>
      <c r="P182" s="14">
        <f t="shared" si="141"/>
        <v>1.0064464192543978E-12</v>
      </c>
      <c r="Q182" s="22">
        <f t="shared" si="162"/>
        <v>1.8635787380168604E-12</v>
      </c>
      <c r="R182" s="62">
        <f t="shared" si="109"/>
        <v>293.33333333333519</v>
      </c>
      <c r="S182" s="62">
        <f ca="1">AVERAGE(OFFSET($R$3,0,0,'Données projet'!$E$9+1,1))-AVERAGE(OFFSET($H$3,0,0,'Données projet'!$E$9+1,1))</f>
        <v>321.56347025977988</v>
      </c>
      <c r="T182" s="62">
        <f t="shared" si="142"/>
        <v>285.79375360040717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35.383407353287168</v>
      </c>
      <c r="AA182" s="23">
        <f>EXP(-LN(2)/25)*AA181+(1-EXP(-LN(2)/25))/(LN(2)/25)*Calculateur!V182*Calculateur!X182*VLOOKUP('Données projet'!$B$9,Paramètres!$A$1:$I$89,3,0)*0.475*44/12</f>
        <v>2.1498086884671745</v>
      </c>
      <c r="AB182" s="23">
        <f>EXP(-LN(2)/2)*AB181+(1-EXP(-LN(2)/2))/(LN(2)/2)*V182*Y182*VLOOKUP('Données projet'!$B$9,Paramètres!$A$1:$I$89,3,0)*0.475*44/12</f>
        <v>6.0482362209985925E-16</v>
      </c>
      <c r="AC182" s="24">
        <f t="shared" si="163"/>
        <v>37.533216041754343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projet'!$B$10,Paramètres!$A$1:$I$89,3,0)*VLOOKUP('Données projet'!$B$10,Paramètres!$A$1:$I$89,5,0)</f>
        <v>-2.1282176021486519E-13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272.2908884671595</v>
      </c>
      <c r="AO182" s="62">
        <f t="shared" si="144"/>
        <v>220.74777226152867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45.761135044341529</v>
      </c>
      <c r="AV182" s="23">
        <f>EXP(-LN(2)/25)*AV181+(1-EXP(-LN(2)/25))/(LN(2)/25)*Calculateur!AQ182*Calculateur!AS182*VLOOKUP('Données projet'!$B$10,Paramètres!$A$1:$I$89,3,0)*0.475*44/12</f>
        <v>2.6672540382051477</v>
      </c>
      <c r="AW182" s="23">
        <f>EXP(-LN(2)/2)*AW181+(1-EXP(-LN(2)/2))/(LN(2)/2)*AQ182*AT182*VLOOKUP('Données projet'!$B$10,Paramètres!$A$1:$I$89,3,0)*0.475*44/12</f>
        <v>1.4501716450384652E-11</v>
      </c>
      <c r="AX182" s="23">
        <f t="shared" si="166"/>
        <v>48.428389082561182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-2.9842794901924208E-13</v>
      </c>
      <c r="BE182" s="14">
        <f>BD182*VLOOKUP('Données projet'!$B$11,Paramètres!$A$1:$I$89,3,0)*VLOOKUP('Données projet'!$B$11,Paramètres!$A$1:$I$89,5,0)</f>
        <v>-2.7001760827261026E-13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320.80580551060069</v>
      </c>
      <c r="BJ182" s="62">
        <f t="shared" si="146"/>
        <v>225.55225019382294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104.2310022752184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104.2310022752184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254.67898541152096</v>
      </c>
      <c r="CE182" s="62">
        <f t="shared" si="148"/>
        <v>251.52653810702509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15.715658523825654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15.715658523825654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6.3550942286383367E-14</v>
      </c>
      <c r="P183" s="14">
        <f t="shared" si="141"/>
        <v>1.0064464192543978E-12</v>
      </c>
      <c r="Q183" s="22">
        <f t="shared" si="162"/>
        <v>1.8635787380168604E-12</v>
      </c>
      <c r="R183" s="62">
        <f t="shared" si="109"/>
        <v>293.33333333333519</v>
      </c>
      <c r="S183" s="62">
        <f ca="1">AVERAGE(OFFSET($R$3,0,0,'Données projet'!$E$9+1,1))-AVERAGE(OFFSET($H$3,0,0,'Données projet'!$E$9+1,1))</f>
        <v>321.56347025977988</v>
      </c>
      <c r="T183" s="62">
        <f t="shared" si="142"/>
        <v>285.79375360040717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34.689560316836669</v>
      </c>
      <c r="AA183" s="23">
        <f>EXP(-LN(2)/25)*AA182+(1-EXP(-LN(2)/25))/(LN(2)/25)*Calculateur!V183*Calculateur!X183*VLOOKUP('Données projet'!$B$9,Paramètres!$A$1:$I$89,3,0)*0.475*44/12</f>
        <v>2.091022056827514</v>
      </c>
      <c r="AB183" s="23">
        <f>EXP(-LN(2)/2)*AB182+(1-EXP(-LN(2)/2))/(LN(2)/2)*V183*Y183*VLOOKUP('Données projet'!$B$9,Paramètres!$A$1:$I$89,3,0)*0.475*44/12</f>
        <v>4.2767488460862033E-16</v>
      </c>
      <c r="AC183" s="24">
        <f t="shared" si="163"/>
        <v>36.780582373664181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projet'!$B$10,Paramètres!$A$1:$I$89,3,0)*VLOOKUP('Données projet'!$B$10,Paramètres!$A$1:$I$89,5,0)</f>
        <v>-2.1282176021486519E-13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272.2908884671595</v>
      </c>
      <c r="AO183" s="62">
        <f t="shared" si="144"/>
        <v>220.74777226152867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44.863787097658332</v>
      </c>
      <c r="AV183" s="23">
        <f>EXP(-LN(2)/25)*AV182+(1-EXP(-LN(2)/25))/(LN(2)/25)*Calculateur!AQ183*Calculateur!AS183*VLOOKUP('Données projet'!$B$10,Paramètres!$A$1:$I$89,3,0)*0.475*44/12</f>
        <v>2.5943178362656343</v>
      </c>
      <c r="AW183" s="23">
        <f>EXP(-LN(2)/2)*AW182+(1-EXP(-LN(2)/2))/(LN(2)/2)*AQ183*AT183*VLOOKUP('Données projet'!$B$10,Paramètres!$A$1:$I$89,3,0)*0.475*44/12</f>
        <v>1.0254262040911498E-11</v>
      </c>
      <c r="AX183" s="23">
        <f t="shared" si="166"/>
        <v>47.458104933934216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-2.9842794901924208E-13</v>
      </c>
      <c r="BE183" s="14">
        <f>BD183*VLOOKUP('Données projet'!$B$11,Paramètres!$A$1:$I$89,3,0)*VLOOKUP('Données projet'!$B$11,Paramètres!$A$1:$I$89,5,0)</f>
        <v>-2.7001760827261026E-13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320.80580551060069</v>
      </c>
      <c r="BJ183" s="62">
        <f t="shared" si="146"/>
        <v>225.55225019382294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102.18709589523529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102.18709589523529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254.67898541152096</v>
      </c>
      <c r="CE183" s="62">
        <f t="shared" si="148"/>
        <v>251.52653810702509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15.407484045778633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15.407484045778633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6.3550942286383367E-14</v>
      </c>
      <c r="P184" s="14">
        <f t="shared" si="141"/>
        <v>1.0064464192543978E-12</v>
      </c>
      <c r="Q184" s="22">
        <f t="shared" si="162"/>
        <v>1.8635787380168604E-12</v>
      </c>
      <c r="R184" s="62">
        <f t="shared" si="109"/>
        <v>293.33333333333519</v>
      </c>
      <c r="S184" s="62">
        <f ca="1">AVERAGE(OFFSET($R$3,0,0,'Données projet'!$E$9+1,1))-AVERAGE(OFFSET($H$3,0,0,'Données projet'!$E$9+1,1))</f>
        <v>321.56347025977988</v>
      </c>
      <c r="T184" s="62">
        <f t="shared" si="142"/>
        <v>285.79375360040717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34.009319197566064</v>
      </c>
      <c r="AA184" s="23">
        <f>EXP(-LN(2)/25)*AA183+(1-EXP(-LN(2)/25))/(LN(2)/25)*Calculateur!V184*Calculateur!X184*VLOOKUP('Données projet'!$B$9,Paramètres!$A$1:$I$89,3,0)*0.475*44/12</f>
        <v>2.0338429487214946</v>
      </c>
      <c r="AB184" s="23">
        <f>EXP(-LN(2)/2)*AB183+(1-EXP(-LN(2)/2))/(LN(2)/2)*V184*Y184*VLOOKUP('Données projet'!$B$9,Paramètres!$A$1:$I$89,3,0)*0.475*44/12</f>
        <v>3.0241181104992968E-16</v>
      </c>
      <c r="AC184" s="24">
        <f t="shared" si="163"/>
        <v>36.043162146287557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projet'!$B$10,Paramètres!$A$1:$I$89,3,0)*VLOOKUP('Données projet'!$B$10,Paramètres!$A$1:$I$89,5,0)</f>
        <v>-2.1282176021486519E-13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272.2908884671595</v>
      </c>
      <c r="AO184" s="62">
        <f t="shared" si="144"/>
        <v>220.74777226152867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43.984035596881391</v>
      </c>
      <c r="AV184" s="23">
        <f>EXP(-LN(2)/25)*AV183+(1-EXP(-LN(2)/25))/(LN(2)/25)*Calculateur!AQ184*Calculateur!AS184*VLOOKUP('Données projet'!$B$10,Paramètres!$A$1:$I$89,3,0)*0.475*44/12</f>
        <v>2.5233760786037047</v>
      </c>
      <c r="AW184" s="23">
        <f>EXP(-LN(2)/2)*AW183+(1-EXP(-LN(2)/2))/(LN(2)/2)*AQ184*AT184*VLOOKUP('Données projet'!$B$10,Paramètres!$A$1:$I$89,3,0)*0.475*44/12</f>
        <v>7.2508582251923278E-12</v>
      </c>
      <c r="AX184" s="23">
        <f t="shared" si="166"/>
        <v>46.507411675492342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-2.9842794901924208E-13</v>
      </c>
      <c r="BE184" s="14">
        <f>BD184*VLOOKUP('Données projet'!$B$11,Paramètres!$A$1:$I$89,3,0)*VLOOKUP('Données projet'!$B$11,Paramètres!$A$1:$I$89,5,0)</f>
        <v>-2.7001760827261026E-13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320.80580551060069</v>
      </c>
      <c r="BJ184" s="62">
        <f t="shared" si="146"/>
        <v>225.55225019382294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100.18326927270384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100.18326927270384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254.67898541152096</v>
      </c>
      <c r="CE184" s="62">
        <f t="shared" si="148"/>
        <v>251.52653810702509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15.105352681278243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15.105352681278243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6.3550942286383367E-14</v>
      </c>
      <c r="P185" s="14">
        <f t="shared" si="141"/>
        <v>1.0064464192543978E-12</v>
      </c>
      <c r="Q185" s="22">
        <f t="shared" si="162"/>
        <v>1.8635787380168604E-12</v>
      </c>
      <c r="R185" s="62">
        <f t="shared" si="109"/>
        <v>293.33333333333519</v>
      </c>
      <c r="S185" s="62">
        <f ca="1">AVERAGE(OFFSET($R$3,0,0,'Données projet'!$E$9+1,1))-AVERAGE(OFFSET($H$3,0,0,'Données projet'!$E$9+1,1))</f>
        <v>321.56347025977988</v>
      </c>
      <c r="T185" s="62">
        <f t="shared" si="142"/>
        <v>285.79375360040717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33.342417191738242</v>
      </c>
      <c r="AA185" s="23">
        <f>EXP(-LN(2)/25)*AA184+(1-EXP(-LN(2)/25))/(LN(2)/25)*Calculateur!V185*Calculateur!X185*VLOOKUP('Données projet'!$B$9,Paramètres!$A$1:$I$89,3,0)*0.475*44/12</f>
        <v>1.978227406333553</v>
      </c>
      <c r="AB185" s="23">
        <f>EXP(-LN(2)/2)*AB184+(1-EXP(-LN(2)/2))/(LN(2)/2)*V185*Y185*VLOOKUP('Données projet'!$B$9,Paramètres!$A$1:$I$89,3,0)*0.475*44/12</f>
        <v>2.1383744230431019E-16</v>
      </c>
      <c r="AC185" s="24">
        <f t="shared" si="163"/>
        <v>35.320644598071794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projet'!$B$10,Paramètres!$A$1:$I$89,3,0)*VLOOKUP('Données projet'!$B$10,Paramètres!$A$1:$I$89,5,0)</f>
        <v>-2.1282176021486519E-13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272.2908884671595</v>
      </c>
      <c r="AO185" s="62">
        <f t="shared" si="144"/>
        <v>220.74777226152867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43.121535486439257</v>
      </c>
      <c r="AV185" s="23">
        <f>EXP(-LN(2)/25)*AV184+(1-EXP(-LN(2)/25))/(LN(2)/25)*Calculateur!AQ185*Calculateur!AS185*VLOOKUP('Données projet'!$B$10,Paramètres!$A$1:$I$89,3,0)*0.475*44/12</f>
        <v>2.4543742270357058</v>
      </c>
      <c r="AW185" s="23">
        <f>EXP(-LN(2)/2)*AW184+(1-EXP(-LN(2)/2))/(LN(2)/2)*AQ185*AT185*VLOOKUP('Données projet'!$B$10,Paramètres!$A$1:$I$89,3,0)*0.475*44/12</f>
        <v>5.12713102045575E-12</v>
      </c>
      <c r="AX185" s="23">
        <f t="shared" si="166"/>
        <v>45.575909713480094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-2.9842794901924208E-13</v>
      </c>
      <c r="BE185" s="14">
        <f>BD185*VLOOKUP('Données projet'!$B$11,Paramètres!$A$1:$I$89,3,0)*VLOOKUP('Données projet'!$B$11,Paramètres!$A$1:$I$89,5,0)</f>
        <v>-2.7001760827261026E-13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320.80580551060069</v>
      </c>
      <c r="BJ185" s="62">
        <f t="shared" si="146"/>
        <v>225.55225019382294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98.218736468026677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98.218736468026677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254.67898541152096</v>
      </c>
      <c r="CE185" s="62">
        <f t="shared" si="148"/>
        <v>251.52653810702509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14.809145928553768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14.809145928553768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6.3550942286383367E-14</v>
      </c>
      <c r="P186" s="14">
        <f t="shared" si="141"/>
        <v>1.0064464192543978E-12</v>
      </c>
      <c r="Q186" s="22">
        <f t="shared" si="162"/>
        <v>1.8635787380168604E-12</v>
      </c>
      <c r="R186" s="62">
        <f t="shared" si="109"/>
        <v>293.33333333333519</v>
      </c>
      <c r="S186" s="62">
        <f ca="1">AVERAGE(OFFSET($R$3,0,0,'Données projet'!$E$9+1,1))-AVERAGE(OFFSET($H$3,0,0,'Données projet'!$E$9+1,1))</f>
        <v>321.56347025977988</v>
      </c>
      <c r="T186" s="62">
        <f t="shared" si="142"/>
        <v>285.79375360040717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32.688592727474642</v>
      </c>
      <c r="AA186" s="23">
        <f>EXP(-LN(2)/25)*AA185+(1-EXP(-LN(2)/25))/(LN(2)/25)*Calculateur!V186*Calculateur!X186*VLOOKUP('Données projet'!$B$9,Paramètres!$A$1:$I$89,3,0)*0.475*44/12</f>
        <v>1.924132673876904</v>
      </c>
      <c r="AB186" s="23">
        <f>EXP(-LN(2)/2)*AB185+(1-EXP(-LN(2)/2))/(LN(2)/2)*V186*Y186*VLOOKUP('Données projet'!$B$9,Paramètres!$A$1:$I$89,3,0)*0.475*44/12</f>
        <v>1.5120590552496486E-16</v>
      </c>
      <c r="AC186" s="24">
        <f t="shared" si="163"/>
        <v>34.612725401351547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projet'!$B$10,Paramètres!$A$1:$I$89,3,0)*VLOOKUP('Données projet'!$B$10,Paramètres!$A$1:$I$89,5,0)</f>
        <v>-2.1282176021486519E-13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272.2908884671595</v>
      </c>
      <c r="AO186" s="62">
        <f t="shared" si="144"/>
        <v>220.74777226152867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42.27594847708977</v>
      </c>
      <c r="AV186" s="23">
        <f>EXP(-LN(2)/25)*AV185+(1-EXP(-LN(2)/25))/(LN(2)/25)*Calculateur!AQ186*Calculateur!AS186*VLOOKUP('Données projet'!$B$10,Paramètres!$A$1:$I$89,3,0)*0.475*44/12</f>
        <v>2.3872592347274835</v>
      </c>
      <c r="AW186" s="23">
        <f>EXP(-LN(2)/2)*AW185+(1-EXP(-LN(2)/2))/(LN(2)/2)*AQ186*AT186*VLOOKUP('Données projet'!$B$10,Paramètres!$A$1:$I$89,3,0)*0.475*44/12</f>
        <v>3.6254291125961643E-12</v>
      </c>
      <c r="AX186" s="23">
        <f t="shared" si="166"/>
        <v>44.663207711820874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-2.9842794901924208E-13</v>
      </c>
      <c r="BE186" s="14">
        <f>BD186*VLOOKUP('Données projet'!$B$11,Paramètres!$A$1:$I$89,3,0)*VLOOKUP('Données projet'!$B$11,Paramètres!$A$1:$I$89,5,0)</f>
        <v>-2.7001760827261026E-13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320.80580551060069</v>
      </c>
      <c r="BJ186" s="62">
        <f t="shared" si="146"/>
        <v>225.55225019382294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96.29272695340255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96.29272695340255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254.67898541152096</v>
      </c>
      <c r="CE186" s="62">
        <f t="shared" si="148"/>
        <v>251.52653810702509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14.518747609581942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14.518747609581942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6.3550942286383367E-14</v>
      </c>
      <c r="P187" s="14">
        <f t="shared" si="141"/>
        <v>1.0064464192543978E-12</v>
      </c>
      <c r="Q187" s="22">
        <f t="shared" si="162"/>
        <v>1.8635787380168604E-12</v>
      </c>
      <c r="R187" s="62">
        <f t="shared" si="109"/>
        <v>293.33333333333519</v>
      </c>
      <c r="S187" s="62">
        <f ca="1">AVERAGE(OFFSET($R$3,0,0,'Données projet'!$E$9+1,1))-AVERAGE(OFFSET($H$3,0,0,'Données projet'!$E$9+1,1))</f>
        <v>321.56347025977988</v>
      </c>
      <c r="T187" s="62">
        <f t="shared" si="142"/>
        <v>285.79375360040717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32.047589362161709</v>
      </c>
      <c r="AA187" s="23">
        <f>EXP(-LN(2)/25)*AA186+(1-EXP(-LN(2)/25))/(LN(2)/25)*Calculateur!V187*Calculateur!X187*VLOOKUP('Données projet'!$B$9,Paramètres!$A$1:$I$89,3,0)*0.475*44/12</f>
        <v>1.8715171647240003</v>
      </c>
      <c r="AB187" s="23">
        <f>EXP(-LN(2)/2)*AB186+(1-EXP(-LN(2)/2))/(LN(2)/2)*V187*Y187*VLOOKUP('Données projet'!$B$9,Paramètres!$A$1:$I$89,3,0)*0.475*44/12</f>
        <v>1.0691872115215511E-16</v>
      </c>
      <c r="AC187" s="24">
        <f t="shared" si="163"/>
        <v>33.919106526885706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projet'!$B$10,Paramètres!$A$1:$I$89,3,0)*VLOOKUP('Données projet'!$B$10,Paramètres!$A$1:$I$89,5,0)</f>
        <v>-2.1282176021486519E-13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272.2908884671595</v>
      </c>
      <c r="AO187" s="62">
        <f t="shared" si="144"/>
        <v>220.74777226152867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41.446942913236477</v>
      </c>
      <c r="AV187" s="23">
        <f>EXP(-LN(2)/25)*AV186+(1-EXP(-LN(2)/25))/(LN(2)/25)*Calculateur!AQ187*Calculateur!AS187*VLOOKUP('Données projet'!$B$10,Paramètres!$A$1:$I$89,3,0)*0.475*44/12</f>
        <v>2.3219795054133536</v>
      </c>
      <c r="AW187" s="23">
        <f>EXP(-LN(2)/2)*AW186+(1-EXP(-LN(2)/2))/(LN(2)/2)*AQ187*AT187*VLOOKUP('Données projet'!$B$10,Paramètres!$A$1:$I$89,3,0)*0.475*44/12</f>
        <v>2.5635655102278754E-12</v>
      </c>
      <c r="AX187" s="23">
        <f t="shared" si="166"/>
        <v>43.768922418652394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-2.9842794901924208E-13</v>
      </c>
      <c r="BE187" s="14">
        <f>BD187*VLOOKUP('Données projet'!$B$11,Paramètres!$A$1:$I$89,3,0)*VLOOKUP('Données projet'!$B$11,Paramètres!$A$1:$I$89,5,0)</f>
        <v>-2.7001760827261026E-13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320.80580551060069</v>
      </c>
      <c r="BJ187" s="62">
        <f t="shared" si="146"/>
        <v>225.55225019382294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94.404485310610383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94.404485310610383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254.67898541152096</v>
      </c>
      <c r="CE187" s="62">
        <f t="shared" si="148"/>
        <v>251.52653810702509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14.234043824519668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14.234043824519668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6.3550942286383367E-14</v>
      </c>
      <c r="P188" s="14">
        <f t="shared" si="141"/>
        <v>1.0064464192543978E-12</v>
      </c>
      <c r="Q188" s="22">
        <f t="shared" si="162"/>
        <v>1.8635787380168604E-12</v>
      </c>
      <c r="R188" s="62">
        <f t="shared" si="109"/>
        <v>293.33333333333519</v>
      </c>
      <c r="S188" s="62">
        <f ca="1">AVERAGE(OFFSET($R$3,0,0,'Données projet'!$E$9+1,1))-AVERAGE(OFFSET($H$3,0,0,'Données projet'!$E$9+1,1))</f>
        <v>321.56347025977988</v>
      </c>
      <c r="T188" s="62">
        <f t="shared" si="142"/>
        <v>285.79375360040717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31.419155681869114</v>
      </c>
      <c r="AA188" s="23">
        <f>EXP(-LN(2)/25)*AA187+(1-EXP(-LN(2)/25))/(LN(2)/25)*Calculateur!V188*Calculateur!X188*VLOOKUP('Données projet'!$B$9,Paramètres!$A$1:$I$89,3,0)*0.475*44/12</f>
        <v>1.8203404294358123</v>
      </c>
      <c r="AB188" s="23">
        <f>EXP(-LN(2)/2)*AB187+(1-EXP(-LN(2)/2))/(LN(2)/2)*V188*Y188*VLOOKUP('Données projet'!$B$9,Paramètres!$A$1:$I$89,3,0)*0.475*44/12</f>
        <v>7.5602952762482431E-17</v>
      </c>
      <c r="AC188" s="24">
        <f t="shared" si="163"/>
        <v>33.239496111304923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projet'!$B$10,Paramètres!$A$1:$I$89,3,0)*VLOOKUP('Données projet'!$B$10,Paramètres!$A$1:$I$89,5,0)</f>
        <v>-2.1282176021486519E-13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272.2908884671595</v>
      </c>
      <c r="AO188" s="62">
        <f t="shared" si="144"/>
        <v>220.74777226152867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40.634193642846881</v>
      </c>
      <c r="AV188" s="23">
        <f>EXP(-LN(2)/25)*AV187+(1-EXP(-LN(2)/25))/(LN(2)/25)*Calculateur!AQ188*Calculateur!AS188*VLOOKUP('Données projet'!$B$10,Paramètres!$A$1:$I$89,3,0)*0.475*44/12</f>
        <v>2.2584848537302302</v>
      </c>
      <c r="AW188" s="23">
        <f>EXP(-LN(2)/2)*AW187+(1-EXP(-LN(2)/2))/(LN(2)/2)*AQ188*AT188*VLOOKUP('Données projet'!$B$10,Paramètres!$A$1:$I$89,3,0)*0.475*44/12</f>
        <v>1.8127145562980826E-12</v>
      </c>
      <c r="AX188" s="23">
        <f t="shared" si="166"/>
        <v>42.892678496578924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-2.9842794901924208E-13</v>
      </c>
      <c r="BE188" s="14">
        <f>BD188*VLOOKUP('Données projet'!$B$11,Paramètres!$A$1:$I$89,3,0)*VLOOKUP('Données projet'!$B$11,Paramètres!$A$1:$I$89,5,0)</f>
        <v>-2.7001760827261026E-13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320.80580551060069</v>
      </c>
      <c r="BJ188" s="62">
        <f t="shared" si="146"/>
        <v>225.55225019382294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92.553270934719691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92.553270934719691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254.67898541152096</v>
      </c>
      <c r="CE188" s="62">
        <f t="shared" si="148"/>
        <v>251.52653810702509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13.954922907030303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13.954922907030303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6.3550942286383367E-14</v>
      </c>
      <c r="P189" s="14">
        <f t="shared" si="141"/>
        <v>1.0064464192543978E-12</v>
      </c>
      <c r="Q189" s="22">
        <f t="shared" si="162"/>
        <v>1.8635787380168604E-12</v>
      </c>
      <c r="R189" s="62">
        <f t="shared" si="109"/>
        <v>293.33333333333519</v>
      </c>
      <c r="S189" s="62">
        <f ca="1">AVERAGE(OFFSET($R$3,0,0,'Données projet'!$E$9+1,1))-AVERAGE(OFFSET($H$3,0,0,'Données projet'!$E$9+1,1))</f>
        <v>321.56347025977988</v>
      </c>
      <c r="T189" s="62">
        <f t="shared" si="142"/>
        <v>285.79375360040717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30.803045202740361</v>
      </c>
      <c r="AA189" s="23">
        <f>EXP(-LN(2)/25)*AA188+(1-EXP(-LN(2)/25))/(LN(2)/25)*Calculateur!V189*Calculateur!X189*VLOOKUP('Données projet'!$B$9,Paramètres!$A$1:$I$89,3,0)*0.475*44/12</f>
        <v>1.7705631246653473</v>
      </c>
      <c r="AB189" s="23">
        <f>EXP(-LN(2)/2)*AB188+(1-EXP(-LN(2)/2))/(LN(2)/2)*V189*Y189*VLOOKUP('Données projet'!$B$9,Paramètres!$A$1:$I$89,3,0)*0.475*44/12</f>
        <v>5.3459360576077554E-17</v>
      </c>
      <c r="AC189" s="24">
        <f t="shared" si="163"/>
        <v>32.573608327405708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projet'!$B$10,Paramètres!$A$1:$I$89,3,0)*VLOOKUP('Données projet'!$B$10,Paramètres!$A$1:$I$89,5,0)</f>
        <v>-2.1282176021486519E-13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272.2908884671595</v>
      </c>
      <c r="AO189" s="62">
        <f t="shared" si="144"/>
        <v>220.74777226152867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39.837381889921517</v>
      </c>
      <c r="AV189" s="23">
        <f>EXP(-LN(2)/25)*AV188+(1-EXP(-LN(2)/25))/(LN(2)/25)*Calculateur!AQ189*Calculateur!AS189*VLOOKUP('Données projet'!$B$10,Paramètres!$A$1:$I$89,3,0)*0.475*44/12</f>
        <v>2.1967264666364206</v>
      </c>
      <c r="AW189" s="23">
        <f>EXP(-LN(2)/2)*AW188+(1-EXP(-LN(2)/2))/(LN(2)/2)*AQ189*AT189*VLOOKUP('Données projet'!$B$10,Paramètres!$A$1:$I$89,3,0)*0.475*44/12</f>
        <v>1.2817827551139379E-12</v>
      </c>
      <c r="AX189" s="23">
        <f t="shared" si="166"/>
        <v>42.034108356559216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-2.9842794901924208E-13</v>
      </c>
      <c r="BE189" s="14">
        <f>BD189*VLOOKUP('Données projet'!$B$11,Paramètres!$A$1:$I$89,3,0)*VLOOKUP('Données projet'!$B$11,Paramètres!$A$1:$I$89,5,0)</f>
        <v>-2.7001760827261026E-13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320.80580551060069</v>
      </c>
      <c r="BJ189" s="62">
        <f t="shared" si="146"/>
        <v>225.55225019382294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90.738357743610948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90.738357743610948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254.67898541152096</v>
      </c>
      <c r="CE189" s="62">
        <f t="shared" si="148"/>
        <v>251.52653810702509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13.681275380485955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13.681275380485955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6.3550942286383367E-14</v>
      </c>
      <c r="P190" s="14">
        <f t="shared" si="141"/>
        <v>1.0064464192543978E-12</v>
      </c>
      <c r="Q190" s="22">
        <f t="shared" si="162"/>
        <v>1.8635787380168604E-12</v>
      </c>
      <c r="R190" s="62">
        <f t="shared" si="109"/>
        <v>293.33333333333519</v>
      </c>
      <c r="S190" s="62">
        <f ca="1">AVERAGE(OFFSET($R$3,0,0,'Données projet'!$E$9+1,1))-AVERAGE(OFFSET($H$3,0,0,'Données projet'!$E$9+1,1))</f>
        <v>321.56347025977988</v>
      </c>
      <c r="T190" s="62">
        <f t="shared" si="142"/>
        <v>285.79375360040717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30.199016274317035</v>
      </c>
      <c r="AA190" s="23">
        <f>EXP(-LN(2)/25)*AA189+(1-EXP(-LN(2)/25))/(LN(2)/25)*Calculateur!V190*Calculateur!X190*VLOOKUP('Données projet'!$B$9,Paramètres!$A$1:$I$89,3,0)*0.475*44/12</f>
        <v>1.7221469829115053</v>
      </c>
      <c r="AB190" s="23">
        <f>EXP(-LN(2)/2)*AB189+(1-EXP(-LN(2)/2))/(LN(2)/2)*V190*Y190*VLOOKUP('Données projet'!$B$9,Paramètres!$A$1:$I$89,3,0)*0.475*44/12</f>
        <v>3.7801476381241216E-17</v>
      </c>
      <c r="AC190" s="24">
        <f t="shared" si="163"/>
        <v>31.921163257228539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projet'!$B$10,Paramètres!$A$1:$I$89,3,0)*VLOOKUP('Données projet'!$B$10,Paramètres!$A$1:$I$89,5,0)</f>
        <v>-2.1282176021486519E-13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272.2908884671595</v>
      </c>
      <c r="AO190" s="62">
        <f t="shared" si="144"/>
        <v>220.74777226152867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39.056195129463838</v>
      </c>
      <c r="AV190" s="23">
        <f>EXP(-LN(2)/25)*AV189+(1-EXP(-LN(2)/25))/(LN(2)/25)*Calculateur!AQ190*Calculateur!AS190*VLOOKUP('Données projet'!$B$10,Paramètres!$A$1:$I$89,3,0)*0.475*44/12</f>
        <v>2.1366568658854233</v>
      </c>
      <c r="AW190" s="23">
        <f>EXP(-LN(2)/2)*AW189+(1-EXP(-LN(2)/2))/(LN(2)/2)*AQ190*AT190*VLOOKUP('Données projet'!$B$10,Paramètres!$A$1:$I$89,3,0)*0.475*44/12</f>
        <v>9.0635727814904138E-13</v>
      </c>
      <c r="AX190" s="23">
        <f t="shared" si="166"/>
        <v>41.192851995350168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-2.9842794901924208E-13</v>
      </c>
      <c r="BE190" s="14">
        <f>BD190*VLOOKUP('Données projet'!$B$11,Paramètres!$A$1:$I$89,3,0)*VLOOKUP('Données projet'!$B$11,Paramètres!$A$1:$I$89,5,0)</f>
        <v>-2.7001760827261026E-13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320.80580551060069</v>
      </c>
      <c r="BJ190" s="62">
        <f t="shared" si="146"/>
        <v>225.55225019382294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88.9590338931921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88.9590338931921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254.67898541152096</v>
      </c>
      <c r="CE190" s="62">
        <f t="shared" si="148"/>
        <v>251.52653810702509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13.412993915028631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13.412993915028631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6.3550942286383367E-14</v>
      </c>
      <c r="P191" s="14">
        <f t="shared" si="141"/>
        <v>1.0064464192543978E-12</v>
      </c>
      <c r="Q191" s="22">
        <f t="shared" si="162"/>
        <v>1.8635787380168604E-12</v>
      </c>
      <c r="R191" s="62">
        <f t="shared" si="109"/>
        <v>293.33333333333519</v>
      </c>
      <c r="S191" s="62">
        <f ca="1">AVERAGE(OFFSET($R$3,0,0,'Données projet'!$E$9+1,1))-AVERAGE(OFFSET($H$3,0,0,'Données projet'!$E$9+1,1))</f>
        <v>321.56347025977988</v>
      </c>
      <c r="T191" s="62">
        <f t="shared" si="142"/>
        <v>285.79375360040717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29.606831984758823</v>
      </c>
      <c r="AA191" s="23">
        <f>EXP(-LN(2)/25)*AA190+(1-EXP(-LN(2)/25))/(LN(2)/25)*Calculateur!V191*Calculateur!X191*VLOOKUP('Données projet'!$B$9,Paramètres!$A$1:$I$89,3,0)*0.475*44/12</f>
        <v>1.6750547831000164</v>
      </c>
      <c r="AB191" s="23">
        <f>EXP(-LN(2)/2)*AB190+(1-EXP(-LN(2)/2))/(LN(2)/2)*V191*Y191*VLOOKUP('Données projet'!$B$9,Paramètres!$A$1:$I$89,3,0)*0.475*44/12</f>
        <v>2.6729680288038777E-17</v>
      </c>
      <c r="AC191" s="24">
        <f t="shared" si="163"/>
        <v>31.28188676785884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projet'!$B$10,Paramètres!$A$1:$I$89,3,0)*VLOOKUP('Données projet'!$B$10,Paramètres!$A$1:$I$89,5,0)</f>
        <v>-2.1282176021486519E-13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272.2908884671595</v>
      </c>
      <c r="AO191" s="62">
        <f t="shared" si="144"/>
        <v>220.74777226152867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38.290326964901858</v>
      </c>
      <c r="AV191" s="23">
        <f>EXP(-LN(2)/25)*AV190+(1-EXP(-LN(2)/25))/(LN(2)/25)*Calculateur!AQ191*Calculateur!AS191*VLOOKUP('Données projet'!$B$10,Paramètres!$A$1:$I$89,3,0)*0.475*44/12</f>
        <v>2.0782298715258851</v>
      </c>
      <c r="AW191" s="23">
        <f>EXP(-LN(2)/2)*AW190+(1-EXP(-LN(2)/2))/(LN(2)/2)*AQ191*AT191*VLOOKUP('Données projet'!$B$10,Paramètres!$A$1:$I$89,3,0)*0.475*44/12</f>
        <v>6.4089137755696905E-13</v>
      </c>
      <c r="AX191" s="23">
        <f t="shared" si="166"/>
        <v>40.368556836428382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-2.9842794901924208E-13</v>
      </c>
      <c r="BE191" s="14">
        <f>BD191*VLOOKUP('Données projet'!$B$11,Paramètres!$A$1:$I$89,3,0)*VLOOKUP('Données projet'!$B$11,Paramètres!$A$1:$I$89,5,0)</f>
        <v>-2.7001760827261026E-13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320.80580551060069</v>
      </c>
      <c r="BJ191" s="62">
        <f t="shared" si="146"/>
        <v>225.55225019382294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87.214601498199585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87.214601498199585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254.67898541152096</v>
      </c>
      <c r="CE191" s="62">
        <f t="shared" si="148"/>
        <v>251.52653810702509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13.14997328547339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13.14997328547339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6.3550942286383367E-14</v>
      </c>
      <c r="P192" s="14">
        <f t="shared" si="141"/>
        <v>1.0064464192543978E-12</v>
      </c>
      <c r="Q192" s="22">
        <f t="shared" si="162"/>
        <v>1.8635787380168604E-12</v>
      </c>
      <c r="R192" s="62">
        <f t="shared" si="109"/>
        <v>293.33333333333519</v>
      </c>
      <c r="S192" s="62">
        <f ca="1">AVERAGE(OFFSET($R$3,0,0,'Données projet'!$E$9+1,1))-AVERAGE(OFFSET($H$3,0,0,'Données projet'!$E$9+1,1))</f>
        <v>321.56347025977988</v>
      </c>
      <c r="T192" s="62">
        <f t="shared" si="142"/>
        <v>285.79375360040717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29.026260067922095</v>
      </c>
      <c r="AA192" s="23">
        <f>EXP(-LN(2)/25)*AA191+(1-EXP(-LN(2)/25))/(LN(2)/25)*Calculateur!V192*Calculateur!X192*VLOOKUP('Données projet'!$B$9,Paramètres!$A$1:$I$89,3,0)*0.475*44/12</f>
        <v>1.6292503219688439</v>
      </c>
      <c r="AB192" s="23">
        <f>EXP(-LN(2)/2)*AB191+(1-EXP(-LN(2)/2))/(LN(2)/2)*V192*Y192*VLOOKUP('Données projet'!$B$9,Paramètres!$A$1:$I$89,3,0)*0.475*44/12</f>
        <v>1.8900738190620608E-17</v>
      </c>
      <c r="AC192" s="24">
        <f t="shared" si="163"/>
        <v>30.655510389890939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projet'!$B$10,Paramètres!$A$1:$I$89,3,0)*VLOOKUP('Données projet'!$B$10,Paramètres!$A$1:$I$89,5,0)</f>
        <v>-2.1282176021486519E-13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272.2908884671595</v>
      </c>
      <c r="AO192" s="62">
        <f t="shared" si="144"/>
        <v>220.74777226152867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37.53947700791349</v>
      </c>
      <c r="AV192" s="23">
        <f>EXP(-LN(2)/25)*AV191+(1-EXP(-LN(2)/25))/(LN(2)/25)*Calculateur!AQ192*Calculateur!AS192*VLOOKUP('Données projet'!$B$10,Paramètres!$A$1:$I$89,3,0)*0.475*44/12</f>
        <v>2.0214005663996506</v>
      </c>
      <c r="AW192" s="23">
        <f>EXP(-LN(2)/2)*AW191+(1-EXP(-LN(2)/2))/(LN(2)/2)*AQ192*AT192*VLOOKUP('Données projet'!$B$10,Paramètres!$A$1:$I$89,3,0)*0.475*44/12</f>
        <v>4.5317863907452074E-13</v>
      </c>
      <c r="AX192" s="23">
        <f t="shared" si="166"/>
        <v>39.560877574313594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-2.9842794901924208E-13</v>
      </c>
      <c r="BE192" s="14">
        <f>BD192*VLOOKUP('Données projet'!$B$11,Paramètres!$A$1:$I$89,3,0)*VLOOKUP('Données projet'!$B$11,Paramètres!$A$1:$I$89,5,0)</f>
        <v>-2.7001760827261026E-13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320.80580551060069</v>
      </c>
      <c r="BJ192" s="62">
        <f t="shared" si="146"/>
        <v>225.55225019382294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85.504376358474175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85.504376358474175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254.67898541152096</v>
      </c>
      <c r="CE192" s="62">
        <f t="shared" si="148"/>
        <v>251.52653810702509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12.892110330036983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12.892110330036983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6.3550942286383367E-14</v>
      </c>
      <c r="P193" s="14">
        <f t="shared" si="141"/>
        <v>1.0064464192543978E-12</v>
      </c>
      <c r="Q193" s="22">
        <f t="shared" si="162"/>
        <v>1.8635787380168604E-12</v>
      </c>
      <c r="R193" s="62">
        <f t="shared" si="109"/>
        <v>293.33333333333519</v>
      </c>
      <c r="S193" s="62">
        <f ca="1">AVERAGE(OFFSET($R$3,0,0,'Données projet'!$E$9+1,1))-AVERAGE(OFFSET($H$3,0,0,'Données projet'!$E$9+1,1))</f>
        <v>321.56347025977988</v>
      </c>
      <c r="T193" s="62">
        <f t="shared" si="142"/>
        <v>285.79375360040717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28.457072812260634</v>
      </c>
      <c r="AA193" s="23">
        <f>EXP(-LN(2)/25)*AA192+(1-EXP(-LN(2)/25))/(LN(2)/25)*Calculateur!V193*Calculateur!X193*VLOOKUP('Données projet'!$B$9,Paramètres!$A$1:$I$89,3,0)*0.475*44/12</f>
        <v>1.5846983862360551</v>
      </c>
      <c r="AB193" s="23">
        <f>EXP(-LN(2)/2)*AB192+(1-EXP(-LN(2)/2))/(LN(2)/2)*V193*Y193*VLOOKUP('Données projet'!$B$9,Paramètres!$A$1:$I$89,3,0)*0.475*44/12</f>
        <v>1.3364840144019388E-17</v>
      </c>
      <c r="AC193" s="24">
        <f t="shared" si="163"/>
        <v>30.04177119849669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projet'!$B$10,Paramètres!$A$1:$I$89,3,0)*VLOOKUP('Données projet'!$B$10,Paramètres!$A$1:$I$89,5,0)</f>
        <v>-2.1282176021486519E-13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272.2908884671595</v>
      </c>
      <c r="AO193" s="62">
        <f t="shared" si="144"/>
        <v>220.74777226152867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36.80335076060841</v>
      </c>
      <c r="AV193" s="23">
        <f>EXP(-LN(2)/25)*AV192+(1-EXP(-LN(2)/25))/(LN(2)/25)*Calculateur!AQ193*Calculateur!AS193*VLOOKUP('Données projet'!$B$10,Paramètres!$A$1:$I$89,3,0)*0.475*44/12</f>
        <v>1.9661252616106164</v>
      </c>
      <c r="AW193" s="23">
        <f>EXP(-LN(2)/2)*AW192+(1-EXP(-LN(2)/2))/(LN(2)/2)*AQ193*AT193*VLOOKUP('Données projet'!$B$10,Paramètres!$A$1:$I$89,3,0)*0.475*44/12</f>
        <v>3.2044568877848458E-13</v>
      </c>
      <c r="AX193" s="23">
        <f t="shared" si="166"/>
        <v>38.769476022219344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-2.9842794901924208E-13</v>
      </c>
      <c r="BE193" s="14">
        <f>BD193*VLOOKUP('Données projet'!$B$11,Paramètres!$A$1:$I$89,3,0)*VLOOKUP('Données projet'!$B$11,Paramètres!$A$1:$I$89,5,0)</f>
        <v>-2.7001760827261026E-13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320.80580551060069</v>
      </c>
      <c r="BJ193" s="62">
        <f t="shared" si="146"/>
        <v>225.55225019382294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83.827687690604435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83.827687690604435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254.67898541152096</v>
      </c>
      <c r="CE193" s="62">
        <f t="shared" si="148"/>
        <v>251.52653810702509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12.639303909875812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12.639303909875812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6.3550942286383367E-14</v>
      </c>
      <c r="P194" s="14">
        <f t="shared" si="141"/>
        <v>1.0064464192543978E-12</v>
      </c>
      <c r="Q194" s="22">
        <f t="shared" si="162"/>
        <v>1.8635787380168604E-12</v>
      </c>
      <c r="R194" s="62">
        <f t="shared" si="109"/>
        <v>293.33333333333519</v>
      </c>
      <c r="S194" s="62">
        <f ca="1">AVERAGE(OFFSET($R$3,0,0,'Données projet'!$E$9+1,1))-AVERAGE(OFFSET($H$3,0,0,'Données projet'!$E$9+1,1))</f>
        <v>321.56347025977988</v>
      </c>
      <c r="T194" s="62">
        <f t="shared" si="142"/>
        <v>285.79375360040717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27.899046971512746</v>
      </c>
      <c r="AA194" s="23">
        <f>EXP(-LN(2)/25)*AA193+(1-EXP(-LN(2)/25))/(LN(2)/25)*Calculateur!V194*Calculateur!X194*VLOOKUP('Données projet'!$B$9,Paramètres!$A$1:$I$89,3,0)*0.475*44/12</f>
        <v>1.5413647255287639</v>
      </c>
      <c r="AB194" s="23">
        <f>EXP(-LN(2)/2)*AB193+(1-EXP(-LN(2)/2))/(LN(2)/2)*V194*Y194*VLOOKUP('Données projet'!$B$9,Paramètres!$A$1:$I$89,3,0)*0.475*44/12</f>
        <v>9.4503690953103039E-18</v>
      </c>
      <c r="AC194" s="24">
        <f t="shared" si="163"/>
        <v>29.440411697041512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projet'!$B$10,Paramètres!$A$1:$I$89,3,0)*VLOOKUP('Données projet'!$B$10,Paramètres!$A$1:$I$89,5,0)</f>
        <v>-2.1282176021486519E-13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272.2908884671595</v>
      </c>
      <c r="AO194" s="62">
        <f t="shared" si="144"/>
        <v>220.74777226152867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36.081659500020301</v>
      </c>
      <c r="AV194" s="23">
        <f>EXP(-LN(2)/25)*AV193+(1-EXP(-LN(2)/25))/(LN(2)/25)*Calculateur!AQ194*Calculateur!AS194*VLOOKUP('Données projet'!$B$10,Paramètres!$A$1:$I$89,3,0)*0.475*44/12</f>
        <v>1.9123614629378403</v>
      </c>
      <c r="AW194" s="23">
        <f>EXP(-LN(2)/2)*AW193+(1-EXP(-LN(2)/2))/(LN(2)/2)*AQ194*AT194*VLOOKUP('Données projet'!$B$10,Paramètres!$A$1:$I$89,3,0)*0.475*44/12</f>
        <v>2.2658931953726042E-13</v>
      </c>
      <c r="AX194" s="23">
        <f t="shared" si="166"/>
        <v>37.994020962958366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-2.9842794901924208E-13</v>
      </c>
      <c r="BE194" s="14">
        <f>BD194*VLOOKUP('Données projet'!$B$11,Paramètres!$A$1:$I$89,3,0)*VLOOKUP('Données projet'!$B$11,Paramètres!$A$1:$I$89,5,0)</f>
        <v>-2.7001760827261026E-13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320.80580551060069</v>
      </c>
      <c r="BJ194" s="62">
        <f t="shared" si="146"/>
        <v>225.55225019382294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82.183877864832525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82.183877864832525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254.67898541152096</v>
      </c>
      <c r="CE194" s="62">
        <f t="shared" si="148"/>
        <v>251.52653810702509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12.391454869417311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12.391454869417311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6.3550942286383367E-14</v>
      </c>
      <c r="P195" s="14">
        <f t="shared" si="141"/>
        <v>1.0064464192543978E-12</v>
      </c>
      <c r="Q195" s="22">
        <f t="shared" si="162"/>
        <v>1.8635787380168604E-12</v>
      </c>
      <c r="R195" s="62">
        <f t="shared" ref="R195:R203" si="191">Q195+(I195+J195)*44/12</f>
        <v>293.33333333333519</v>
      </c>
      <c r="S195" s="62">
        <f ca="1">AVERAGE(OFFSET($R$3,0,0,'Données projet'!$E$9+1,1))-AVERAGE(OFFSET($H$3,0,0,'Données projet'!$E$9+1,1))</f>
        <v>321.56347025977988</v>
      </c>
      <c r="T195" s="62">
        <f t="shared" si="142"/>
        <v>285.79375360040717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27.351963677139771</v>
      </c>
      <c r="AA195" s="23">
        <f>EXP(-LN(2)/25)*AA194+(1-EXP(-LN(2)/25))/(LN(2)/25)*Calculateur!V195*Calculateur!X195*VLOOKUP('Données projet'!$B$9,Paramètres!$A$1:$I$89,3,0)*0.475*44/12</f>
        <v>1.4992160260523317</v>
      </c>
      <c r="AB195" s="23">
        <f>EXP(-LN(2)/2)*AB194+(1-EXP(-LN(2)/2))/(LN(2)/2)*V195*Y195*VLOOKUP('Données projet'!$B$9,Paramètres!$A$1:$I$89,3,0)*0.475*44/12</f>
        <v>6.6824200720096942E-18</v>
      </c>
      <c r="AC195" s="24">
        <f t="shared" si="163"/>
        <v>28.851179703192102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projet'!$B$10,Paramètres!$A$1:$I$89,3,0)*VLOOKUP('Données projet'!$B$10,Paramètres!$A$1:$I$89,5,0)</f>
        <v>-2.1282176021486519E-13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272.2908884671595</v>
      </c>
      <c r="AO195" s="62">
        <f t="shared" si="144"/>
        <v>220.74777226152867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35.374120164864124</v>
      </c>
      <c r="AV195" s="23">
        <f>EXP(-LN(2)/25)*AV194+(1-EXP(-LN(2)/25))/(LN(2)/25)*Calculateur!AQ195*Calculateur!AS195*VLOOKUP('Données projet'!$B$10,Paramètres!$A$1:$I$89,3,0)*0.475*44/12</f>
        <v>1.8600678381670865</v>
      </c>
      <c r="AW195" s="23">
        <f>EXP(-LN(2)/2)*AW194+(1-EXP(-LN(2)/2))/(LN(2)/2)*AQ195*AT195*VLOOKUP('Données projet'!$B$10,Paramètres!$A$1:$I$89,3,0)*0.475*44/12</f>
        <v>1.6022284438924231E-13</v>
      </c>
      <c r="AX195" s="23">
        <f t="shared" si="166"/>
        <v>37.23418800303137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-2.9842794901924208E-13</v>
      </c>
      <c r="BE195" s="14">
        <f>BD195*VLOOKUP('Données projet'!$B$11,Paramètres!$A$1:$I$89,3,0)*VLOOKUP('Données projet'!$B$11,Paramètres!$A$1:$I$89,5,0)</f>
        <v>-2.7001760827261026E-13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320.80580551060069</v>
      </c>
      <c r="BJ195" s="62">
        <f t="shared" si="146"/>
        <v>225.55225019382294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80.572302147119004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80.572302147119004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254.67898541152096</v>
      </c>
      <c r="CE195" s="62">
        <f t="shared" si="148"/>
        <v>251.52653810702509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12.148465997469213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12.148465997469213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6.3550942286383367E-14</v>
      </c>
      <c r="P196" s="14">
        <f t="shared" si="141"/>
        <v>1.0064464192543978E-12</v>
      </c>
      <c r="Q196" s="22">
        <f t="shared" si="162"/>
        <v>1.8635787380168604E-12</v>
      </c>
      <c r="R196" s="62">
        <f t="shared" si="191"/>
        <v>293.33333333333519</v>
      </c>
      <c r="S196" s="62">
        <f ca="1">AVERAGE(OFFSET($R$3,0,0,'Données projet'!$E$9+1,1))-AVERAGE(OFFSET($H$3,0,0,'Données projet'!$E$9+1,1))</f>
        <v>321.56347025977988</v>
      </c>
      <c r="T196" s="62">
        <f t="shared" si="142"/>
        <v>285.79375360040717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26.81560835248159</v>
      </c>
      <c r="AA196" s="23">
        <f>EXP(-LN(2)/25)*AA195+(1-EXP(-LN(2)/25))/(LN(2)/25)*Calculateur!V196*Calculateur!X196*VLOOKUP('Données projet'!$B$9,Paramètres!$A$1:$I$89,3,0)*0.475*44/12</f>
        <v>1.4582198849795864</v>
      </c>
      <c r="AB196" s="23">
        <f>EXP(-LN(2)/2)*AB195+(1-EXP(-LN(2)/2))/(LN(2)/2)*V196*Y196*VLOOKUP('Données projet'!$B$9,Paramètres!$A$1:$I$89,3,0)*0.475*44/12</f>
        <v>4.725184547655152E-18</v>
      </c>
      <c r="AC196" s="24">
        <f t="shared" si="163"/>
        <v>28.273828237461178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projet'!$B$10,Paramètres!$A$1:$I$89,3,0)*VLOOKUP('Données projet'!$B$10,Paramètres!$A$1:$I$89,5,0)</f>
        <v>-2.1282176021486519E-13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272.2908884671595</v>
      </c>
      <c r="AO196" s="62">
        <f t="shared" si="144"/>
        <v>220.74777226152867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34.680455244513979</v>
      </c>
      <c r="AV196" s="23">
        <f>EXP(-LN(2)/25)*AV195+(1-EXP(-LN(2)/25))/(LN(2)/25)*Calculateur!AQ196*Calculateur!AS196*VLOOKUP('Données projet'!$B$10,Paramètres!$A$1:$I$89,3,0)*0.475*44/12</f>
        <v>1.8092041853156913</v>
      </c>
      <c r="AW196" s="23">
        <f>EXP(-LN(2)/2)*AW195+(1-EXP(-LN(2)/2))/(LN(2)/2)*AQ196*AT196*VLOOKUP('Données projet'!$B$10,Paramètres!$A$1:$I$89,3,0)*0.475*44/12</f>
        <v>1.1329465976863022E-13</v>
      </c>
      <c r="AX196" s="23">
        <f t="shared" si="166"/>
        <v>36.489659429829786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-2.9842794901924208E-13</v>
      </c>
      <c r="BE196" s="14">
        <f>BD196*VLOOKUP('Données projet'!$B$11,Paramètres!$A$1:$I$89,3,0)*VLOOKUP('Données projet'!$B$11,Paramètres!$A$1:$I$89,5,0)</f>
        <v>-2.7001760827261026E-13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320.80580551060069</v>
      </c>
      <c r="BJ196" s="62">
        <f t="shared" si="146"/>
        <v>225.55225019382294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78.992328446265716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78.992328446265716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254.67898541152096</v>
      </c>
      <c r="CE196" s="62">
        <f t="shared" si="148"/>
        <v>251.52653810702509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11.910241989091439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11.910241989091439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6.3550942286383367E-14</v>
      </c>
      <c r="P197" s="14">
        <f t="shared" ref="P197:P203" si="203">EXP(-1.0587+0.8836*LN(O197)+0.284)</f>
        <v>1.0064464192543978E-12</v>
      </c>
      <c r="Q197" s="22">
        <f t="shared" si="162"/>
        <v>1.8635787380168604E-12</v>
      </c>
      <c r="R197" s="62">
        <f t="shared" si="191"/>
        <v>293.33333333333519</v>
      </c>
      <c r="S197" s="62">
        <f ca="1">AVERAGE(OFFSET($R$3,0,0,'Données projet'!$E$9+1,1))-AVERAGE(OFFSET($H$3,0,0,'Données projet'!$E$9+1,1))</f>
        <v>321.56347025977988</v>
      </c>
      <c r="T197" s="62">
        <f t="shared" ref="T197:T203" si="204">$T$3</f>
        <v>285.79375360040717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26.289770628595509</v>
      </c>
      <c r="AA197" s="23">
        <f>EXP(-LN(2)/25)*AA196+(1-EXP(-LN(2)/25))/(LN(2)/25)*Calculateur!V197*Calculateur!X197*VLOOKUP('Données projet'!$B$9,Paramètres!$A$1:$I$89,3,0)*0.475*44/12</f>
        <v>1.4183447855403688</v>
      </c>
      <c r="AB197" s="23">
        <f>EXP(-LN(2)/2)*AB196+(1-EXP(-LN(2)/2))/(LN(2)/2)*V197*Y197*VLOOKUP('Données projet'!$B$9,Paramètres!$A$1:$I$89,3,0)*0.475*44/12</f>
        <v>3.3412100360048471E-18</v>
      </c>
      <c r="AC197" s="24">
        <f t="shared" si="163"/>
        <v>27.708115414135879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projet'!$B$10,Paramètres!$A$1:$I$89,3,0)*VLOOKUP('Données projet'!$B$10,Paramètres!$A$1:$I$89,5,0)</f>
        <v>-2.1282176021486519E-13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272.2908884671595</v>
      </c>
      <c r="AO197" s="62">
        <f t="shared" ref="AO197:AO203" si="205">$AO$3</f>
        <v>220.74777226152867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34.000392670158078</v>
      </c>
      <c r="AV197" s="23">
        <f>EXP(-LN(2)/25)*AV196+(1-EXP(-LN(2)/25))/(LN(2)/25)*Calculateur!AQ197*Calculateur!AS197*VLOOKUP('Données projet'!$B$10,Paramètres!$A$1:$I$89,3,0)*0.475*44/12</f>
        <v>1.7597314017263206</v>
      </c>
      <c r="AW197" s="23">
        <f>EXP(-LN(2)/2)*AW196+(1-EXP(-LN(2)/2))/(LN(2)/2)*AQ197*AT197*VLOOKUP('Données projet'!$B$10,Paramètres!$A$1:$I$89,3,0)*0.475*44/12</f>
        <v>8.0111422194621169E-14</v>
      </c>
      <c r="AX197" s="23">
        <f t="shared" si="166"/>
        <v>35.760124071884476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-2.9842794901924208E-13</v>
      </c>
      <c r="BE197" s="14">
        <f>BD197*VLOOKUP('Données projet'!$B$11,Paramètres!$A$1:$I$89,3,0)*VLOOKUP('Données projet'!$B$11,Paramètres!$A$1:$I$89,5,0)</f>
        <v>-2.7001760827261026E-13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320.80580551060069</v>
      </c>
      <c r="BJ197" s="62">
        <f t="shared" ref="BJ197:BJ203" si="206">$BJ$3</f>
        <v>225.55225019382294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77.443337065997369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77.443337065997369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254.67898541152096</v>
      </c>
      <c r="CE197" s="62">
        <f t="shared" ref="CE197:CE203" si="207">$CE$3</f>
        <v>251.52653810702509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11.676689408215656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11.676689408215656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6.3550942286383367E-14</v>
      </c>
      <c r="P198" s="14">
        <f t="shared" si="203"/>
        <v>1.0064464192543978E-12</v>
      </c>
      <c r="Q198" s="22">
        <f t="shared" si="162"/>
        <v>1.8635787380168604E-12</v>
      </c>
      <c r="R198" s="62">
        <f t="shared" si="191"/>
        <v>293.33333333333519</v>
      </c>
      <c r="S198" s="62">
        <f ca="1">AVERAGE(OFFSET($R$3,0,0,'Données projet'!$E$9+1,1))-AVERAGE(OFFSET($H$3,0,0,'Données projet'!$E$9+1,1))</f>
        <v>321.56347025977988</v>
      </c>
      <c r="T198" s="62">
        <f t="shared" si="204"/>
        <v>285.79375360040717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25.774244261745491</v>
      </c>
      <c r="AA198" s="23">
        <f>EXP(-LN(2)/25)*AA197+(1-EXP(-LN(2)/25))/(LN(2)/25)*Calculateur!V198*Calculateur!X198*VLOOKUP('Données projet'!$B$9,Paramètres!$A$1:$I$89,3,0)*0.475*44/12</f>
        <v>1.3795600727922568</v>
      </c>
      <c r="AB198" s="23">
        <f>EXP(-LN(2)/2)*AB197+(1-EXP(-LN(2)/2))/(LN(2)/2)*V198*Y198*VLOOKUP('Données projet'!$B$9,Paramètres!$A$1:$I$89,3,0)*0.475*44/12</f>
        <v>2.362592273827576E-18</v>
      </c>
      <c r="AC198" s="24">
        <f t="shared" si="163"/>
        <v>27.153804334537746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projet'!$B$10,Paramètres!$A$1:$I$89,3,0)*VLOOKUP('Données projet'!$B$10,Paramètres!$A$1:$I$89,5,0)</f>
        <v>-2.1282176021486519E-13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272.2908884671595</v>
      </c>
      <c r="AO198" s="62">
        <f t="shared" si="205"/>
        <v>220.74777226152867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33.333665708088084</v>
      </c>
      <c r="AV198" s="23">
        <f>EXP(-LN(2)/25)*AV197+(1-EXP(-LN(2)/25))/(LN(2)/25)*Calculateur!AQ198*Calculateur!AS198*VLOOKUP('Données projet'!$B$10,Paramètres!$A$1:$I$89,3,0)*0.475*44/12</f>
        <v>1.7116114540058618</v>
      </c>
      <c r="AW198" s="23">
        <f>EXP(-LN(2)/2)*AW197+(1-EXP(-LN(2)/2))/(LN(2)/2)*AQ198*AT198*VLOOKUP('Données projet'!$B$10,Paramètres!$A$1:$I$89,3,0)*0.475*44/12</f>
        <v>5.6647329884315124E-14</v>
      </c>
      <c r="AX198" s="23">
        <f t="shared" si="166"/>
        <v>35.045277162094003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-2.9842794901924208E-13</v>
      </c>
      <c r="BE198" s="14">
        <f>BD198*VLOOKUP('Données projet'!$B$11,Paramètres!$A$1:$I$89,3,0)*VLOOKUP('Données projet'!$B$11,Paramètres!$A$1:$I$89,5,0)</f>
        <v>-2.7001760827261026E-13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320.80580551060069</v>
      </c>
      <c r="BJ198" s="62">
        <f t="shared" si="206"/>
        <v>225.55225019382294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75.924720461904627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75.924720461904627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254.67898541152096</v>
      </c>
      <c r="CE198" s="62">
        <f t="shared" si="207"/>
        <v>251.52653810702509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11.44771665099784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11.44771665099784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6.3550942286383367E-14</v>
      </c>
      <c r="P199" s="14">
        <f t="shared" si="203"/>
        <v>1.0064464192543978E-12</v>
      </c>
      <c r="Q199" s="22">
        <f t="shared" si="162"/>
        <v>1.8635787380168604E-12</v>
      </c>
      <c r="R199" s="62">
        <f t="shared" si="191"/>
        <v>293.33333333333519</v>
      </c>
      <c r="S199" s="62">
        <f ca="1">AVERAGE(OFFSET($R$3,0,0,'Données projet'!$E$9+1,1))-AVERAGE(OFFSET($H$3,0,0,'Données projet'!$E$9+1,1))</f>
        <v>321.56347025977988</v>
      </c>
      <c r="T199" s="62">
        <f t="shared" si="204"/>
        <v>285.79375360040717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25.268827052509366</v>
      </c>
      <c r="AA199" s="23">
        <f>EXP(-LN(2)/25)*AA198+(1-EXP(-LN(2)/25))/(LN(2)/25)*Calculateur!V199*Calculateur!X199*VLOOKUP('Données projet'!$B$9,Paramètres!$A$1:$I$89,3,0)*0.475*44/12</f>
        <v>1.3418359300538414</v>
      </c>
      <c r="AB199" s="23">
        <f>EXP(-LN(2)/2)*AB198+(1-EXP(-LN(2)/2))/(LN(2)/2)*V199*Y199*VLOOKUP('Données projet'!$B$9,Paramètres!$A$1:$I$89,3,0)*0.475*44/12</f>
        <v>1.6706050180024236E-18</v>
      </c>
      <c r="AC199" s="24">
        <f t="shared" si="163"/>
        <v>26.610662982563206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projet'!$B$10,Paramètres!$A$1:$I$89,3,0)*VLOOKUP('Données projet'!$B$10,Paramètres!$A$1:$I$89,5,0)</f>
        <v>-2.1282176021486519E-13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272.2908884671595</v>
      </c>
      <c r="AO199" s="62">
        <f t="shared" si="205"/>
        <v>220.74777226152867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32.680012855080989</v>
      </c>
      <c r="AV199" s="23">
        <f>EXP(-LN(2)/25)*AV198+(1-EXP(-LN(2)/25))/(LN(2)/25)*Calculateur!AQ199*Calculateur!AS199*VLOOKUP('Données projet'!$B$10,Paramètres!$A$1:$I$89,3,0)*0.475*44/12</f>
        <v>1.6648073487863371</v>
      </c>
      <c r="AW199" s="23">
        <f>EXP(-LN(2)/2)*AW198+(1-EXP(-LN(2)/2))/(LN(2)/2)*AQ199*AT199*VLOOKUP('Données projet'!$B$10,Paramètres!$A$1:$I$89,3,0)*0.475*44/12</f>
        <v>4.0055711097310591E-14</v>
      </c>
      <c r="AX199" s="23">
        <f t="shared" si="166"/>
        <v>34.344820203867371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-2.9842794901924208E-13</v>
      </c>
      <c r="BE199" s="14">
        <f>BD199*VLOOKUP('Données projet'!$B$11,Paramètres!$A$1:$I$89,3,0)*VLOOKUP('Données projet'!$B$11,Paramètres!$A$1:$I$89,5,0)</f>
        <v>-2.7001760827261026E-13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320.80580551060069</v>
      </c>
      <c r="BJ199" s="62">
        <f t="shared" si="206"/>
        <v>225.55225019382294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74.435883003153478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74.435883003153478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254.67898541152096</v>
      </c>
      <c r="CE199" s="62">
        <f t="shared" si="207"/>
        <v>251.52653810702509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11.223233909889473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11.223233909889473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6.3550942286383367E-14</v>
      </c>
      <c r="P200" s="14">
        <f t="shared" si="203"/>
        <v>1.0064464192543978E-12</v>
      </c>
      <c r="Q200" s="22">
        <f t="shared" si="162"/>
        <v>1.8635787380168604E-12</v>
      </c>
      <c r="R200" s="62">
        <f t="shared" si="191"/>
        <v>293.33333333333519</v>
      </c>
      <c r="S200" s="62">
        <f ca="1">AVERAGE(OFFSET($R$3,0,0,'Données projet'!$E$9+1,1))-AVERAGE(OFFSET($H$3,0,0,'Données projet'!$E$9+1,1))</f>
        <v>321.56347025977988</v>
      </c>
      <c r="T200" s="62">
        <f t="shared" si="204"/>
        <v>285.79375360040717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24.773320766472306</v>
      </c>
      <c r="AA200" s="23">
        <f>EXP(-LN(2)/25)*AA199+(1-EXP(-LN(2)/25))/(LN(2)/25)*Calculateur!V200*Calculateur!X200*VLOOKUP('Données projet'!$B$9,Paramètres!$A$1:$I$89,3,0)*0.475*44/12</f>
        <v>1.3051433559824344</v>
      </c>
      <c r="AB200" s="23">
        <f>EXP(-LN(2)/2)*AB199+(1-EXP(-LN(2)/2))/(LN(2)/2)*V200*Y200*VLOOKUP('Données projet'!$B$9,Paramètres!$A$1:$I$89,3,0)*0.475*44/12</f>
        <v>1.181296136913788E-18</v>
      </c>
      <c r="AC200" s="24">
        <f t="shared" si="163"/>
        <v>26.07846412245474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projet'!$B$10,Paramètres!$A$1:$I$89,3,0)*VLOOKUP('Données projet'!$B$10,Paramètres!$A$1:$I$89,5,0)</f>
        <v>-2.1282176021486519E-13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272.2908884671595</v>
      </c>
      <c r="AO200" s="62">
        <f t="shared" si="205"/>
        <v>220.74777226152867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32.039177735832489</v>
      </c>
      <c r="AV200" s="23">
        <f>EXP(-LN(2)/25)*AV199+(1-EXP(-LN(2)/25))/(LN(2)/25)*Calculateur!AQ200*Calculateur!AS200*VLOOKUP('Données projet'!$B$10,Paramètres!$A$1:$I$89,3,0)*0.475*44/12</f>
        <v>1.6192831042853613</v>
      </c>
      <c r="AW200" s="23">
        <f>EXP(-LN(2)/2)*AW199+(1-EXP(-LN(2)/2))/(LN(2)/2)*AQ200*AT200*VLOOKUP('Données projet'!$B$10,Paramètres!$A$1:$I$89,3,0)*0.475*44/12</f>
        <v>2.8323664942157565E-14</v>
      </c>
      <c r="AX200" s="23">
        <f t="shared" si="166"/>
        <v>33.658460840117876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-2.9842794901924208E-13</v>
      </c>
      <c r="BE200" s="14">
        <f>BD200*VLOOKUP('Données projet'!$B$11,Paramètres!$A$1:$I$89,3,0)*VLOOKUP('Données projet'!$B$11,Paramètres!$A$1:$I$89,5,0)</f>
        <v>-2.7001760827261026E-13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320.80580551060069</v>
      </c>
      <c r="BJ200" s="62">
        <f t="shared" si="206"/>
        <v>225.55225019382294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72.976240738867247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72.976240738867247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254.67898541152096</v>
      </c>
      <c r="CE200" s="62">
        <f t="shared" si="207"/>
        <v>251.52653810702509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11.003153138413289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11.003153138413289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6.3550942286383367E-14</v>
      </c>
      <c r="P201" s="14">
        <f t="shared" si="203"/>
        <v>1.0064464192543978E-12</v>
      </c>
      <c r="Q201" s="22">
        <f t="shared" si="162"/>
        <v>1.8635787380168604E-12</v>
      </c>
      <c r="R201" s="62">
        <f t="shared" si="191"/>
        <v>293.33333333333519</v>
      </c>
      <c r="S201" s="62">
        <f ca="1">AVERAGE(OFFSET($R$3,0,0,'Données projet'!$E$9+1,1))-AVERAGE(OFFSET($H$3,0,0,'Données projet'!$E$9+1,1))</f>
        <v>321.56347025977988</v>
      </c>
      <c r="T201" s="62">
        <f t="shared" si="204"/>
        <v>285.79375360040717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24.287531056475441</v>
      </c>
      <c r="AA201" s="23">
        <f>EXP(-LN(2)/25)*AA200+(1-EXP(-LN(2)/25))/(LN(2)/25)*Calculateur!V201*Calculateur!X201*VLOOKUP('Données projet'!$B$9,Paramètres!$A$1:$I$89,3,0)*0.475*44/12</f>
        <v>1.2694541422785885</v>
      </c>
      <c r="AB201" s="23">
        <f>EXP(-LN(2)/2)*AB200+(1-EXP(-LN(2)/2))/(LN(2)/2)*V201*Y201*VLOOKUP('Données projet'!$B$9,Paramètres!$A$1:$I$89,3,0)*0.475*44/12</f>
        <v>8.3530250900121178E-19</v>
      </c>
      <c r="AC201" s="24">
        <f t="shared" si="163"/>
        <v>25.556985198754028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projet'!$B$10,Paramètres!$A$1:$I$89,3,0)*VLOOKUP('Données projet'!$B$10,Paramètres!$A$1:$I$89,5,0)</f>
        <v>-2.1282176021486519E-13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272.2908884671595</v>
      </c>
      <c r="AO201" s="62">
        <f t="shared" si="205"/>
        <v>220.74777226152867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31.410909002401624</v>
      </c>
      <c r="AV201" s="23">
        <f>EXP(-LN(2)/25)*AV200+(1-EXP(-LN(2)/25))/(LN(2)/25)*Calculateur!AQ201*Calculateur!AS201*VLOOKUP('Données projet'!$B$10,Paramètres!$A$1:$I$89,3,0)*0.475*44/12</f>
        <v>1.5750037226442806</v>
      </c>
      <c r="AW201" s="23">
        <f>EXP(-LN(2)/2)*AW200+(1-EXP(-LN(2)/2))/(LN(2)/2)*AQ201*AT201*VLOOKUP('Données projet'!$B$10,Paramètres!$A$1:$I$89,3,0)*0.475*44/12</f>
        <v>2.0027855548655299E-14</v>
      </c>
      <c r="AX201" s="23">
        <f t="shared" si="166"/>
        <v>32.985912725045928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-2.9842794901924208E-13</v>
      </c>
      <c r="BE201" s="14">
        <f>BD201*VLOOKUP('Données projet'!$B$11,Paramètres!$A$1:$I$89,3,0)*VLOOKUP('Données projet'!$B$11,Paramètres!$A$1:$I$89,5,0)</f>
        <v>-2.7001760827261026E-13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320.80580551060069</v>
      </c>
      <c r="BJ201" s="62">
        <f t="shared" si="206"/>
        <v>225.55225019382294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71.5452211690898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71.5452211690898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254.67898541152096</v>
      </c>
      <c r="CE201" s="62">
        <f t="shared" si="207"/>
        <v>251.52653810702509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10.787388016629738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10.787388016629738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6.3550942286383367E-14</v>
      </c>
      <c r="P202" s="14">
        <f t="shared" si="203"/>
        <v>1.0064464192543978E-12</v>
      </c>
      <c r="Q202" s="22">
        <f t="shared" si="162"/>
        <v>1.8635787380168604E-12</v>
      </c>
      <c r="R202" s="62">
        <f t="shared" si="191"/>
        <v>293.33333333333519</v>
      </c>
      <c r="S202" s="62">
        <f ca="1">AVERAGE(OFFSET($R$3,0,0,'Données projet'!$E$9+1,1))-AVERAGE(OFFSET($H$3,0,0,'Données projet'!$E$9+1,1))</f>
        <v>321.56347025977988</v>
      </c>
      <c r="T202" s="62">
        <f t="shared" si="204"/>
        <v>285.79375360040717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23.811267386389147</v>
      </c>
      <c r="AA202" s="23">
        <f>EXP(-LN(2)/25)*AA201+(1-EXP(-LN(2)/25))/(LN(2)/25)*Calculateur!V202*Calculateur!X202*VLOOKUP('Données projet'!$B$9,Paramètres!$A$1:$I$89,3,0)*0.475*44/12</f>
        <v>1.2347408520002885</v>
      </c>
      <c r="AB202" s="23">
        <f>EXP(-LN(2)/2)*AB201+(1-EXP(-LN(2)/2))/(LN(2)/2)*V202*Y202*VLOOKUP('Données projet'!$B$9,Paramètres!$A$1:$I$89,3,0)*0.475*44/12</f>
        <v>5.9064806845689399E-19</v>
      </c>
      <c r="AC202" s="24">
        <f t="shared" si="163"/>
        <v>25.046008238389437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projet'!$B$10,Paramètres!$A$1:$I$89,3,0)*VLOOKUP('Données projet'!$B$10,Paramètres!$A$1:$I$89,5,0)</f>
        <v>-2.1282176021486519E-13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272.2908884671595</v>
      </c>
      <c r="AO202" s="62">
        <f t="shared" si="205"/>
        <v>220.74777226152867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30.794960235627247</v>
      </c>
      <c r="AV202" s="23">
        <f>EXP(-LN(2)/25)*AV201+(1-EXP(-LN(2)/25))/(LN(2)/25)*Calculateur!AQ202*Calculateur!AS202*VLOOKUP('Données projet'!$B$10,Paramètres!$A$1:$I$89,3,0)*0.475*44/12</f>
        <v>1.5319351630227267</v>
      </c>
      <c r="AW202" s="23">
        <f>EXP(-LN(2)/2)*AW201+(1-EXP(-LN(2)/2))/(LN(2)/2)*AQ202*AT202*VLOOKUP('Données projet'!$B$10,Paramètres!$A$1:$I$89,3,0)*0.475*44/12</f>
        <v>1.4161832471078784E-14</v>
      </c>
      <c r="AX202" s="23">
        <f t="shared" si="166"/>
        <v>32.326895398649988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-2.9842794901924208E-13</v>
      </c>
      <c r="BE202" s="14">
        <f>BD202*VLOOKUP('Données projet'!$B$11,Paramètres!$A$1:$I$89,3,0)*VLOOKUP('Données projet'!$B$11,Paramètres!$A$1:$I$89,5,0)</f>
        <v>-2.7001760827261026E-13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320.80580551060069</v>
      </c>
      <c r="BJ202" s="62">
        <f t="shared" si="206"/>
        <v>225.55225019382294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70.142263020239938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70.142263020239938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254.67898541152096</v>
      </c>
      <c r="CE202" s="62">
        <f t="shared" si="207"/>
        <v>251.52653810702509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10.575853917280631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10.575853917280631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6.3550942286383367E-14</v>
      </c>
      <c r="P203" s="14">
        <f t="shared" si="203"/>
        <v>1.0064464192543978E-12</v>
      </c>
      <c r="Q203" s="22">
        <f t="shared" si="162"/>
        <v>1.8635787380168604E-12</v>
      </c>
      <c r="R203" s="62">
        <f t="shared" si="191"/>
        <v>293.33333333333519</v>
      </c>
      <c r="S203" s="62">
        <f ca="1">AVERAGE(OFFSET($R$3,0,0,'Données projet'!$E$9+1,1))-AVERAGE(OFFSET($H$3,0,0,'Données projet'!$E$9+1,1))</f>
        <v>321.56347025977988</v>
      </c>
      <c r="T203" s="62">
        <f t="shared" si="204"/>
        <v>285.79375360040717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23.344342956381091</v>
      </c>
      <c r="AA203" s="23">
        <f>EXP(-LN(2)/25)*AA202+(1-EXP(-LN(2)/25))/(LN(2)/25)*Calculateur!V203*Calculateur!X203*VLOOKUP('Données projet'!$B$9,Paramètres!$A$1:$I$89,3,0)*0.475*44/12</f>
        <v>1.2009767984701412</v>
      </c>
      <c r="AB203" s="23">
        <f>EXP(-LN(2)/2)*AB202+(1-EXP(-LN(2)/2))/(LN(2)/2)*V203*Y203*VLOOKUP('Données projet'!$B$9,Paramètres!$A$1:$I$89,3,0)*0.475*44/12</f>
        <v>4.1765125450060589E-19</v>
      </c>
      <c r="AC203" s="24">
        <f t="shared" si="163"/>
        <v>24.545319754851231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projet'!$B$10,Paramètres!$A$1:$I$89,3,0)*VLOOKUP('Données projet'!$B$10,Paramètres!$A$1:$I$89,5,0)</f>
        <v>-2.1282176021486519E-13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272.2908884671595</v>
      </c>
      <c r="AO203" s="62">
        <f t="shared" si="205"/>
        <v>220.74777226152867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30.191089848477667</v>
      </c>
      <c r="AV203" s="23">
        <f>EXP(-LN(2)/25)*AV202+(1-EXP(-LN(2)/25))/(LN(2)/25)*Calculateur!AQ203*Calculateur!AS203*VLOOKUP('Données projet'!$B$10,Paramètres!$A$1:$I$89,3,0)*0.475*44/12</f>
        <v>1.4900443154289014</v>
      </c>
      <c r="AW203" s="23">
        <f>EXP(-LN(2)/2)*AW202+(1-EXP(-LN(2)/2))/(LN(2)/2)*AQ203*AT203*VLOOKUP('Données projet'!$B$10,Paramètres!$A$1:$I$89,3,0)*0.475*44/12</f>
        <v>1.0013927774327651E-14</v>
      </c>
      <c r="AX203" s="23">
        <f t="shared" si="166"/>
        <v>31.681134163906577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-2.9842794901924208E-13</v>
      </c>
      <c r="BE203" s="14">
        <f>BD203*VLOOKUP('Données projet'!$B$11,Paramètres!$A$1:$I$89,3,0)*VLOOKUP('Données projet'!$B$11,Paramètres!$A$1:$I$89,5,0)</f>
        <v>-2.7001760827261026E-13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320.80580551060069</v>
      </c>
      <c r="BJ203" s="62">
        <f t="shared" si="206"/>
        <v>225.55225019382294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68.766816024969046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68.766816024969046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254.67898541152096</v>
      </c>
      <c r="CE203" s="62">
        <f t="shared" si="207"/>
        <v>251.52653810702509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10.3684678725967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10.3684678725967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1.3037606943669584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1.3195079107728942</v>
      </c>
      <c r="BA205" s="88">
        <f>EXP(LN('Données projet'!B88)/'Données projet'!A88)</f>
        <v>1.1267530431577886</v>
      </c>
      <c r="BV205" s="88">
        <f>EXP(LN('Données projet'!B114)/'Données projet'!A114)</f>
        <v>1.2709816152101407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2.13</v>
      </c>
      <c r="C6" s="156">
        <f ca="1">IF(OR('Données projet'!B9="",'Données projet'!C9="",'Données projet'!C9=0%),0,Calculateur!S3)</f>
        <v>321.56347025977988</v>
      </c>
      <c r="D6" s="156">
        <f>IF(OR('Données projet'!B9="",'Données projet'!C9="",'Données projet'!C9=0%),0,Calculateur!T3)</f>
        <v>285.79375360040717</v>
      </c>
      <c r="E6" s="156">
        <f ca="1">MIN(C6,D6)</f>
        <v>285.79375360040717</v>
      </c>
      <c r="F6" s="156">
        <f ca="1">E6*B6</f>
        <v>608.74069516886721</v>
      </c>
      <c r="G6" s="156">
        <f ca="1">F6*(100%-'Données projet'!$C$24)*(100%-'Données projet'!$C$25)*(100%-'Données projet'!$C$26)*(100%-'Données projet'!$C$27)</f>
        <v>520.47329436938139</v>
      </c>
      <c r="H6" s="157">
        <f>IF(OR('Données projet'!B9="",'Données projet'!C9="",'Données projet'!C9=0%),0,AVERAGE(Calculateur!$AC$3:$AC$33)*B6)</f>
        <v>19.582289862385821</v>
      </c>
      <c r="I6" s="158">
        <f>H6*(100%-'Données projet'!$C$24)*(100%-'Données projet'!$C$25)*(100%-'Données projet'!$C$26)*(100%-'Données projet'!$C$27)</f>
        <v>16.742857832339876</v>
      </c>
      <c r="J6" s="159">
        <f>IF(OR('Données projet'!B9="",'Données projet'!C9="",'Données projet'!C9=0%),0,SUM(Calculateur!$V$3:$V$33)*VLOOKUP('Données projet'!$B$9,Paramètres!$A$1:$I$89,9,0)*B6)</f>
        <v>121.07282099999999</v>
      </c>
      <c r="K6" s="160">
        <f>J6*(100%-'Données projet'!$C$24)*(100%-'Données projet'!$C$25)*(100%-'Données projet'!$C$26)*(100%-'Données projet'!$C$27)</f>
        <v>103.517261955</v>
      </c>
      <c r="L6" s="161">
        <f ca="1">G6+I6+K6</f>
        <v>640.73341415672121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Mélèze d'Europe</v>
      </c>
      <c r="B7" s="163">
        <f>'Données projet'!D10</f>
        <v>0.69000000000000006</v>
      </c>
      <c r="C7" s="156">
        <f ca="1">IF(OR('Données projet'!B10="",'Données projet'!C10="",'Données projet'!C10=0%),0,Calculateur!AN3)</f>
        <v>272.2908884671595</v>
      </c>
      <c r="D7" s="156">
        <f>IF(OR('Données projet'!B10="",'Données projet'!C10="",'Données projet'!C10=0%),0,Calculateur!AO3)</f>
        <v>220.74777226152867</v>
      </c>
      <c r="E7" s="156">
        <f t="shared" ref="E7:E15" ca="1" si="0">MIN(C7,D7)</f>
        <v>220.74777226152867</v>
      </c>
      <c r="F7" s="156">
        <f t="shared" ref="F7:F15" ca="1" si="1">E7*B7</f>
        <v>152.31596286045479</v>
      </c>
      <c r="G7" s="156">
        <f ca="1">F7*(100%-'Données projet'!$C$24)*(100%-'Données projet'!$C$25)*(100%-'Données projet'!$C$26)*(100%-'Données projet'!$C$27)</f>
        <v>130.23014824568884</v>
      </c>
      <c r="H7" s="164">
        <f>IF(OR('Données projet'!B10="",'Données projet'!C10="",'Données projet'!C10=0%),0,AVERAGE(Calculateur!$AX$3:$AX$33)*B7)</f>
        <v>5.8459754015201071</v>
      </c>
      <c r="I7" s="158">
        <f>H7*(100%-'Données projet'!$C$24)*(100%-'Données projet'!$C$25)*(100%-'Données projet'!$C$26)*(100%-'Données projet'!$C$27)</f>
        <v>4.9983089682996917</v>
      </c>
      <c r="J7" s="159">
        <f>IF(OR('Données projet'!B10="",'Données projet'!C10="",'Données projet'!C10=0%),0,SUM(Calculateur!$AQ$3:$AQ$33)*VLOOKUP('Données projet'!$B$10,Paramètres!$A$1:$I$89,9,0)*B7)</f>
        <v>31.7469</v>
      </c>
      <c r="K7" s="160">
        <f>J7*(100%-'Données projet'!$C$24)*(100%-'Données projet'!$C$25)*(100%-'Données projet'!$C$26)*(100%-'Données projet'!$C$27)</f>
        <v>27.143599500000001</v>
      </c>
      <c r="L7" s="161">
        <f t="shared" ref="L7:L15" ca="1" si="2">G7+I7+K7</f>
        <v>162.37205671398851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Chêne sessile</v>
      </c>
      <c r="B8" s="163">
        <f>'Données projet'!D11</f>
        <v>0.09</v>
      </c>
      <c r="C8" s="156">
        <f ca="1">IF(OR('Données projet'!B11="",'Données projet'!C11="",'Données projet'!C11=0%),0,Calculateur!BI3)</f>
        <v>320.80580551060069</v>
      </c>
      <c r="D8" s="156">
        <f>IF(OR('Données projet'!B11="",'Données projet'!C11="",'Données projet'!C11=0%),0,Calculateur!BJ3)</f>
        <v>225.55225019382294</v>
      </c>
      <c r="E8" s="156">
        <f t="shared" ca="1" si="0"/>
        <v>225.55225019382294</v>
      </c>
      <c r="F8" s="156">
        <f t="shared" ca="1" si="1"/>
        <v>20.299702517444064</v>
      </c>
      <c r="G8" s="156">
        <f ca="1">F8*(100%-'Données projet'!$C$24)*(100%-'Données projet'!$C$25)*(100%-'Données projet'!$C$26)*(100%-'Données projet'!$C$27)</f>
        <v>17.356245652414675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17.356245652414675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Châtaignier</v>
      </c>
      <c r="B9" s="163">
        <f>'Données projet'!D12</f>
        <v>0.09</v>
      </c>
      <c r="C9" s="156">
        <f ca="1">IF(OR('Données projet'!B12="",'Données projet'!C12="",'Données projet'!C12=0%),0,Calculateur!CD3)</f>
        <v>254.67898541152096</v>
      </c>
      <c r="D9" s="156">
        <f>IF(OR('Données projet'!B12="",'Données projet'!C12="",'Données projet'!C12=0%),0,Calculateur!CE3)</f>
        <v>251.52653810702509</v>
      </c>
      <c r="E9" s="156">
        <f t="shared" ca="1" si="0"/>
        <v>251.52653810702509</v>
      </c>
      <c r="F9" s="156">
        <f t="shared" ca="1" si="1"/>
        <v>22.637388429632257</v>
      </c>
      <c r="G9" s="156">
        <f ca="1">F9*(100%-'Données projet'!$C$24)*(100%-'Données projet'!$C$25)*(100%-'Données projet'!$C$26)*(100%-'Données projet'!$C$27)</f>
        <v>19.354967107335579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3.0825</v>
      </c>
      <c r="K9" s="160">
        <f>J9*(100%-'Données projet'!$C$24)*(100%-'Données projet'!$C$25)*(100%-'Données projet'!$C$26)*(100%-'Données projet'!$C$27)</f>
        <v>2.6355374999999999</v>
      </c>
      <c r="L9" s="161">
        <f t="shared" ca="1" si="2"/>
        <v>21.990504607335581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803.99374897639825</v>
      </c>
      <c r="G16" s="175">
        <f t="shared" ca="1" si="3"/>
        <v>687.41465537482054</v>
      </c>
      <c r="H16" s="176">
        <f t="shared" si="3"/>
        <v>25.428265263905928</v>
      </c>
      <c r="I16" s="176">
        <f t="shared" si="3"/>
        <v>21.741166800639569</v>
      </c>
      <c r="J16" s="177">
        <f t="shared" si="3"/>
        <v>155.902221</v>
      </c>
      <c r="K16" s="177">
        <f t="shared" si="3"/>
        <v>133.296398955</v>
      </c>
      <c r="L16" s="178">
        <f t="shared" ca="1" si="3"/>
        <v>842.45222113045998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Mélèze d'Europe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Châtaignier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80" zoomScaleNormal="80" workbookViewId="0">
      <selection activeCell="T25" sqref="T25:V25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2908.5532206044836</v>
      </c>
      <c r="U10" s="190">
        <f>'Données projet'!D9</f>
        <v>2.13</v>
      </c>
      <c r="V10" s="189">
        <f>U10*T10</f>
        <v>6195.2183598875499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Mélèze d'Europe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-1190.8706320379849</v>
      </c>
      <c r="U11" s="190">
        <f>'Données projet'!D10</f>
        <v>0.69000000000000006</v>
      </c>
      <c r="V11" s="189">
        <f t="shared" ref="V11" si="0">U11*T11</f>
        <v>-821.70073610620966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Chêne sessile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-2431.3253276586411</v>
      </c>
      <c r="U12" s="190">
        <f>'Données projet'!D11</f>
        <v>0.09</v>
      </c>
      <c r="V12" s="189">
        <f t="shared" ref="V12:V19" si="1">U12*T12</f>
        <v>-218.81927948927768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Châtaignier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-1112.32233408295</v>
      </c>
      <c r="U13" s="190">
        <f>'Données projet'!D12</f>
        <v>0.09</v>
      </c>
      <c r="V13" s="189">
        <f t="shared" si="1"/>
        <v>-100.10901006746549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6" t="s">
        <v>318</v>
      </c>
      <c r="H15" s="203">
        <v>1</v>
      </c>
      <c r="I15" s="204">
        <v>4310.3</v>
      </c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>
        <v>30</v>
      </c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3396.67</v>
      </c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>
        <v>15</v>
      </c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449.99999999999989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>
        <v>5156.58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v>435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v>435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19</v>
      </c>
      <c r="B23" s="193">
        <f>'Données projet'!D36</f>
        <v>0</v>
      </c>
      <c r="C23" s="206">
        <f>67*'Données projet'!E36+19.4*('Données projet'!F36+'Données projet'!G36)+15*'Données projet'!G36</f>
        <v>0</v>
      </c>
      <c r="D23" s="194">
        <f>B23*C23</f>
        <v>0</v>
      </c>
      <c r="E23" s="206"/>
      <c r="F23" s="260"/>
      <c r="H23" s="203">
        <v>3</v>
      </c>
      <c r="I23" s="204">
        <v>435</v>
      </c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-3770.0033316096378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21</v>
      </c>
      <c r="B24" s="193">
        <f>'Données projet'!D37</f>
        <v>64.58</v>
      </c>
      <c r="C24" s="206">
        <f>67*'Données projet'!E37+19.4*('Données projet'!F37+'Données projet'!G37)+15*'Données projet'!G37</f>
        <v>34.17</v>
      </c>
      <c r="D24" s="194">
        <f t="shared" ref="D24:D42" si="2">B24*C24</f>
        <v>2206.6986000000002</v>
      </c>
      <c r="E24" s="206"/>
      <c r="F24" s="263"/>
      <c r="H24" s="203">
        <v>4</v>
      </c>
      <c r="I24" s="204">
        <v>435</v>
      </c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360.45002093445396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28</v>
      </c>
      <c r="B25" s="193">
        <f>'Données projet'!D38</f>
        <v>67.61</v>
      </c>
      <c r="C25" s="206">
        <f>67*'Données projet'!E38+19.4*('Données projet'!F38+'Données projet'!G38)+15*'Données projet'!G38</f>
        <v>38.329999999999991</v>
      </c>
      <c r="D25" s="194">
        <f t="shared" si="2"/>
        <v>2591.4912999999992</v>
      </c>
      <c r="E25" s="206"/>
      <c r="F25" s="263"/>
      <c r="G25" s="1"/>
      <c r="H25" s="203">
        <v>5</v>
      </c>
      <c r="I25" s="204">
        <v>435</v>
      </c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40">
        <f ca="1">T23-T24</f>
        <v>-4130.453352544092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35</v>
      </c>
      <c r="B26" s="193">
        <f>'Données projet'!D39</f>
        <v>86.68</v>
      </c>
      <c r="C26" s="206">
        <f>67*'Données projet'!E39+19.4*('Données projet'!F39+'Données projet'!G39)+15*'Données projet'!G39</f>
        <v>42.339999999999996</v>
      </c>
      <c r="D26" s="194">
        <f t="shared" si="2"/>
        <v>3670.0311999999999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42</v>
      </c>
      <c r="B27" s="193">
        <f>'Données projet'!D40</f>
        <v>99.98</v>
      </c>
      <c r="C27" s="206">
        <f>67*'Données projet'!E40+19.4*('Données projet'!F40+'Données projet'!G40)+15*'Données projet'!G40</f>
        <v>46.5</v>
      </c>
      <c r="D27" s="194">
        <f t="shared" si="2"/>
        <v>4649.0700000000006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49</v>
      </c>
      <c r="B28" s="193">
        <f>'Données projet'!D41</f>
        <v>112.61</v>
      </c>
      <c r="C28" s="206">
        <f>67*'Données projet'!E41+19.4*('Données projet'!F41+'Données projet'!G41)+15*'Données projet'!G41</f>
        <v>50.66</v>
      </c>
      <c r="D28" s="194">
        <f t="shared" si="2"/>
        <v>5704.8225999999995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56</v>
      </c>
      <c r="B29" s="193">
        <f>'Données projet'!D42</f>
        <v>94.57</v>
      </c>
      <c r="C29" s="206">
        <f>67*'Données projet'!E42+19.4*('Données projet'!F42+'Données projet'!G42)+15*'Données projet'!G42</f>
        <v>54.67</v>
      </c>
      <c r="D29" s="194">
        <f t="shared" si="2"/>
        <v>5170.1418999999996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63</v>
      </c>
      <c r="B30" s="193">
        <f>'Données projet'!D43</f>
        <v>99.49</v>
      </c>
      <c r="C30" s="206">
        <f>67*'Données projet'!E43+19.4*('Données projet'!F43+'Données projet'!G43)+15*'Données projet'!G43</f>
        <v>58.830000000000005</v>
      </c>
      <c r="D30" s="194">
        <f t="shared" si="2"/>
        <v>5852.9967000000006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69</v>
      </c>
      <c r="B31" s="193">
        <f>'Données projet'!D44</f>
        <v>0</v>
      </c>
      <c r="C31" s="206">
        <f>67*'Données projet'!E44+19.4*('Données projet'!F44+'Données projet'!G44)+15*'Données projet'!G44</f>
        <v>0</v>
      </c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70</v>
      </c>
      <c r="B32" s="193">
        <f>'Données projet'!D45</f>
        <v>586.05999999999995</v>
      </c>
      <c r="C32" s="206">
        <f>67*'Données projet'!E45+19.4*('Données projet'!F45+'Données projet'!G45)+15*'Données projet'!G45</f>
        <v>62.84</v>
      </c>
      <c r="D32" s="194">
        <f t="shared" si="2"/>
        <v>36828.010399999999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>
        <f>67*'Données projet'!E46+19.4*('Données projet'!F46+'Données projet'!G46)+15*'Données projet'!G46</f>
        <v>0</v>
      </c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>
        <f>67*'Données projet'!E47+19.4*('Données projet'!F47+'Données projet'!G47)+15*'Données projet'!G47</f>
        <v>0</v>
      </c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>
        <f>67*'Données projet'!E48+19.4*('Données projet'!F48+'Données projet'!G48)+15*'Données projet'!G48</f>
        <v>0</v>
      </c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>
        <f>67*'Données projet'!E49+19.4*('Données projet'!F49+'Données projet'!G49)+15*'Données projet'!G49</f>
        <v>0</v>
      </c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>
        <f>67*'Données projet'!E50+19.4*('Données projet'!F50+'Données projet'!G50)+15*'Données projet'!G50</f>
        <v>0</v>
      </c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>
        <f>67*'Données projet'!E51+19.4*('Données projet'!F51+'Données projet'!G51)+15*'Données projet'!G51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>
        <f>67*'Données projet'!E52+19.4*('Données projet'!F52+'Données projet'!G52)+15*'Données projet'!G52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>
        <f>67*'Données projet'!E53+19.4*('Données projet'!F53+'Données projet'!G53)+15*'Données projet'!G53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67*'Données projet'!E54+19.4*('Données projet'!F54+'Données projet'!G54)+15*'Données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67*'Données projet'!E55+19.4*('Données projet'!F55+'Données projet'!G55)+15*'Données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Mélèze d'Europe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3444.67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10</v>
      </c>
      <c r="B54" s="193">
        <f>'Données projet'!D62</f>
        <v>0</v>
      </c>
      <c r="C54" s="204">
        <f>50*'Données projet'!E62+19.4*('Données projet'!F62+'Données projet'!G62)+15*'Données projet'!H62</f>
        <v>25.52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15</v>
      </c>
      <c r="B55" s="193">
        <f>'Données projet'!D63</f>
        <v>2</v>
      </c>
      <c r="C55" s="204">
        <f>50*'Données projet'!E63+19.4*('Données projet'!F63+'Données projet'!G63)+15*'Données projet'!H63</f>
        <v>25.52</v>
      </c>
      <c r="D55" s="191">
        <f t="shared" ref="D55:D73" si="4">B55*C55</f>
        <v>51.04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20</v>
      </c>
      <c r="B56" s="193">
        <f>'Données projet'!D64</f>
        <v>35</v>
      </c>
      <c r="C56" s="204">
        <f>50*'Données projet'!E64+19.4*('Données projet'!F64+'Données projet'!G64)+15*'Données projet'!H64</f>
        <v>28.58</v>
      </c>
      <c r="D56" s="191">
        <f t="shared" si="4"/>
        <v>1000.3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25</v>
      </c>
      <c r="B57" s="193">
        <f>'Données projet'!D65</f>
        <v>35</v>
      </c>
      <c r="C57" s="204">
        <f>50*'Données projet'!E65+19.4*('Données projet'!F65+'Données projet'!G65)+15*'Données projet'!H65</f>
        <v>28.58</v>
      </c>
      <c r="D57" s="191">
        <f t="shared" si="4"/>
        <v>1000.3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30</v>
      </c>
      <c r="B58" s="193">
        <f>'Données projet'!D66</f>
        <v>35</v>
      </c>
      <c r="C58" s="204">
        <f>50*'Données projet'!E66+19.4*('Données projet'!F66+'Données projet'!G66)+15*'Données projet'!H66</f>
        <v>31.64</v>
      </c>
      <c r="D58" s="191">
        <f t="shared" si="4"/>
        <v>1107.4000000000001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35</v>
      </c>
      <c r="B59" s="193">
        <f>'Données projet'!D67</f>
        <v>35</v>
      </c>
      <c r="C59" s="204">
        <f>50*'Données projet'!E67+19.4*('Données projet'!F67+'Données projet'!G67)+15*'Données projet'!H67</f>
        <v>31.64</v>
      </c>
      <c r="D59" s="191">
        <f t="shared" si="4"/>
        <v>1107.4000000000001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40</v>
      </c>
      <c r="B60" s="193">
        <f>'Données projet'!D68</f>
        <v>35</v>
      </c>
      <c r="C60" s="204">
        <f>50*'Données projet'!E68+19.4*('Données projet'!F68+'Données projet'!G68)+15*'Données projet'!H68</f>
        <v>34.700000000000003</v>
      </c>
      <c r="D60" s="191">
        <f t="shared" si="4"/>
        <v>1214.5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45</v>
      </c>
      <c r="B61" s="193">
        <f>'Données projet'!D69</f>
        <v>32</v>
      </c>
      <c r="C61" s="204">
        <f>50*'Données projet'!E69+19.4*('Données projet'!F69+'Données projet'!G69)+15*'Données projet'!H69</f>
        <v>34.700000000000003</v>
      </c>
      <c r="D61" s="191">
        <f t="shared" si="4"/>
        <v>1110.4000000000001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50</v>
      </c>
      <c r="B62" s="193">
        <f>'Données projet'!D70</f>
        <v>28</v>
      </c>
      <c r="C62" s="204">
        <f>50*'Données projet'!E70+19.4*('Données projet'!F70+'Données projet'!G70)+15*'Données projet'!H70</f>
        <v>34.700000000000003</v>
      </c>
      <c r="D62" s="191">
        <f t="shared" si="4"/>
        <v>971.60000000000014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55</v>
      </c>
      <c r="B63" s="193">
        <f>'Données projet'!D71</f>
        <v>25</v>
      </c>
      <c r="C63" s="204">
        <f>50*'Données projet'!E71+19.4*('Données projet'!F71+'Données projet'!G71)+15*'Données projet'!H71</f>
        <v>34.700000000000003</v>
      </c>
      <c r="D63" s="191">
        <f t="shared" si="4"/>
        <v>867.50000000000011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60</v>
      </c>
      <c r="B64" s="193">
        <f>'Données projet'!D72</f>
        <v>22</v>
      </c>
      <c r="C64" s="204">
        <f>50*'Données projet'!E72+19.4*('Données projet'!F72+'Données projet'!G72)+15*'Données projet'!H72</f>
        <v>37.76</v>
      </c>
      <c r="D64" s="191">
        <f t="shared" si="4"/>
        <v>830.71999999999991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65</v>
      </c>
      <c r="B65" s="193">
        <f>'Données projet'!D73</f>
        <v>19</v>
      </c>
      <c r="C65" s="204">
        <f>50*'Données projet'!E73+19.4*('Données projet'!F73+'Données projet'!G73)+15*'Données projet'!H73</f>
        <v>37.76</v>
      </c>
      <c r="D65" s="191">
        <f t="shared" si="4"/>
        <v>717.43999999999994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70</v>
      </c>
      <c r="B66" s="193">
        <f>'Données projet'!D74</f>
        <v>17</v>
      </c>
      <c r="C66" s="204">
        <f>50*'Données projet'!E74+19.4*('Données projet'!F74+'Données projet'!G74)+15*'Données projet'!H74</f>
        <v>40.82</v>
      </c>
      <c r="D66" s="191">
        <f t="shared" si="4"/>
        <v>693.94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75</v>
      </c>
      <c r="B67" s="193">
        <f>'Données projet'!D75</f>
        <v>15</v>
      </c>
      <c r="C67" s="204">
        <f>50*'Données projet'!E75+19.4*('Données projet'!F75+'Données projet'!G75)+15*'Données projet'!H75</f>
        <v>40.82</v>
      </c>
      <c r="D67" s="191">
        <f t="shared" si="4"/>
        <v>612.29999999999995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80</v>
      </c>
      <c r="B68" s="193">
        <f>'Données projet'!D76</f>
        <v>14</v>
      </c>
      <c r="C68" s="204">
        <f>50*'Données projet'!E76+19.4*('Données projet'!F76+'Données projet'!G76)+15*'Données projet'!H76</f>
        <v>40.82</v>
      </c>
      <c r="D68" s="191">
        <f t="shared" si="4"/>
        <v>571.48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85</v>
      </c>
      <c r="B69" s="193">
        <f>'Données projet'!D77</f>
        <v>12</v>
      </c>
      <c r="C69" s="204">
        <f>50*'Données projet'!E77+19.4*('Données projet'!F77+'Données projet'!G77)+15*'Données projet'!H77</f>
        <v>43.88</v>
      </c>
      <c r="D69" s="191">
        <f t="shared" si="4"/>
        <v>526.56000000000006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90</v>
      </c>
      <c r="B70" s="193">
        <f>'Données projet'!D78</f>
        <v>11</v>
      </c>
      <c r="C70" s="204">
        <f>50*'Données projet'!E78+19.4*('Données projet'!F78+'Données projet'!G78)+15*'Données projet'!H78</f>
        <v>43.88</v>
      </c>
      <c r="D70" s="191">
        <f t="shared" si="4"/>
        <v>482.68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95</v>
      </c>
      <c r="B71" s="193">
        <f>'Données projet'!D79</f>
        <v>10</v>
      </c>
      <c r="C71" s="204">
        <f>50*'Données projet'!E79+19.4*('Données projet'!F79+'Données projet'!G79)+15*'Données projet'!H79</f>
        <v>43.88</v>
      </c>
      <c r="D71" s="191">
        <f t="shared" si="4"/>
        <v>438.8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100</v>
      </c>
      <c r="B72" s="193">
        <f>'Données projet'!D80</f>
        <v>394</v>
      </c>
      <c r="C72" s="204">
        <f>50*'Données projet'!E80+19.4*('Données projet'!F80+'Données projet'!G80)+15*'Données projet'!H80</f>
        <v>46.94</v>
      </c>
      <c r="D72" s="191">
        <f t="shared" si="4"/>
        <v>18494.36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50*'Données projet'!E81+19.4*('Données projet'!F81+'Données projet'!G81)+15*'Données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>
        <v>4052.67</v>
      </c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44</v>
      </c>
      <c r="B85" s="193">
        <f>'Données projet'!D88</f>
        <v>74.010000000000005</v>
      </c>
      <c r="C85" s="204">
        <f>200*'Données projet'!E88+13.8*('Données projet'!F88+'Données projet'!G88)+15*'Données projet'!H88</f>
        <v>52</v>
      </c>
      <c r="D85" s="191">
        <f>B85*C85</f>
        <v>3848.5200000000004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47</v>
      </c>
      <c r="B86" s="193">
        <f>'Données projet'!D89</f>
        <v>0</v>
      </c>
      <c r="C86" s="204">
        <f>200*'Données projet'!E89+13.8*('Données projet'!F89+'Données projet'!G89)+15*'Données projet'!H89</f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51</v>
      </c>
      <c r="B87" s="193">
        <f>'Données projet'!D90</f>
        <v>46.13</v>
      </c>
      <c r="C87" s="204">
        <f>200*'Données projet'!E90+13.8*('Données projet'!F90+'Données projet'!G90)+15*'Données projet'!H90</f>
        <v>52</v>
      </c>
      <c r="D87" s="191">
        <f t="shared" si="6"/>
        <v>2398.7600000000002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54</v>
      </c>
      <c r="B88" s="193">
        <f>'Données projet'!D91</f>
        <v>0</v>
      </c>
      <c r="C88" s="204">
        <f>200*'Données projet'!E91+13.8*('Données projet'!F91+'Données projet'!G91)+15*'Données projet'!H91</f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57</v>
      </c>
      <c r="B89" s="193">
        <f>'Données projet'!D92</f>
        <v>0</v>
      </c>
      <c r="C89" s="204">
        <f>200*'Données projet'!E92+13.8*('Données projet'!F92+'Données projet'!G92)+15*'Données projet'!H92</f>
        <v>0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59</v>
      </c>
      <c r="B90" s="193">
        <f>'Données projet'!D93</f>
        <v>48.96</v>
      </c>
      <c r="C90" s="204">
        <f>200*'Données projet'!E93+13.8*('Données projet'!F93+'Données projet'!G93)+15*'Données projet'!H93</f>
        <v>52</v>
      </c>
      <c r="D90" s="191">
        <f t="shared" si="6"/>
        <v>2545.92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62</v>
      </c>
      <c r="B91" s="193">
        <f>'Données projet'!D94</f>
        <v>0</v>
      </c>
      <c r="C91" s="204">
        <f>200*'Données projet'!E94+13.8*('Données projet'!F94+'Données projet'!G94)+15*'Données projet'!H94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67</v>
      </c>
      <c r="B92" s="193">
        <f>'Données projet'!D95</f>
        <v>40.630000000000003</v>
      </c>
      <c r="C92" s="204">
        <f>200*'Données projet'!E95+13.8*('Données projet'!F95+'Données projet'!G95)+15*'Données projet'!H95</f>
        <v>70.5</v>
      </c>
      <c r="D92" s="191">
        <f t="shared" si="6"/>
        <v>2864.415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75</v>
      </c>
      <c r="B93" s="193">
        <f>'Données projet'!D96</f>
        <v>39.54</v>
      </c>
      <c r="C93" s="204">
        <f>200*'Données projet'!E96+13.8*('Données projet'!F96+'Données projet'!G96)+15*'Données projet'!H96</f>
        <v>70.5</v>
      </c>
      <c r="D93" s="191">
        <f t="shared" si="6"/>
        <v>2787.57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84</v>
      </c>
      <c r="B94" s="193">
        <f>'Données projet'!D97</f>
        <v>44.89</v>
      </c>
      <c r="C94" s="204">
        <f>200*'Données projet'!E97+13.8*('Données projet'!F97+'Données projet'!G97)+15*'Données projet'!H97</f>
        <v>89</v>
      </c>
      <c r="D94" s="191">
        <f t="shared" si="6"/>
        <v>3995.21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90</v>
      </c>
      <c r="B95" s="193">
        <f>'Données projet'!D98</f>
        <v>0</v>
      </c>
      <c r="C95" s="204">
        <f>200*'Données projet'!E98+13.8*('Données projet'!F98+'Données projet'!G98)+15*'Données projet'!H98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93</v>
      </c>
      <c r="B96" s="193">
        <f>'Données projet'!D99</f>
        <v>38.57</v>
      </c>
      <c r="C96" s="204">
        <f>200*'Données projet'!E99+13.8*('Données projet'!F99+'Données projet'!G99)+15*'Données projet'!H99</f>
        <v>89</v>
      </c>
      <c r="D96" s="191">
        <f t="shared" si="6"/>
        <v>3432.73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103</v>
      </c>
      <c r="B97" s="193">
        <f>'Données projet'!D100</f>
        <v>50.51</v>
      </c>
      <c r="C97" s="204">
        <f>200*'Données projet'!E100+13.8*('Données projet'!F100+'Données projet'!G100)+15*'Données projet'!H100</f>
        <v>107.5</v>
      </c>
      <c r="D97" s="191">
        <f t="shared" si="6"/>
        <v>5429.8249999999998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113</v>
      </c>
      <c r="B98" s="193">
        <f>'Données projet'!D101</f>
        <v>40.479999999999997</v>
      </c>
      <c r="C98" s="204">
        <f>200*'Données projet'!E101+13.8*('Données projet'!F101+'Données projet'!G101)+15*'Données projet'!H101</f>
        <v>107.5</v>
      </c>
      <c r="D98" s="191">
        <f t="shared" si="6"/>
        <v>4351.5999999999995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125</v>
      </c>
      <c r="B99" s="193">
        <f>'Données projet'!D102</f>
        <v>61.5</v>
      </c>
      <c r="C99" s="204">
        <f>200*'Données projet'!E102+13.8*('Données projet'!F102+'Données projet'!G102)+15*'Données projet'!H102</f>
        <v>126</v>
      </c>
      <c r="D99" s="191">
        <f t="shared" si="6"/>
        <v>7749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137</v>
      </c>
      <c r="B100" s="193">
        <f>'Données projet'!D103</f>
        <v>65.53</v>
      </c>
      <c r="C100" s="204">
        <f>200*'Données projet'!E103+13.8*('Données projet'!F103+'Données projet'!G103)+15*'Données projet'!H103</f>
        <v>144.5</v>
      </c>
      <c r="D100" s="191">
        <f t="shared" si="6"/>
        <v>9469.0850000000009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149</v>
      </c>
      <c r="B101" s="193">
        <f>'Données projet'!D104</f>
        <v>153.56</v>
      </c>
      <c r="C101" s="204">
        <f>200*'Données projet'!E104+13.8*('Données projet'!F104+'Données projet'!G104)+15*'Données projet'!H104</f>
        <v>144.5</v>
      </c>
      <c r="D101" s="191">
        <f t="shared" si="6"/>
        <v>22189.420000000002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153</v>
      </c>
      <c r="B102" s="193">
        <f>'Données projet'!D105</f>
        <v>89.29</v>
      </c>
      <c r="C102" s="204">
        <f>200*'Données projet'!E105+13.8*('Données projet'!F105+'Données projet'!G105)+15*'Données projet'!H105</f>
        <v>144.5</v>
      </c>
      <c r="D102" s="191">
        <f t="shared" si="6"/>
        <v>12902.405000000001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157</v>
      </c>
      <c r="B103" s="193">
        <f>'Données projet'!D106</f>
        <v>57.95</v>
      </c>
      <c r="C103" s="204">
        <f>200*'Données projet'!E106+13.8*('Données projet'!F106+'Données projet'!G106)+15*'Données projet'!H106</f>
        <v>144.5</v>
      </c>
      <c r="D103" s="191">
        <f t="shared" si="6"/>
        <v>8373.7749999999996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161</v>
      </c>
      <c r="B104" s="193">
        <f>'Données projet'!D107</f>
        <v>115.43</v>
      </c>
      <c r="C104" s="204">
        <f>200*'Données projet'!E107+13.8*('Données projet'!F107+'Données projet'!G107)+15*'Données projet'!H107</f>
        <v>163</v>
      </c>
      <c r="D104" s="191">
        <f t="shared" si="6"/>
        <v>18815.09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Châtaignier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>
        <v>3908.67</v>
      </c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10</v>
      </c>
      <c r="B116" s="193">
        <f>'Données projet'!D114</f>
        <v>0</v>
      </c>
      <c r="C116" s="204">
        <f>100*'Données projet'!E114+13.8*('Données projet'!F114+'Données projet'!G114)+15*'Données projet'!H114</f>
        <v>15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15</v>
      </c>
      <c r="B117" s="193">
        <f>'Données projet'!D115</f>
        <v>32</v>
      </c>
      <c r="C117" s="204">
        <f>100*'Données projet'!E115+13.8*('Données projet'!F115+'Données projet'!G115)+15*'Données projet'!H115</f>
        <v>15</v>
      </c>
      <c r="D117" s="191">
        <f t="shared" ref="D117:D135" si="8">B117*C117</f>
        <v>480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20</v>
      </c>
      <c r="B118" s="193">
        <f>'Données projet'!D116</f>
        <v>35</v>
      </c>
      <c r="C118" s="204">
        <f>100*'Données projet'!E116+13.8*('Données projet'!F116+'Données projet'!G116)+15*'Données projet'!H116</f>
        <v>15</v>
      </c>
      <c r="D118" s="191">
        <f t="shared" si="8"/>
        <v>525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25</v>
      </c>
      <c r="B119" s="193">
        <f>'Données projet'!D117</f>
        <v>35</v>
      </c>
      <c r="C119" s="204">
        <f>100*'Données projet'!E117+13.8*('Données projet'!F117+'Données projet'!G117)+15*'Données projet'!H117</f>
        <v>15</v>
      </c>
      <c r="D119" s="191">
        <f t="shared" si="8"/>
        <v>525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30</v>
      </c>
      <c r="B120" s="193">
        <f>'Données projet'!D118</f>
        <v>35</v>
      </c>
      <c r="C120" s="204">
        <f>100*'Données projet'!E118+13.8*('Données projet'!F118+'Données projet'!G118)+15*'Données projet'!H118</f>
        <v>15</v>
      </c>
      <c r="D120" s="191">
        <f t="shared" si="8"/>
        <v>525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35</v>
      </c>
      <c r="B121" s="193">
        <f>'Données projet'!D119</f>
        <v>35</v>
      </c>
      <c r="C121" s="204">
        <f>100*'Données projet'!E119+13.8*('Données projet'!F119+'Données projet'!G119)+15*'Données projet'!H119</f>
        <v>40.5</v>
      </c>
      <c r="D121" s="191">
        <f t="shared" si="8"/>
        <v>1417.5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40</v>
      </c>
      <c r="B122" s="193">
        <f>'Données projet'!D120</f>
        <v>35</v>
      </c>
      <c r="C122" s="204">
        <f>100*'Données projet'!E120+13.8*('Données projet'!F120+'Données projet'!G120)+15*'Données projet'!H120</f>
        <v>49</v>
      </c>
      <c r="D122" s="191">
        <f t="shared" si="8"/>
        <v>1715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45</v>
      </c>
      <c r="B123" s="193">
        <f>'Données projet'!D121</f>
        <v>24</v>
      </c>
      <c r="C123" s="204">
        <f>100*'Données projet'!E121+13.8*('Données projet'!F121+'Données projet'!G121)+15*'Données projet'!H121</f>
        <v>57.5</v>
      </c>
      <c r="D123" s="191">
        <f t="shared" si="8"/>
        <v>1380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50</v>
      </c>
      <c r="B124" s="193">
        <f>'Données projet'!D122</f>
        <v>19</v>
      </c>
      <c r="C124" s="204">
        <f>100*'Données projet'!E122+13.8*('Données projet'!F122+'Données projet'!G122)+15*'Données projet'!H122</f>
        <v>57.5</v>
      </c>
      <c r="D124" s="191">
        <f t="shared" si="8"/>
        <v>1092.5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55</v>
      </c>
      <c r="B125" s="193">
        <f>'Données projet'!D123</f>
        <v>16</v>
      </c>
      <c r="C125" s="204">
        <f>100*'Données projet'!E123+13.8*('Données projet'!F123+'Données projet'!G123)+15*'Données projet'!H123</f>
        <v>66</v>
      </c>
      <c r="D125" s="191">
        <f t="shared" si="8"/>
        <v>1056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60</v>
      </c>
      <c r="B126" s="193">
        <f>'Données projet'!D124</f>
        <v>14</v>
      </c>
      <c r="C126" s="204">
        <f>100*'Données projet'!E124+13.8*('Données projet'!F124+'Données projet'!G124)+15*'Données projet'!H124</f>
        <v>66</v>
      </c>
      <c r="D126" s="191">
        <f t="shared" si="8"/>
        <v>924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65</v>
      </c>
      <c r="B127" s="193">
        <f>'Données projet'!D125</f>
        <v>13</v>
      </c>
      <c r="C127" s="204">
        <f>100*'Données projet'!E125+13.8*('Données projet'!F125+'Données projet'!G125)+15*'Données projet'!H125</f>
        <v>74.5</v>
      </c>
      <c r="D127" s="191">
        <f t="shared" si="8"/>
        <v>968.5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70</v>
      </c>
      <c r="B128" s="193">
        <f>'Données projet'!D126</f>
        <v>13</v>
      </c>
      <c r="C128" s="204">
        <f>100*'Données projet'!E126+13.8*('Données projet'!F126+'Données projet'!G126)+15*'Données projet'!H126</f>
        <v>74.5</v>
      </c>
      <c r="D128" s="191">
        <f t="shared" si="8"/>
        <v>968.5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75</v>
      </c>
      <c r="B129" s="193">
        <f>'Données projet'!D127</f>
        <v>12</v>
      </c>
      <c r="C129" s="204">
        <f>100*'Données projet'!E127+13.8*('Données projet'!F127+'Données projet'!G127)+15*'Données projet'!H127</f>
        <v>83</v>
      </c>
      <c r="D129" s="191">
        <f t="shared" si="8"/>
        <v>996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80</v>
      </c>
      <c r="B130" s="193">
        <f>'Données projet'!D128</f>
        <v>330</v>
      </c>
      <c r="C130" s="204">
        <f>100*'Données projet'!E128+13.8*('Données projet'!F128+'Données projet'!G128)+15*'Données projet'!H128</f>
        <v>83</v>
      </c>
      <c r="D130" s="191">
        <f t="shared" si="8"/>
        <v>27390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100*'Données projet'!E129+13.8*('Données projet'!F129+'Données projet'!G129)+15*'Données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100*'Données projet'!E130+13.8*('Données projet'!F130+'Données projet'!G130)+15*'Données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100*'Données projet'!E131+13.8*('Données projet'!F131+'Données projet'!G131)+15*'Données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100*'Données projet'!E132+13.8*('Données projet'!F132+'Données projet'!G132)+15*'Données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100*'Données projet'!E133+13.8*('Données projet'!F133+'Données projet'!G133)+15*'Données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/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2025-08-28T08:49:15Z</dcterms:modified>
</cp:coreProperties>
</file>