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04_PROJETS/CHAZALLON Didier/47_Moncrabeau_13ha_TONNELLE/2.Dossier_LBC_déposé/"/>
    </mc:Choice>
  </mc:AlternateContent>
  <xr:revisionPtr revIDLastSave="48" documentId="13_ncr:1_{3F2A5001-2741-4514-B400-3DF7B501D342}" xr6:coauthVersionLast="47" xr6:coauthVersionMax="47" xr10:uidLastSave="{61192CF4-92DE-41AA-A086-7E4CCA13209E}"/>
  <bookViews>
    <workbookView xWindow="-110" yWindow="10690" windowWidth="19420" windowHeight="1150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EA4" i="2" s="1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GL4" i="2"/>
  <c r="FQ4" i="2"/>
  <c r="FR4" i="2"/>
  <c r="EC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EX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W18" i="2" l="1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EC20" i="2"/>
  <c r="HG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V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HG22" i="2"/>
  <c r="EW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W24" i="2" l="1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G28" i="2" l="1"/>
  <c r="EB28" i="2"/>
  <c r="EC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HI43" i="2"/>
  <c r="EX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HG45" i="2"/>
  <c r="EX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G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FS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X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HH57" i="2"/>
  <c r="EB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B62" i="2" s="1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G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A64" i="2"/>
  <c r="EV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HI70" i="2"/>
  <c r="EW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EC78" i="2"/>
  <c r="HI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HH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EB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EV105" i="2"/>
  <c r="FS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B107" i="2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FS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HG113" i="2"/>
  <c r="EX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EV116" i="2" s="1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EX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W122" i="2"/>
  <c r="HH122" i="2"/>
  <c r="FS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G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X128" i="2"/>
  <c r="EV128" i="2"/>
  <c r="FS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G130" i="2" l="1"/>
  <c r="HH130" i="2"/>
  <c r="EB130" i="2"/>
  <c r="EX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W133" i="2" s="1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W134" i="2"/>
  <c r="HI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FS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R140" i="2" l="1"/>
  <c r="HH140" i="2"/>
  <c r="HG140" i="2"/>
  <c r="EC140" i="2"/>
  <c r="EX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FS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G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FS146" i="2"/>
  <c r="HH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H154" i="2"/>
  <c r="EX154" i="2"/>
  <c r="AA154" i="2"/>
  <c r="EV154" i="2"/>
  <c r="EC154" i="2"/>
  <c r="EA154" i="2"/>
  <c r="ED154" i="2" s="1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DH156" i="2"/>
  <c r="EB156" i="2"/>
  <c r="FS156" i="2"/>
  <c r="EX156" i="2"/>
  <c r="H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EB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DG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A161" i="2"/>
  <c r="EB161" i="2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EB162" i="2"/>
  <c r="FS162" i="2"/>
  <c r="AU162" i="2"/>
  <c r="EX162" i="2"/>
  <c r="EA162" i="2"/>
  <c r="ED162" i="2" s="1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I163" i="2" l="1"/>
  <c r="EV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H164" i="2" l="1"/>
  <c r="FR164" i="2"/>
  <c r="EA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H165" i="2"/>
  <c r="EA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I167" i="2" l="1"/>
  <c r="FR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H168" i="2" l="1"/>
  <c r="HI168" i="2"/>
  <c r="EW168" i="2"/>
  <c r="EV168" i="2"/>
  <c r="EY168" i="2" s="1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FS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FS175" i="2"/>
  <c r="EA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FS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G179" i="2" l="1"/>
  <c r="HI179" i="2"/>
  <c r="EV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W185" i="2" l="1"/>
  <c r="HI185" i="2"/>
  <c r="EV185" i="2"/>
  <c r="EB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FS186" i="2"/>
  <c r="EW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HH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W190" i="2" l="1"/>
  <c r="HH190" i="2"/>
  <c r="EB190" i="2"/>
  <c r="EV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B192" i="2" l="1"/>
  <c r="EA192" i="2"/>
  <c r="EW192" i="2"/>
  <c r="HI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EB195" i="2" l="1"/>
  <c r="FQ195" i="2"/>
  <c r="AA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W197" i="2"/>
  <c r="EA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FS199" i="2"/>
  <c r="EW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FS201" i="2" l="1"/>
  <c r="EB201" i="2"/>
  <c r="HG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I202" i="2" l="1"/>
  <c r="FZ6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54" i="2" a="1"/>
  <c r="FY54" i="2" s="1"/>
  <c r="FY18" i="2" a="1"/>
  <c r="FY18" i="2" s="1"/>
  <c r="FY71" i="2" a="1"/>
  <c r="FY71" i="2" s="1"/>
  <c r="FY186" i="2" a="1"/>
  <c r="FY186" i="2" s="1"/>
  <c r="FY152" i="2" a="1"/>
  <c r="FY152" i="2" s="1"/>
  <c r="FY55" i="2" a="1"/>
  <c r="FY55" i="2" s="1"/>
  <c r="FY178" i="2" a="1"/>
  <c r="FY178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2" i="2" a="1"/>
  <c r="DN152" i="2" s="1"/>
  <c r="DN66" i="2" a="1"/>
  <c r="DN66" i="2" s="1"/>
  <c r="EI195" i="2" a="1"/>
  <c r="EI195" i="2" s="1"/>
  <c r="AH151" i="2" a="1"/>
  <c r="AH151" i="2" s="1"/>
  <c r="CS77" i="2" a="1"/>
  <c r="CS77" i="2" s="1"/>
  <c r="AH90" i="2" a="1"/>
  <c r="AH90" i="2" s="1"/>
  <c r="AH19" i="2" a="1"/>
  <c r="AH19" i="2" s="1"/>
  <c r="CS38" i="2" a="1"/>
  <c r="CS38" i="2" s="1"/>
  <c r="FY182" i="2" a="1"/>
  <c r="FY182" i="2" s="1"/>
  <c r="FY82" i="2" a="1"/>
  <c r="FY82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31" i="2" a="1"/>
  <c r="DN31" i="2" s="1"/>
  <c r="DN6" i="2" a="1"/>
  <c r="DN6" i="2" s="1"/>
  <c r="DO6" i="2" s="1"/>
  <c r="CS24" i="2" a="1"/>
  <c r="CS24" i="2" s="1"/>
  <c r="FD82" i="2" a="1"/>
  <c r="FD82" i="2" s="1"/>
  <c r="HJ202" i="2"/>
  <c r="EY202" i="2"/>
  <c r="AX200" i="2"/>
  <c r="BC82" i="2" l="1" a="1"/>
  <c r="BC82" i="2" s="1"/>
  <c r="BP203" i="2"/>
  <c r="FY109" i="2" a="1"/>
  <c r="FY109" i="2" s="1"/>
  <c r="DN177" i="2" a="1"/>
  <c r="DN177" i="2" s="1"/>
  <c r="FY164" i="2" a="1"/>
  <c r="FY164" i="2" s="1"/>
  <c r="DN103" i="2" a="1"/>
  <c r="DN103" i="2" s="1"/>
  <c r="FY143" i="2" a="1"/>
  <c r="FY143" i="2" s="1"/>
  <c r="FY121" i="2" a="1"/>
  <c r="FY121" i="2" s="1"/>
  <c r="FY191" i="2" a="1"/>
  <c r="FY191" i="2" s="1"/>
  <c r="DN187" i="2" a="1"/>
  <c r="DN187" i="2" s="1"/>
  <c r="CS137" i="2" a="1"/>
  <c r="CS137" i="2" s="1"/>
  <c r="DN133" i="2" a="1"/>
  <c r="DN133" i="2" s="1"/>
  <c r="DN38" i="2" a="1"/>
  <c r="DN38" i="2" s="1"/>
  <c r="FY142" i="2" a="1"/>
  <c r="FY142" i="2" s="1"/>
  <c r="CS161" i="2" a="1"/>
  <c r="CS161" i="2" s="1"/>
  <c r="DN123" i="2" a="1"/>
  <c r="DN123" i="2" s="1"/>
  <c r="DN129" i="2" a="1"/>
  <c r="DN129" i="2" s="1"/>
  <c r="CS52" i="2" a="1"/>
  <c r="CS52" i="2" s="1"/>
  <c r="FY169" i="2" a="1"/>
  <c r="FY169" i="2" s="1"/>
  <c r="FY99" i="2" a="1"/>
  <c r="FY99" i="2" s="1"/>
  <c r="FY153" i="2" a="1"/>
  <c r="FY153" i="2" s="1"/>
  <c r="FY146" i="2" a="1"/>
  <c r="FY146" i="2" s="1"/>
  <c r="DN167" i="2" a="1"/>
  <c r="DN167" i="2" s="1"/>
  <c r="DN188" i="2" a="1"/>
  <c r="DN188" i="2" s="1"/>
  <c r="FY173" i="2" a="1"/>
  <c r="FY173" i="2" s="1"/>
  <c r="DN162" i="2" a="1"/>
  <c r="DN162" i="2" s="1"/>
  <c r="DN43" i="2" a="1"/>
  <c r="DN43" i="2" s="1"/>
  <c r="FY159" i="2" a="1"/>
  <c r="FY159" i="2" s="1"/>
  <c r="DN49" i="2" a="1"/>
  <c r="DN49" i="2" s="1"/>
  <c r="DN186" i="2" a="1"/>
  <c r="DN186" i="2" s="1"/>
  <c r="FY35" i="2" a="1"/>
  <c r="FY35" i="2" s="1"/>
  <c r="DN135" i="2" a="1"/>
  <c r="DN135" i="2" s="1"/>
  <c r="CS129" i="2" a="1"/>
  <c r="CS129" i="2" s="1"/>
  <c r="FY174" i="2" a="1"/>
  <c r="FY174" i="2" s="1"/>
  <c r="DN65" i="2" a="1"/>
  <c r="DN65" i="2" s="1"/>
  <c r="CS120" i="2" a="1"/>
  <c r="CS120" i="2" s="1"/>
  <c r="FY80" i="2" a="1"/>
  <c r="FY80" i="2" s="1"/>
  <c r="AH163" i="2" a="1"/>
  <c r="AH163" i="2" s="1"/>
  <c r="DN50" i="2" a="1"/>
  <c r="DN50" i="2" s="1"/>
  <c r="DN124" i="2" a="1"/>
  <c r="DN124" i="2" s="1"/>
  <c r="FY62" i="2" a="1"/>
  <c r="FY62" i="2" s="1"/>
  <c r="FY116" i="2" a="1"/>
  <c r="FY116" i="2" s="1"/>
  <c r="FY102" i="2" a="1"/>
  <c r="FY102" i="2" s="1"/>
  <c r="FY32" i="2" a="1"/>
  <c r="FY32" i="2" s="1"/>
  <c r="FS203" i="2"/>
  <c r="DN29" i="2" a="1"/>
  <c r="DN29" i="2" s="1"/>
  <c r="FY115" i="2" a="1"/>
  <c r="FY115" i="2" s="1"/>
  <c r="FY133" i="2" a="1"/>
  <c r="FY133" i="2" s="1"/>
  <c r="FY86" i="2" a="1"/>
  <c r="FY86" i="2" s="1"/>
  <c r="FY79" i="2" a="1"/>
  <c r="FY79" i="2" s="1"/>
  <c r="FY58" i="2" a="1"/>
  <c r="FY58" i="2" s="1"/>
  <c r="FY29" i="2" a="1"/>
  <c r="FY29" i="2" s="1"/>
  <c r="FY24" i="2" a="1"/>
  <c r="FY24" i="2" s="1"/>
  <c r="FY167" i="2" a="1"/>
  <c r="FY167" i="2" s="1"/>
  <c r="FY110" i="2" a="1"/>
  <c r="FY110" i="2" s="1"/>
  <c r="CS114" i="2" a="1"/>
  <c r="CS114" i="2" s="1"/>
  <c r="DN70" i="2" a="1"/>
  <c r="DN70" i="2" s="1"/>
  <c r="CS56" i="2" a="1"/>
  <c r="CS56" i="2" s="1"/>
  <c r="DN63" i="2" a="1"/>
  <c r="DN63" i="2" s="1"/>
  <c r="FY30" i="2" a="1"/>
  <c r="FY30" i="2" s="1"/>
  <c r="AH62" i="2" a="1"/>
  <c r="AH62" i="2" s="1"/>
  <c r="CS116" i="2" a="1"/>
  <c r="CS116" i="2" s="1"/>
  <c r="DN113" i="2" a="1"/>
  <c r="DN113" i="2" s="1"/>
  <c r="CS66" i="2" a="1"/>
  <c r="CS66" i="2" s="1"/>
  <c r="FY190" i="2" a="1"/>
  <c r="FY190" i="2" s="1"/>
  <c r="FY92" i="2" a="1"/>
  <c r="FY92" i="2" s="1"/>
  <c r="FY69" i="2" a="1"/>
  <c r="FY69" i="2" s="1"/>
  <c r="FY22" i="2" a="1"/>
  <c r="FY22" i="2" s="1"/>
  <c r="DN30" i="2" a="1"/>
  <c r="DN30" i="2" s="1"/>
  <c r="DN86" i="2" a="1"/>
  <c r="DN86" i="2" s="1"/>
  <c r="FY34" i="2" a="1"/>
  <c r="FY34" i="2" s="1"/>
  <c r="FY188" i="2" a="1"/>
  <c r="FY188" i="2" s="1"/>
  <c r="DN115" i="2" a="1"/>
  <c r="DN115" i="2" s="1"/>
  <c r="FY149" i="2" a="1"/>
  <c r="FY149" i="2" s="1"/>
  <c r="FY47" i="2" a="1"/>
  <c r="FY47" i="2" s="1"/>
  <c r="DN176" i="2" a="1"/>
  <c r="DN176" i="2" s="1"/>
  <c r="DN153" i="2" a="1"/>
  <c r="DN153" i="2" s="1"/>
  <c r="CS105" i="2" a="1"/>
  <c r="CS105" i="2" s="1"/>
  <c r="FY165" i="2" a="1"/>
  <c r="FY165" i="2" s="1"/>
  <c r="CS72" i="2" a="1"/>
  <c r="CS72" i="2" s="1"/>
  <c r="DN45" i="2" a="1"/>
  <c r="DN45" i="2" s="1"/>
  <c r="DN55" i="2" a="1"/>
  <c r="DN55" i="2" s="1"/>
  <c r="DN80" i="2" a="1"/>
  <c r="DN80" i="2" s="1"/>
  <c r="FY42" i="2" a="1"/>
  <c r="FY42" i="2" s="1"/>
  <c r="AH199" i="2" a="1"/>
  <c r="AH199" i="2" s="1"/>
  <c r="DN150" i="2" a="1"/>
  <c r="DN150" i="2" s="1"/>
  <c r="DN25" i="2" a="1"/>
  <c r="DN25" i="2" s="1"/>
  <c r="DN155" i="2" a="1"/>
  <c r="DN155" i="2" s="1"/>
  <c r="DN56" i="2" a="1"/>
  <c r="DN56" i="2" s="1"/>
  <c r="FY72" i="2" a="1"/>
  <c r="FY72" i="2" s="1"/>
  <c r="FY111" i="2" a="1"/>
  <c r="FY111" i="2" s="1"/>
  <c r="FY66" i="2" a="1"/>
  <c r="FY66" i="2" s="1"/>
  <c r="FY90" i="2" a="1"/>
  <c r="FY90" i="2" s="1"/>
  <c r="DN132" i="2" a="1"/>
  <c r="DN132" i="2" s="1"/>
  <c r="DN16" i="2" a="1"/>
  <c r="DN16" i="2" s="1"/>
  <c r="DN41" i="2" a="1"/>
  <c r="DN41" i="2" s="1"/>
  <c r="FY126" i="2" a="1"/>
  <c r="FY126" i="2" s="1"/>
  <c r="DN46" i="2" a="1"/>
  <c r="DN46" i="2" s="1"/>
  <c r="DN114" i="2" a="1"/>
  <c r="DN114" i="2" s="1"/>
  <c r="FY140" i="2" a="1"/>
  <c r="FY140" i="2" s="1"/>
  <c r="FY28" i="2" a="1"/>
  <c r="FY28" i="2" s="1"/>
  <c r="DN164" i="2" a="1"/>
  <c r="DN164" i="2" s="1"/>
  <c r="DN137" i="2" a="1"/>
  <c r="DN137" i="2" s="1"/>
  <c r="FY78" i="2" a="1"/>
  <c r="FY78" i="2" s="1"/>
  <c r="DN190" i="2" a="1"/>
  <c r="DN190" i="2" s="1"/>
  <c r="DN170" i="2" a="1"/>
  <c r="DN170" i="2" s="1"/>
  <c r="FY124" i="2" a="1"/>
  <c r="FY124" i="2" s="1"/>
  <c r="BX107" i="2" a="1"/>
  <c r="BX107" i="2" s="1"/>
  <c r="CS134" i="2" a="1"/>
  <c r="CS134" i="2" s="1"/>
  <c r="DN110" i="2" a="1"/>
  <c r="DN110" i="2" s="1"/>
  <c r="CS185" i="2" a="1"/>
  <c r="CS185" i="2" s="1"/>
  <c r="FY196" i="2" a="1"/>
  <c r="FY196" i="2" s="1"/>
  <c r="AH166" i="2" a="1"/>
  <c r="AH166" i="2" s="1"/>
  <c r="DN192" i="2" a="1"/>
  <c r="DN192" i="2" s="1"/>
  <c r="DN184" i="2" a="1"/>
  <c r="DN184" i="2" s="1"/>
  <c r="AH92" i="2" a="1"/>
  <c r="AH92" i="2" s="1"/>
  <c r="FY73" i="2" a="1"/>
  <c r="FY73" i="2" s="1"/>
  <c r="FY120" i="2" a="1"/>
  <c r="FY120" i="2" s="1"/>
  <c r="FY57" i="2" a="1"/>
  <c r="FY57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Z9" i="2" s="1"/>
  <c r="FZ10" i="2" s="1"/>
  <c r="FZ11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N203" i="2" s="1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<sst xmlns="http://schemas.openxmlformats.org/spreadsheetml/2006/main" count="1175" uniqueCount="325">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</sst>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0.58953545646096461</c:v>
                </c:pt>
                <c:pt idx="2">
                  <c:v>0.26241922005711332</c:v>
                </c:pt>
                <c:pt idx="3">
                  <c:v>2.9714621485688064</c:v>
                </c:pt>
                <c:pt idx="4">
                  <c:v>8.2862705749171095</c:v>
                </c:pt>
                <c:pt idx="5">
                  <c:v>15.949283791614382</c:v>
                </c:pt>
                <c:pt idx="6">
                  <c:v>25.744686853540628</c:v>
                </c:pt>
                <c:pt idx="7">
                  <c:v>37.47372101639511</c:v>
                </c:pt>
                <c:pt idx="8">
                  <c:v>50.947030356481626</c:v>
                </c:pt>
                <c:pt idx="9">
                  <c:v>65.98122781273662</c:v>
                </c:pt>
                <c:pt idx="10">
                  <c:v>82.397049125160876</c:v>
                </c:pt>
                <c:pt idx="11">
                  <c:v>100.01824202511391</c:v>
                </c:pt>
                <c:pt idx="12">
                  <c:v>118.67084325389196</c:v>
                </c:pt>
                <c:pt idx="13">
                  <c:v>138.18267957981183</c:v>
                </c:pt>
                <c:pt idx="14">
                  <c:v>158.38300715079481</c:v>
                </c:pt>
                <c:pt idx="15">
                  <c:v>179.10224076684889</c:v>
                </c:pt>
                <c:pt idx="16">
                  <c:v>200.1717439783115</c:v>
                </c:pt>
                <c:pt idx="17">
                  <c:v>221.42366162690371</c:v>
                </c:pt>
                <c:pt idx="18">
                  <c:v>242.69078270909122</c:v>
                </c:pt>
                <c:pt idx="19">
                  <c:v>263.80642526364375</c:v>
                </c:pt>
                <c:pt idx="20">
                  <c:v>284.60433740007062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0.64836806808158676</c:v>
                </c:pt>
                <c:pt idx="2">
                  <c:v>0.28853132644910146</c:v>
                </c:pt>
                <c:pt idx="3">
                  <c:v>3.2696364306593857</c:v>
                </c:pt>
                <c:pt idx="4">
                  <c:v>9.1204837607121405</c:v>
                </c:pt>
                <c:pt idx="5">
                  <c:v>17.558158044400567</c:v>
                </c:pt>
                <c:pt idx="6">
                  <c:v>28.345314343852834</c:v>
                </c:pt>
                <c:pt idx="7">
                  <c:v>41.263226539724691</c:v>
                </c:pt>
                <c:pt idx="8">
                  <c:v>56.103432780332525</c:v>
                </c:pt>
                <c:pt idx="9">
                  <c:v>72.663986918829451</c:v>
                </c:pt>
                <c:pt idx="10">
                  <c:v>90.747443323205076</c:v>
                </c:pt>
                <c:pt idx="11">
                  <c:v>110.15964429884546</c:v>
                </c:pt>
                <c:pt idx="12">
                  <c:v>130.70893087058025</c:v>
                </c:pt>
                <c:pt idx="13">
                  <c:v>152.20559808504061</c:v>
                </c:pt>
                <c:pt idx="14">
                  <c:v>174.46150132223727</c:v>
                </c:pt>
                <c:pt idx="15">
                  <c:v>197.28976076512072</c:v>
                </c:pt>
                <c:pt idx="16">
                  <c:v>220.50453226750392</c:v>
                </c:pt>
                <c:pt idx="17">
                  <c:v>243.9208245532287</c:v>
                </c:pt>
                <c:pt idx="18">
                  <c:v>267.35434951564264</c:v>
                </c:pt>
                <c:pt idx="19">
                  <c:v>290.62139655903781</c:v>
                </c:pt>
                <c:pt idx="20">
                  <c:v>313.53872455972697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0.64836806808158676</c:v>
                </c:pt>
                <c:pt idx="2">
                  <c:v>0.28853132644910146</c:v>
                </c:pt>
                <c:pt idx="3">
                  <c:v>3.2696364306593857</c:v>
                </c:pt>
                <c:pt idx="4">
                  <c:v>9.1204837607121405</c:v>
                </c:pt>
                <c:pt idx="5">
                  <c:v>17.558158044400567</c:v>
                </c:pt>
                <c:pt idx="6">
                  <c:v>28.345314343852834</c:v>
                </c:pt>
                <c:pt idx="7">
                  <c:v>41.263226539724691</c:v>
                </c:pt>
                <c:pt idx="8">
                  <c:v>56.103432780332525</c:v>
                </c:pt>
                <c:pt idx="9">
                  <c:v>72.663986918829451</c:v>
                </c:pt>
                <c:pt idx="10">
                  <c:v>90.747443323205076</c:v>
                </c:pt>
                <c:pt idx="11">
                  <c:v>110.15964429884546</c:v>
                </c:pt>
                <c:pt idx="12">
                  <c:v>130.70893087058025</c:v>
                </c:pt>
                <c:pt idx="13">
                  <c:v>152.20559808504061</c:v>
                </c:pt>
                <c:pt idx="14">
                  <c:v>174.46150132223727</c:v>
                </c:pt>
                <c:pt idx="15">
                  <c:v>197.28976076512072</c:v>
                </c:pt>
                <c:pt idx="16">
                  <c:v>220.50453226750392</c:v>
                </c:pt>
                <c:pt idx="17">
                  <c:v>243.9208245532287</c:v>
                </c:pt>
                <c:pt idx="18">
                  <c:v>267.35434951564264</c:v>
                </c:pt>
                <c:pt idx="19">
                  <c:v>290.62139655903781</c:v>
                </c:pt>
                <c:pt idx="20">
                  <c:v>313.53872455972697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K90" sqref="K90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12.5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112</v>
      </c>
      <c r="C9" s="32">
        <v>0.33300000000000002</v>
      </c>
      <c r="D9" s="33">
        <f t="shared" ref="D9:D18" si="0">C9*$C$5</f>
        <v>4.1625000000000005</v>
      </c>
      <c r="E9" s="34">
        <v>20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117</v>
      </c>
      <c r="C10" s="32">
        <v>0.33300000000000002</v>
      </c>
      <c r="D10" s="33">
        <f t="shared" si="0"/>
        <v>4.1625000000000005</v>
      </c>
      <c r="E10" s="34">
        <v>20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117</v>
      </c>
      <c r="C11" s="32">
        <v>0.33300000000000002</v>
      </c>
      <c r="D11" s="33">
        <f t="shared" si="0"/>
        <v>4.1625000000000005</v>
      </c>
      <c r="E11" s="34">
        <v>20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0.99900000000000011</v>
      </c>
      <c r="D19" s="38">
        <f>SUM(D9:D18)</f>
        <v>12.487500000000001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0.05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Peuplier Koster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2</v>
      </c>
      <c r="B36" s="60">
        <v>0.18435897435897397</v>
      </c>
      <c r="C36" s="60">
        <v>0</v>
      </c>
      <c r="D36" s="60">
        <v>0</v>
      </c>
      <c r="E36" s="51">
        <v>0</v>
      </c>
      <c r="F36" s="51">
        <v>0</v>
      </c>
      <c r="G36" s="51">
        <v>0</v>
      </c>
      <c r="H36" s="51">
        <v>0</v>
      </c>
      <c r="I36" s="49">
        <f>IFERROR(B36/A36,"")</f>
        <v>9.2179487179486985E-2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3</v>
      </c>
      <c r="B37" s="60">
        <v>2.31</v>
      </c>
      <c r="C37" s="60">
        <v>0</v>
      </c>
      <c r="D37" s="60">
        <v>0</v>
      </c>
      <c r="E37" s="51">
        <v>0</v>
      </c>
      <c r="F37" s="51">
        <v>0</v>
      </c>
      <c r="G37" s="51">
        <v>0</v>
      </c>
      <c r="H37" s="51">
        <v>0</v>
      </c>
      <c r="I37" s="53">
        <f t="shared" ref="I37:I55" si="1">IF(A37&lt;&gt;0,(B37-(B36-D36))/(A37-A36),"")</f>
        <v>2.1256410256410261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4</v>
      </c>
      <c r="B38" s="60">
        <v>6.6838461538461518</v>
      </c>
      <c r="C38" s="60">
        <v>0</v>
      </c>
      <c r="D38" s="60">
        <v>0</v>
      </c>
      <c r="E38" s="51">
        <v>0</v>
      </c>
      <c r="F38" s="51">
        <v>0</v>
      </c>
      <c r="G38" s="51">
        <v>0</v>
      </c>
      <c r="H38" s="51">
        <v>0</v>
      </c>
      <c r="I38" s="53">
        <f t="shared" si="1"/>
        <v>4.3738461538461522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5</v>
      </c>
      <c r="B39" s="60">
        <v>13.14935897435897</v>
      </c>
      <c r="C39" s="60">
        <v>0</v>
      </c>
      <c r="D39" s="60">
        <v>0</v>
      </c>
      <c r="E39" s="51">
        <v>0</v>
      </c>
      <c r="F39" s="51">
        <v>0</v>
      </c>
      <c r="G39" s="51">
        <v>0</v>
      </c>
      <c r="H39" s="51">
        <v>0</v>
      </c>
      <c r="I39" s="49">
        <f t="shared" si="1"/>
        <v>6.4655128205128181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6</v>
      </c>
      <c r="B40" s="60">
        <v>21.549999999999997</v>
      </c>
      <c r="C40" s="60">
        <v>0</v>
      </c>
      <c r="D40" s="60">
        <v>0</v>
      </c>
      <c r="E40" s="51">
        <v>0</v>
      </c>
      <c r="F40" s="51">
        <v>0</v>
      </c>
      <c r="G40" s="51">
        <v>0</v>
      </c>
      <c r="H40" s="51">
        <v>0</v>
      </c>
      <c r="I40" s="49">
        <f t="shared" si="1"/>
        <v>8.4006410256410273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7</v>
      </c>
      <c r="B41" s="60">
        <v>31.729230769230764</v>
      </c>
      <c r="C41" s="60">
        <v>0</v>
      </c>
      <c r="D41" s="60">
        <v>0</v>
      </c>
      <c r="E41" s="51">
        <v>0</v>
      </c>
      <c r="F41" s="51">
        <v>0</v>
      </c>
      <c r="G41" s="51">
        <v>0</v>
      </c>
      <c r="H41" s="51">
        <v>0</v>
      </c>
      <c r="I41" s="53">
        <f t="shared" si="1"/>
        <v>10.179230769230767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8</v>
      </c>
      <c r="B42" s="60">
        <v>43.530512820512811</v>
      </c>
      <c r="C42" s="60">
        <v>0</v>
      </c>
      <c r="D42" s="60">
        <v>0</v>
      </c>
      <c r="E42" s="51">
        <v>0</v>
      </c>
      <c r="F42" s="51">
        <v>0</v>
      </c>
      <c r="G42" s="51">
        <v>0</v>
      </c>
      <c r="H42" s="51">
        <v>0</v>
      </c>
      <c r="I42" s="53">
        <f t="shared" si="1"/>
        <v>11.801282051282048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9</v>
      </c>
      <c r="B43" s="60">
        <v>56.797307692307676</v>
      </c>
      <c r="C43" s="60">
        <v>0</v>
      </c>
      <c r="D43" s="60">
        <v>0</v>
      </c>
      <c r="E43" s="51">
        <v>0</v>
      </c>
      <c r="F43" s="51">
        <v>0</v>
      </c>
      <c r="G43" s="51">
        <v>0</v>
      </c>
      <c r="H43" s="51">
        <v>0</v>
      </c>
      <c r="I43" s="49">
        <f t="shared" si="1"/>
        <v>13.266794871794865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>
        <v>10</v>
      </c>
      <c r="B44" s="60">
        <v>71.373076923076894</v>
      </c>
      <c r="C44" s="60">
        <v>0</v>
      </c>
      <c r="D44" s="60">
        <v>0</v>
      </c>
      <c r="E44" s="51">
        <v>0</v>
      </c>
      <c r="F44" s="51">
        <v>0</v>
      </c>
      <c r="G44" s="51">
        <v>0</v>
      </c>
      <c r="H44" s="51">
        <v>0</v>
      </c>
      <c r="I44" s="49">
        <f t="shared" si="1"/>
        <v>14.575769230769218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>
        <v>11</v>
      </c>
      <c r="B45" s="60">
        <v>87.101282051282055</v>
      </c>
      <c r="C45" s="60">
        <v>0</v>
      </c>
      <c r="D45" s="60">
        <v>0</v>
      </c>
      <c r="E45" s="51">
        <v>0</v>
      </c>
      <c r="F45" s="51">
        <v>0</v>
      </c>
      <c r="G45" s="51">
        <v>0</v>
      </c>
      <c r="H45" s="51">
        <v>0</v>
      </c>
      <c r="I45" s="49">
        <f t="shared" si="1"/>
        <v>15.728205128205161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>
        <v>12</v>
      </c>
      <c r="B46" s="60">
        <v>103.82538461538462</v>
      </c>
      <c r="C46" s="60">
        <v>0</v>
      </c>
      <c r="D46" s="60">
        <v>0</v>
      </c>
      <c r="E46" s="51">
        <v>0</v>
      </c>
      <c r="F46" s="51">
        <v>0</v>
      </c>
      <c r="G46" s="51">
        <v>0</v>
      </c>
      <c r="H46" s="51">
        <v>0</v>
      </c>
      <c r="I46" s="49">
        <f t="shared" si="1"/>
        <v>16.724102564102566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>
        <v>13</v>
      </c>
      <c r="B47" s="60">
        <v>121.38884615384613</v>
      </c>
      <c r="C47" s="60">
        <v>0</v>
      </c>
      <c r="D47" s="60">
        <v>0</v>
      </c>
      <c r="E47" s="51">
        <v>0</v>
      </c>
      <c r="F47" s="51">
        <v>0</v>
      </c>
      <c r="G47" s="51">
        <v>0</v>
      </c>
      <c r="H47" s="51">
        <v>0</v>
      </c>
      <c r="I47" s="49">
        <f t="shared" si="1"/>
        <v>17.56346153846151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>
        <v>14</v>
      </c>
      <c r="B48" s="60">
        <v>139.63512820512813</v>
      </c>
      <c r="C48" s="60">
        <v>0</v>
      </c>
      <c r="D48" s="60">
        <v>0</v>
      </c>
      <c r="E48" s="51">
        <v>0</v>
      </c>
      <c r="F48" s="51">
        <v>0</v>
      </c>
      <c r="G48" s="51">
        <v>0</v>
      </c>
      <c r="H48" s="51">
        <v>0</v>
      </c>
      <c r="I48" s="49">
        <f t="shared" si="1"/>
        <v>18.246282051281995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>
        <v>15</v>
      </c>
      <c r="B49" s="60">
        <v>158.40769230769226</v>
      </c>
      <c r="C49" s="60">
        <v>0</v>
      </c>
      <c r="D49" s="60">
        <v>0</v>
      </c>
      <c r="E49" s="51">
        <v>0</v>
      </c>
      <c r="F49" s="51">
        <v>0</v>
      </c>
      <c r="G49" s="51">
        <v>0</v>
      </c>
      <c r="H49" s="51">
        <v>0</v>
      </c>
      <c r="I49" s="49">
        <f t="shared" si="1"/>
        <v>18.772564102564132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>
        <v>16</v>
      </c>
      <c r="B50" s="50">
        <v>177.54999999999995</v>
      </c>
      <c r="C50" s="50">
        <v>0</v>
      </c>
      <c r="D50" s="50">
        <v>0</v>
      </c>
      <c r="E50" s="51">
        <v>0</v>
      </c>
      <c r="F50" s="51">
        <v>0</v>
      </c>
      <c r="G50" s="51">
        <v>0</v>
      </c>
      <c r="H50" s="51">
        <v>0</v>
      </c>
      <c r="I50" s="49">
        <f t="shared" si="1"/>
        <v>19.142307692307696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>
        <v>17</v>
      </c>
      <c r="B51" s="50">
        <v>196.90551282051274</v>
      </c>
      <c r="C51" s="50">
        <v>0</v>
      </c>
      <c r="D51" s="50">
        <v>0</v>
      </c>
      <c r="E51" s="51">
        <v>0</v>
      </c>
      <c r="F51" s="51">
        <v>0</v>
      </c>
      <c r="G51" s="51">
        <v>0</v>
      </c>
      <c r="H51" s="51">
        <v>0</v>
      </c>
      <c r="I51" s="49">
        <f t="shared" si="1"/>
        <v>19.355512820512786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>
        <v>18</v>
      </c>
      <c r="B52" s="50">
        <v>216.31769230769225</v>
      </c>
      <c r="C52" s="50">
        <v>0</v>
      </c>
      <c r="D52" s="50">
        <v>0</v>
      </c>
      <c r="E52" s="51">
        <v>0</v>
      </c>
      <c r="F52" s="51">
        <v>0</v>
      </c>
      <c r="G52" s="51">
        <v>0</v>
      </c>
      <c r="H52" s="51">
        <v>0</v>
      </c>
      <c r="I52" s="49">
        <f t="shared" si="1"/>
        <v>19.412179487179515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>
        <v>19</v>
      </c>
      <c r="B53" s="50">
        <v>235.63</v>
      </c>
      <c r="C53" s="50">
        <v>0</v>
      </c>
      <c r="D53" s="50">
        <v>0</v>
      </c>
      <c r="E53" s="51">
        <v>0</v>
      </c>
      <c r="F53" s="51">
        <v>0</v>
      </c>
      <c r="G53" s="51">
        <v>0</v>
      </c>
      <c r="H53" s="51">
        <v>0</v>
      </c>
      <c r="I53" s="49">
        <f t="shared" si="1"/>
        <v>19.312307692307741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>
        <v>20</v>
      </c>
      <c r="B54" s="50">
        <v>254.68589743589735</v>
      </c>
      <c r="C54" s="50" t="s">
        <v>324</v>
      </c>
      <c r="D54" s="50">
        <v>254.68589743589735</v>
      </c>
      <c r="E54" s="51">
        <v>0.7</v>
      </c>
      <c r="F54" s="51">
        <v>0.15</v>
      </c>
      <c r="G54" s="51">
        <v>0.15</v>
      </c>
      <c r="H54" s="51">
        <v>0</v>
      </c>
      <c r="I54" s="49">
        <f t="shared" si="1"/>
        <v>19.05589743589735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Peuplier Soligo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2</v>
      </c>
      <c r="B62" s="60">
        <v>0.18435897435897397</v>
      </c>
      <c r="C62" s="60">
        <v>0</v>
      </c>
      <c r="D62" s="60">
        <v>0</v>
      </c>
      <c r="E62" s="51">
        <v>0</v>
      </c>
      <c r="F62" s="51">
        <v>0</v>
      </c>
      <c r="G62" s="51">
        <v>0</v>
      </c>
      <c r="H62" s="51">
        <v>0</v>
      </c>
      <c r="I62" s="53">
        <f>IFERROR(B62/A62,"")</f>
        <v>9.2179487179486985E-2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3</v>
      </c>
      <c r="B63" s="60">
        <v>2.31</v>
      </c>
      <c r="C63" s="60">
        <v>0</v>
      </c>
      <c r="D63" s="60">
        <v>0</v>
      </c>
      <c r="E63" s="51">
        <v>0</v>
      </c>
      <c r="F63" s="51">
        <v>0</v>
      </c>
      <c r="G63" s="51">
        <v>0</v>
      </c>
      <c r="H63" s="51">
        <v>0</v>
      </c>
      <c r="I63" s="49">
        <f>IF(A63&lt;&gt;0,(B63-(B62-D62))/(A63-A62),"")</f>
        <v>2.1256410256410261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4</v>
      </c>
      <c r="B64" s="60">
        <v>6.6838461538461518</v>
      </c>
      <c r="C64" s="60">
        <v>0</v>
      </c>
      <c r="D64" s="60">
        <v>0</v>
      </c>
      <c r="E64" s="51">
        <v>0</v>
      </c>
      <c r="F64" s="51">
        <v>0</v>
      </c>
      <c r="G64" s="51">
        <v>0</v>
      </c>
      <c r="H64" s="51">
        <v>0</v>
      </c>
      <c r="I64" s="49">
        <f>IF(A64&lt;&gt;0,(B64-(B63-D63))/(A64-A63),"")</f>
        <v>4.3738461538461522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5</v>
      </c>
      <c r="B65" s="60">
        <v>13.14935897435897</v>
      </c>
      <c r="C65" s="60">
        <v>0</v>
      </c>
      <c r="D65" s="60">
        <v>0</v>
      </c>
      <c r="E65" s="51">
        <v>0</v>
      </c>
      <c r="F65" s="51">
        <v>0</v>
      </c>
      <c r="G65" s="51">
        <v>0</v>
      </c>
      <c r="H65" s="51">
        <v>0</v>
      </c>
      <c r="I65" s="49">
        <f>IF(A65&lt;&gt;0,(B65-(B64-D64))/(A65-A64),"")</f>
        <v>6.4655128205128181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6</v>
      </c>
      <c r="B66" s="60">
        <v>21.549999999999997</v>
      </c>
      <c r="C66" s="60">
        <v>0</v>
      </c>
      <c r="D66" s="60">
        <v>0</v>
      </c>
      <c r="E66" s="51">
        <v>0</v>
      </c>
      <c r="F66" s="51">
        <v>0</v>
      </c>
      <c r="G66" s="51">
        <v>0</v>
      </c>
      <c r="H66" s="51">
        <v>0</v>
      </c>
      <c r="I66" s="49">
        <f t="shared" ref="I66:I81" si="2">IF(A66&lt;&gt;0,(B66-(B65-D65))/(A66-A65),"")</f>
        <v>8.4006410256410273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7</v>
      </c>
      <c r="B67" s="60">
        <v>31.729230769230764</v>
      </c>
      <c r="C67" s="60">
        <v>0</v>
      </c>
      <c r="D67" s="60">
        <v>0</v>
      </c>
      <c r="E67" s="51">
        <v>0</v>
      </c>
      <c r="F67" s="51">
        <v>0</v>
      </c>
      <c r="G67" s="51">
        <v>0</v>
      </c>
      <c r="H67" s="51">
        <v>0</v>
      </c>
      <c r="I67" s="49">
        <f t="shared" si="2"/>
        <v>10.179230769230767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8</v>
      </c>
      <c r="B68" s="60">
        <v>43.530512820512811</v>
      </c>
      <c r="C68" s="60">
        <v>0</v>
      </c>
      <c r="D68" s="60">
        <v>0</v>
      </c>
      <c r="E68" s="51">
        <v>0</v>
      </c>
      <c r="F68" s="51">
        <v>0</v>
      </c>
      <c r="G68" s="51">
        <v>0</v>
      </c>
      <c r="H68" s="51">
        <v>0</v>
      </c>
      <c r="I68" s="49">
        <f t="shared" si="2"/>
        <v>11.801282051282048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9</v>
      </c>
      <c r="B69" s="50">
        <v>56.797307692307676</v>
      </c>
      <c r="C69" s="50">
        <v>0</v>
      </c>
      <c r="D69" s="50">
        <v>0</v>
      </c>
      <c r="E69" s="51">
        <v>0</v>
      </c>
      <c r="F69" s="51">
        <v>0</v>
      </c>
      <c r="G69" s="51">
        <v>0</v>
      </c>
      <c r="H69" s="51">
        <v>0</v>
      </c>
      <c r="I69" s="49">
        <f t="shared" si="2"/>
        <v>13.266794871794865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>
        <v>10</v>
      </c>
      <c r="B70" s="50">
        <v>71.373076923076894</v>
      </c>
      <c r="C70" s="50">
        <v>0</v>
      </c>
      <c r="D70" s="50">
        <v>0</v>
      </c>
      <c r="E70" s="51">
        <v>0</v>
      </c>
      <c r="F70" s="51">
        <v>0</v>
      </c>
      <c r="G70" s="51">
        <v>0</v>
      </c>
      <c r="H70" s="51">
        <v>0</v>
      </c>
      <c r="I70" s="49">
        <f t="shared" si="2"/>
        <v>14.575769230769218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>
        <v>11</v>
      </c>
      <c r="B71" s="50">
        <v>87.101282051282055</v>
      </c>
      <c r="C71" s="50">
        <v>0</v>
      </c>
      <c r="D71" s="50">
        <v>0</v>
      </c>
      <c r="E71" s="51">
        <v>0</v>
      </c>
      <c r="F71" s="51">
        <v>0</v>
      </c>
      <c r="G71" s="51">
        <v>0</v>
      </c>
      <c r="H71" s="51">
        <v>0</v>
      </c>
      <c r="I71" s="49">
        <f t="shared" si="2"/>
        <v>15.728205128205161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>
        <v>12</v>
      </c>
      <c r="B72" s="50">
        <v>103.82538461538462</v>
      </c>
      <c r="C72" s="50">
        <v>0</v>
      </c>
      <c r="D72" s="50">
        <v>0</v>
      </c>
      <c r="E72" s="51">
        <v>0</v>
      </c>
      <c r="F72" s="51">
        <v>0</v>
      </c>
      <c r="G72" s="51">
        <v>0</v>
      </c>
      <c r="H72" s="51">
        <v>0</v>
      </c>
      <c r="I72" s="49">
        <f t="shared" si="2"/>
        <v>16.724102564102566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>
        <v>13</v>
      </c>
      <c r="B73" s="50">
        <v>121.38884615384613</v>
      </c>
      <c r="C73" s="50">
        <v>0</v>
      </c>
      <c r="D73" s="50">
        <v>0</v>
      </c>
      <c r="E73" s="51">
        <v>0</v>
      </c>
      <c r="F73" s="51">
        <v>0</v>
      </c>
      <c r="G73" s="51">
        <v>0</v>
      </c>
      <c r="H73" s="51">
        <v>0</v>
      </c>
      <c r="I73" s="49">
        <f t="shared" si="2"/>
        <v>17.56346153846151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>
        <v>14</v>
      </c>
      <c r="B74" s="50">
        <v>139.63512820512813</v>
      </c>
      <c r="C74" s="50">
        <v>0</v>
      </c>
      <c r="D74" s="50">
        <v>0</v>
      </c>
      <c r="E74" s="51">
        <v>0</v>
      </c>
      <c r="F74" s="51">
        <v>0</v>
      </c>
      <c r="G74" s="51">
        <v>0</v>
      </c>
      <c r="H74" s="51">
        <v>0</v>
      </c>
      <c r="I74" s="49">
        <f t="shared" si="2"/>
        <v>18.246282051281995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>
        <v>15</v>
      </c>
      <c r="B75" s="50">
        <v>158.40769230769226</v>
      </c>
      <c r="C75" s="50">
        <v>0</v>
      </c>
      <c r="D75" s="50">
        <v>0</v>
      </c>
      <c r="E75" s="51">
        <v>0</v>
      </c>
      <c r="F75" s="51">
        <v>0</v>
      </c>
      <c r="G75" s="51">
        <v>0</v>
      </c>
      <c r="H75" s="51">
        <v>0</v>
      </c>
      <c r="I75" s="49">
        <f t="shared" si="2"/>
        <v>18.772564102564132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>
        <v>16</v>
      </c>
      <c r="B76" s="50">
        <v>177.54999999999995</v>
      </c>
      <c r="C76" s="50">
        <v>0</v>
      </c>
      <c r="D76" s="50">
        <v>0</v>
      </c>
      <c r="E76" s="51">
        <v>0</v>
      </c>
      <c r="F76" s="51">
        <v>0</v>
      </c>
      <c r="G76" s="51">
        <v>0</v>
      </c>
      <c r="H76" s="51">
        <v>0</v>
      </c>
      <c r="I76" s="49">
        <f t="shared" si="2"/>
        <v>19.142307692307696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>
        <v>17</v>
      </c>
      <c r="B77" s="50">
        <v>196.90551282051274</v>
      </c>
      <c r="C77" s="50">
        <v>0</v>
      </c>
      <c r="D77" s="50">
        <v>0</v>
      </c>
      <c r="E77" s="51">
        <v>0</v>
      </c>
      <c r="F77" s="51">
        <v>0</v>
      </c>
      <c r="G77" s="51">
        <v>0</v>
      </c>
      <c r="H77" s="51">
        <v>0</v>
      </c>
      <c r="I77" s="49">
        <f t="shared" si="2"/>
        <v>19.355512820512786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>
        <v>18</v>
      </c>
      <c r="B78" s="50">
        <v>216.31769230769225</v>
      </c>
      <c r="C78" s="50">
        <v>0</v>
      </c>
      <c r="D78" s="50">
        <v>0</v>
      </c>
      <c r="E78" s="51">
        <v>0</v>
      </c>
      <c r="F78" s="51">
        <v>0</v>
      </c>
      <c r="G78" s="51">
        <v>0</v>
      </c>
      <c r="H78" s="51">
        <v>0</v>
      </c>
      <c r="I78" s="49">
        <f t="shared" si="2"/>
        <v>19.412179487179515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>
        <v>19</v>
      </c>
      <c r="B79" s="50">
        <v>235.63</v>
      </c>
      <c r="C79" s="50">
        <v>0</v>
      </c>
      <c r="D79" s="50">
        <v>0</v>
      </c>
      <c r="E79" s="51">
        <v>0</v>
      </c>
      <c r="F79" s="51">
        <v>0</v>
      </c>
      <c r="G79" s="51">
        <v>0</v>
      </c>
      <c r="H79" s="51">
        <v>0</v>
      </c>
      <c r="I79" s="49">
        <f t="shared" si="2"/>
        <v>19.312307692307741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>
        <v>20</v>
      </c>
      <c r="B80" s="50">
        <v>254.68589743589735</v>
      </c>
      <c r="C80" s="50" t="s">
        <v>324</v>
      </c>
      <c r="D80" s="50">
        <v>254.68589743589735</v>
      </c>
      <c r="E80" s="51">
        <v>0.7</v>
      </c>
      <c r="F80" s="51">
        <v>0.15</v>
      </c>
      <c r="G80" s="51">
        <v>0.15</v>
      </c>
      <c r="H80" s="51">
        <v>0</v>
      </c>
      <c r="I80" s="49">
        <f t="shared" si="2"/>
        <v>19.05589743589735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Peuplier Soligo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2</v>
      </c>
      <c r="B88" s="60">
        <v>0.18435897435897397</v>
      </c>
      <c r="C88" s="60">
        <v>0</v>
      </c>
      <c r="D88" s="60">
        <v>0</v>
      </c>
      <c r="E88" s="51">
        <v>0</v>
      </c>
      <c r="F88" s="51">
        <v>0</v>
      </c>
      <c r="G88" s="51">
        <v>0</v>
      </c>
      <c r="H88" s="87">
        <v>0</v>
      </c>
      <c r="I88" s="53">
        <f>IFERROR(B88/A88,"")</f>
        <v>9.2179487179486985E-2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3</v>
      </c>
      <c r="B89" s="60">
        <v>2.31</v>
      </c>
      <c r="C89" s="60">
        <v>0</v>
      </c>
      <c r="D89" s="60">
        <v>0</v>
      </c>
      <c r="E89" s="51">
        <v>0</v>
      </c>
      <c r="F89" s="51">
        <v>0</v>
      </c>
      <c r="G89" s="51">
        <v>0</v>
      </c>
      <c r="H89" s="87">
        <v>0</v>
      </c>
      <c r="I89" s="53">
        <f t="shared" ref="I89:I107" si="3">IF(A89&lt;&gt;0,(B89-(B88-D88))/(A89-A88),"")</f>
        <v>2.1256410256410261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4</v>
      </c>
      <c r="B90" s="60">
        <v>6.6838461538461518</v>
      </c>
      <c r="C90" s="60">
        <v>0</v>
      </c>
      <c r="D90" s="60">
        <v>0</v>
      </c>
      <c r="E90" s="87">
        <v>0</v>
      </c>
      <c r="F90" s="87">
        <v>0</v>
      </c>
      <c r="G90" s="87">
        <v>0</v>
      </c>
      <c r="H90" s="87">
        <v>0</v>
      </c>
      <c r="I90" s="53">
        <f t="shared" si="3"/>
        <v>4.3738461538461522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5</v>
      </c>
      <c r="B91" s="60">
        <v>13.14935897435897</v>
      </c>
      <c r="C91" s="60">
        <v>0</v>
      </c>
      <c r="D91" s="60">
        <v>0</v>
      </c>
      <c r="E91" s="87">
        <v>0</v>
      </c>
      <c r="F91" s="87">
        <v>0</v>
      </c>
      <c r="G91" s="87">
        <v>0</v>
      </c>
      <c r="H91" s="87">
        <v>0</v>
      </c>
      <c r="I91" s="53">
        <f t="shared" si="3"/>
        <v>6.4655128205128181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6</v>
      </c>
      <c r="B92" s="60">
        <v>21.549999999999997</v>
      </c>
      <c r="C92" s="60">
        <v>0</v>
      </c>
      <c r="D92" s="60">
        <v>0</v>
      </c>
      <c r="E92" s="87">
        <v>0</v>
      </c>
      <c r="F92" s="87">
        <v>0</v>
      </c>
      <c r="G92" s="87">
        <v>0</v>
      </c>
      <c r="H92" s="87">
        <v>0</v>
      </c>
      <c r="I92" s="53">
        <f t="shared" si="3"/>
        <v>8.4006410256410273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7</v>
      </c>
      <c r="B93" s="60">
        <v>31.729230769230764</v>
      </c>
      <c r="C93" s="60">
        <v>0</v>
      </c>
      <c r="D93" s="60">
        <v>0</v>
      </c>
      <c r="E93" s="87">
        <v>0</v>
      </c>
      <c r="F93" s="87">
        <v>0</v>
      </c>
      <c r="G93" s="87">
        <v>0</v>
      </c>
      <c r="H93" s="87">
        <v>0</v>
      </c>
      <c r="I93" s="53">
        <f t="shared" si="3"/>
        <v>10.179230769230767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8</v>
      </c>
      <c r="B94" s="60">
        <v>43.530512820512811</v>
      </c>
      <c r="C94" s="60">
        <v>0</v>
      </c>
      <c r="D94" s="60">
        <v>0</v>
      </c>
      <c r="E94" s="87">
        <v>0</v>
      </c>
      <c r="F94" s="87">
        <v>0</v>
      </c>
      <c r="G94" s="87">
        <v>0</v>
      </c>
      <c r="H94" s="87">
        <v>0</v>
      </c>
      <c r="I94" s="53">
        <f t="shared" si="3"/>
        <v>11.801282051282048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>
        <v>9</v>
      </c>
      <c r="B95" s="60">
        <v>56.797307692307676</v>
      </c>
      <c r="C95" s="60">
        <v>0</v>
      </c>
      <c r="D95" s="60">
        <v>0</v>
      </c>
      <c r="E95" s="87">
        <v>0</v>
      </c>
      <c r="F95" s="87">
        <v>0</v>
      </c>
      <c r="G95" s="87">
        <v>0</v>
      </c>
      <c r="H95" s="87">
        <v>0</v>
      </c>
      <c r="I95" s="53">
        <f t="shared" si="3"/>
        <v>13.266794871794865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>
        <v>10</v>
      </c>
      <c r="B96" s="60">
        <v>71.373076923076894</v>
      </c>
      <c r="C96" s="60">
        <v>0</v>
      </c>
      <c r="D96" s="60">
        <v>0</v>
      </c>
      <c r="E96" s="87">
        <v>0</v>
      </c>
      <c r="F96" s="87">
        <v>0</v>
      </c>
      <c r="G96" s="87">
        <v>0</v>
      </c>
      <c r="H96" s="87">
        <v>0</v>
      </c>
      <c r="I96" s="53">
        <f t="shared" si="3"/>
        <v>14.575769230769218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>
        <v>11</v>
      </c>
      <c r="B97" s="60">
        <v>87.101282051282055</v>
      </c>
      <c r="C97" s="60">
        <v>0</v>
      </c>
      <c r="D97" s="60">
        <v>0</v>
      </c>
      <c r="E97" s="87">
        <v>0</v>
      </c>
      <c r="F97" s="87">
        <v>0</v>
      </c>
      <c r="G97" s="87">
        <v>0</v>
      </c>
      <c r="H97" s="87">
        <v>0</v>
      </c>
      <c r="I97" s="53">
        <f t="shared" si="3"/>
        <v>15.728205128205161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>
        <v>12</v>
      </c>
      <c r="B98" s="60">
        <v>103.82538461538462</v>
      </c>
      <c r="C98" s="60">
        <v>0</v>
      </c>
      <c r="D98" s="60">
        <v>0</v>
      </c>
      <c r="E98" s="87">
        <v>0</v>
      </c>
      <c r="F98" s="87">
        <v>0</v>
      </c>
      <c r="G98" s="87">
        <v>0</v>
      </c>
      <c r="H98" s="87">
        <v>0</v>
      </c>
      <c r="I98" s="53">
        <f t="shared" si="3"/>
        <v>16.724102564102566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>
        <v>13</v>
      </c>
      <c r="B99" s="60">
        <v>121.38884615384613</v>
      </c>
      <c r="C99" s="60">
        <v>0</v>
      </c>
      <c r="D99" s="60">
        <v>0</v>
      </c>
      <c r="E99" s="87">
        <v>0</v>
      </c>
      <c r="F99" s="87">
        <v>0</v>
      </c>
      <c r="G99" s="87">
        <v>0</v>
      </c>
      <c r="H99" s="87">
        <v>0</v>
      </c>
      <c r="I99" s="53">
        <f t="shared" si="3"/>
        <v>17.56346153846151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>
        <v>14</v>
      </c>
      <c r="B100" s="60">
        <v>139.63512820512813</v>
      </c>
      <c r="C100" s="60">
        <v>0</v>
      </c>
      <c r="D100" s="60">
        <v>0</v>
      </c>
      <c r="E100" s="65">
        <v>0</v>
      </c>
      <c r="F100" s="65">
        <v>0</v>
      </c>
      <c r="G100" s="65">
        <v>0</v>
      </c>
      <c r="H100" s="65">
        <v>0</v>
      </c>
      <c r="I100" s="53">
        <f t="shared" si="3"/>
        <v>18.246282051281995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>
        <v>15</v>
      </c>
      <c r="B101" s="60">
        <v>158.40769230769226</v>
      </c>
      <c r="C101" s="60">
        <v>0</v>
      </c>
      <c r="D101" s="60">
        <v>0</v>
      </c>
      <c r="E101" s="65">
        <v>0</v>
      </c>
      <c r="F101" s="65">
        <v>0</v>
      </c>
      <c r="G101" s="65">
        <v>0</v>
      </c>
      <c r="H101" s="65">
        <v>0</v>
      </c>
      <c r="I101" s="53">
        <f t="shared" si="3"/>
        <v>18.772564102564132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>
        <v>16</v>
      </c>
      <c r="B102" s="50">
        <v>177.54999999999995</v>
      </c>
      <c r="C102" s="60">
        <v>0</v>
      </c>
      <c r="D102" s="50">
        <v>0</v>
      </c>
      <c r="E102" s="54">
        <v>0</v>
      </c>
      <c r="F102" s="54">
        <v>0</v>
      </c>
      <c r="G102" s="54">
        <v>0</v>
      </c>
      <c r="H102" s="54">
        <v>0</v>
      </c>
      <c r="I102" s="53">
        <f t="shared" si="3"/>
        <v>19.142307692307696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>
        <v>17</v>
      </c>
      <c r="B103" s="50">
        <v>196.90551282051274</v>
      </c>
      <c r="C103" s="60">
        <v>0</v>
      </c>
      <c r="D103" s="50">
        <v>0</v>
      </c>
      <c r="E103" s="54">
        <v>0</v>
      </c>
      <c r="F103" s="54">
        <v>0</v>
      </c>
      <c r="G103" s="54">
        <v>0</v>
      </c>
      <c r="H103" s="54">
        <v>0</v>
      </c>
      <c r="I103" s="53">
        <f t="shared" si="3"/>
        <v>19.355512820512786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>
        <v>18</v>
      </c>
      <c r="B104" s="50">
        <v>216.31769230769225</v>
      </c>
      <c r="C104" s="60">
        <v>0</v>
      </c>
      <c r="D104" s="50">
        <v>0</v>
      </c>
      <c r="E104" s="54">
        <v>0</v>
      </c>
      <c r="F104" s="54">
        <v>0</v>
      </c>
      <c r="G104" s="54">
        <v>0</v>
      </c>
      <c r="H104" s="54">
        <v>0</v>
      </c>
      <c r="I104" s="53">
        <f t="shared" si="3"/>
        <v>19.412179487179515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>
        <v>19</v>
      </c>
      <c r="B105" s="50">
        <v>235.63</v>
      </c>
      <c r="C105" s="50">
        <v>0</v>
      </c>
      <c r="D105" s="50">
        <v>0</v>
      </c>
      <c r="E105" s="54">
        <v>0</v>
      </c>
      <c r="F105" s="54">
        <v>0</v>
      </c>
      <c r="G105" s="54">
        <v>0</v>
      </c>
      <c r="H105" s="54">
        <v>0</v>
      </c>
      <c r="I105" s="53">
        <f t="shared" si="3"/>
        <v>19.312307692307741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>
        <v>20</v>
      </c>
      <c r="B106" s="50">
        <v>254.68589743589735</v>
      </c>
      <c r="C106" s="50" t="s">
        <v>324</v>
      </c>
      <c r="D106" s="50">
        <v>254.68589743589735</v>
      </c>
      <c r="E106" s="54">
        <v>0.7</v>
      </c>
      <c r="F106" s="54">
        <v>0.15</v>
      </c>
      <c r="G106" s="54">
        <v>0.15</v>
      </c>
      <c r="H106" s="54">
        <v>0</v>
      </c>
      <c r="I106" s="53">
        <f t="shared" si="3"/>
        <v>19.05589743589735</v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9" sqref="G19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112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1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Peuplier Koster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Peuplier Soligo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Peuplier Soligo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7">
        <f>(B3+E3+F3)*44/12+(C3+D3)*0.475*44/12</f>
        <v>183.33333333333334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165</v>
      </c>
      <c r="S3" s="59">
        <f ca="1">AVERAGE(OFFSET($R$3,0,0,'Données projet'!$E$9+1,1))-AVERAGE(OFFSET($H$3,0,0,'Données projet'!$E$9+1,1))</f>
        <v>112.82287576550925</v>
      </c>
      <c r="T3" s="59">
        <f>IF('Données projet'!E9&gt;30,$R$33-$H$33,LOOKUP('Données projet'!$E$9,$A$3:$A$203,R3:R203)-LOOKUP('Données projet'!$E$9,$A$3:$A$203,$H$3:$H$203))</f>
        <v>317.78570695363294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165</v>
      </c>
      <c r="AN3" s="59">
        <f ca="1">AVERAGE(OFFSET($AM$3,0,0,'Données projet'!$E$10+1,1))-AVERAGE(OFFSET($H$3,0,0,'Données projet'!$E$10+1,1))</f>
        <v>123.44750406183283</v>
      </c>
      <c r="AO3" s="59">
        <f>IF('Données projet'!E10&gt;30,$AM$33-$H$33,LOOKUP('Données projet'!$E$10,$A$3:$A$203,AM3:AM203)-LOOKUP('Données projet'!$E$10,$A$3:$A$203,$H$3:$H$203))</f>
        <v>346.72009411328929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165</v>
      </c>
      <c r="BI3" s="59">
        <f ca="1">AVERAGE(OFFSET($BH$3,0,0,'Données projet'!$E$11+1,1))-AVERAGE(OFFSET($H$3,0,0,'Données projet'!$E$11+1,1))</f>
        <v>123.44750406183283</v>
      </c>
      <c r="BJ3" s="59">
        <f>IF('Données projet'!E11&gt;30,$BH$33-$H$33,LOOKUP('Données projet'!$E$11,$A$3:$A$203,BH3:BH203)-LOOKUP('Données projet'!$E$11,$A$3:$A$203,$H$3:$H$203))</f>
        <v>346.72009411328929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7">
        <f t="shared" ref="H4:H67" si="1">(B4+E4+F4)*44/12+(C4+D4)*0.475*44/12</f>
        <v>183.33333333333334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9.2179487179486985E-2</v>
      </c>
      <c r="N4" s="13">
        <f>IF('Données projet'!$A$36&gt;35,N3+M4-V3,IF(A4&lt;'Données projet'!$A$36,$K$205^A4,IF(A4='Données projet'!$A$36,'Données projet'!$B$36,N3+M4-V3)))</f>
        <v>0.42937043954955023</v>
      </c>
      <c r="O4" s="13">
        <f>N4*VLOOKUP('Données projet'!$B$9,Paramètres!$A$1:$I$89,3,0)*VLOOKUP('Données projet'!$B$9,Paramètres!$A$1:$I$89,5,0)</f>
        <v>0.21836063073731929</v>
      </c>
      <c r="P4" s="13">
        <f>EXP(-1.0587+0.8836*LN(O4)+0.284)</f>
        <v>0.12012862656084218</v>
      </c>
      <c r="Q4" s="20">
        <f t="shared" ref="Q4:Q34" si="2">(O4+P4)*0.475*44/12</f>
        <v>0.58953545646096461</v>
      </c>
      <c r="R4" s="59">
        <f t="shared" si="0"/>
        <v>168.4019694093848</v>
      </c>
      <c r="S4" s="59">
        <f ca="1">AVERAGE(OFFSET($R$3,0,0,'Données projet'!$E$9+1,1))-AVERAGE(OFFSET($H$3,0,0,'Données projet'!$E$9+1,1))</f>
        <v>112.82287576550925</v>
      </c>
      <c r="T4" s="59">
        <f>$T$3</f>
        <v>317.78570695363294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9.2179487179486985E-2</v>
      </c>
      <c r="AI4" s="13">
        <f>IF('Données projet'!$A$62&gt;35,AI3+AH4-AQ3,IF(A4&lt;'Données projet'!$A$62,$AF$205^A4,IF(A4='Données projet'!$A$62,'Données projet'!$B$62,AI3+AH4-AQ3)))</f>
        <v>0.42937043954955023</v>
      </c>
      <c r="AJ4" s="13">
        <f>AI4*VLOOKUP('Données projet'!$B$10,Paramètres!$A$1:$I$89,3,0)*VLOOKUP('Données projet'!$B$10,Paramètres!$A$1:$I$89,5,0)</f>
        <v>0.24113443885102739</v>
      </c>
      <c r="AK4" s="13">
        <f>EXP(-1.0587+0.8836*LN(AJ4)+0.284)</f>
        <v>0.1311343083728502</v>
      </c>
      <c r="AL4" s="20">
        <f t="shared" ref="AL4:AL67" si="4">(AJ4+AK4)*0.475*44/12</f>
        <v>0.64836806808158676</v>
      </c>
      <c r="AM4" s="59">
        <f t="shared" ref="AM4:AM67" si="5">AL4+(AD4+AE4)*44/12</f>
        <v>168.46080202100543</v>
      </c>
      <c r="AN4" s="59">
        <f ca="1">AVERAGE(OFFSET($AM$3,0,0,'Données projet'!$E$10+1,1))-AVERAGE(OFFSET($H$3,0,0,'Données projet'!$E$10+1,1))</f>
        <v>123.44750406183283</v>
      </c>
      <c r="AO4" s="59">
        <f>$AO$3</f>
        <v>346.72009411328929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9.2179487179486985E-2</v>
      </c>
      <c r="BD4" s="12">
        <f>IF('Données projet'!$A$88&gt;35,BD3+BC4-BL3,IF(A4&lt;'Données projet'!$A$88,$BA$205^A4,IF(A4='Données projet'!$A$88,'Données projet'!$B$88,BD3+BC4-BL3)))</f>
        <v>0.42937043954955023</v>
      </c>
      <c r="BE4" s="13">
        <f>BD4*VLOOKUP('Données projet'!$B$11,Paramètres!$A$1:$I$89,3,0)*VLOOKUP('Données projet'!$B$11,Paramètres!$A$1:$I$89,5,0)</f>
        <v>0.24113443885102739</v>
      </c>
      <c r="BF4" s="13">
        <f>EXP(-1.0587+0.8836*LN(BE4)+0.284)</f>
        <v>0.1311343083728502</v>
      </c>
      <c r="BG4" s="20">
        <f t="shared" ref="BG4:BG67" si="7">(BE4+BF4)*0.475*44/12</f>
        <v>0.64836806808158676</v>
      </c>
      <c r="BH4" s="59">
        <f t="shared" ref="BH4:BH67" si="8">BG4+(AY4+AZ4)*44/12</f>
        <v>168.46080202100543</v>
      </c>
      <c r="BI4" s="59">
        <f ca="1">AVERAGE(OFFSET($BH$3,0,0,'Données projet'!$E$11+1,1))-AVERAGE(OFFSET($H$3,0,0,'Données projet'!$E$11+1,1))</f>
        <v>123.44750406183283</v>
      </c>
      <c r="BJ4" s="59">
        <f>$BJ$3</f>
        <v>346.72009411328929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7">
        <f t="shared" si="1"/>
        <v>183.33333333333334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>
        <f>VLOOKUP(A5,'Données projet'!$A$35:$I$55,2,0)</f>
        <v>0.18435897435897397</v>
      </c>
      <c r="L5" s="12">
        <f>VLOOKUP(A5,'Données projet'!$A$35:$I$55,9,0)</f>
        <v>9.2179487179486985E-2</v>
      </c>
      <c r="M5" s="12">
        <f t="array" ref="M5">INDEX(L:L,MIN(IF(ISNUMBER(L5:L201),ROW(L5:L201),"")))</f>
        <v>9.2179487179486985E-2</v>
      </c>
      <c r="N5" s="13">
        <f>IF('Données projet'!$A$36&gt;35,N4+M5-V4,IF(A5&lt;'Données projet'!$A$36,$K$205^A5,IF(A5='Données projet'!$A$36,'Données projet'!$B$36,N4+M5-V4)))</f>
        <v>0.18435897435897397</v>
      </c>
      <c r="O5" s="13">
        <f>N5*VLOOKUP('Données projet'!$B$9,Paramètres!$A$1:$I$89,3,0)*VLOOKUP('Données projet'!$B$9,Paramètres!$A$1:$I$89,5,0)</f>
        <v>9.3757599999999816E-2</v>
      </c>
      <c r="P5" s="13">
        <f t="shared" ref="P5:P68" si="33">EXP(-1.0587+0.8836*LN(O5)+0.284)</f>
        <v>5.6913722520830795E-2</v>
      </c>
      <c r="Q5" s="20">
        <f t="shared" si="2"/>
        <v>0.26241922005711332</v>
      </c>
      <c r="R5" s="59">
        <f t="shared" si="0"/>
        <v>170.85970050755796</v>
      </c>
      <c r="S5" s="59">
        <f ca="1">AVERAGE(OFFSET($R$3,0,0,'Données projet'!$E$9+1,1))-AVERAGE(OFFSET($H$3,0,0,'Données projet'!$E$9+1,1))</f>
        <v>112.82287576550925</v>
      </c>
      <c r="T5" s="59">
        <f t="shared" ref="T5:T68" si="34">$T$3</f>
        <v>317.78570695363294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>
        <f>VLOOKUP(A5,'Données projet'!$A$61:$I$81,2,0)</f>
        <v>0.18435897435897397</v>
      </c>
      <c r="AG5" s="12">
        <f>VLOOKUP(A5,'Données projet'!$A$61:$I$81,9,0)</f>
        <v>9.2179487179486985E-2</v>
      </c>
      <c r="AH5" s="12">
        <f t="array" ref="AH5">INDEX(AG:AG,MIN(IF(ISNUMBER(AG5:AG201),ROW(AG5:AG201),"")))</f>
        <v>9.2179487179486985E-2</v>
      </c>
      <c r="AI5" s="13">
        <f>IF('Données projet'!$A$62&gt;35,AI4+AH5-AQ4,IF(A5&lt;'Données projet'!$A$62,$AF$205^A5,IF(A5='Données projet'!$A$62,'Données projet'!$B$62,AI4+AH5-AQ4)))</f>
        <v>0.18435897435897397</v>
      </c>
      <c r="AJ5" s="13">
        <f>AI5*VLOOKUP('Données projet'!$B$10,Paramètres!$A$1:$I$89,3,0)*VLOOKUP('Données projet'!$B$10,Paramètres!$A$1:$I$89,5,0)</f>
        <v>0.10353599999999978</v>
      </c>
      <c r="AK5" s="13">
        <f t="shared" ref="AK5:AK68" si="35">EXP(-1.0587+0.8836*LN(AJ5)+0.284)</f>
        <v>6.2127919492307268E-2</v>
      </c>
      <c r="AL5" s="20">
        <f t="shared" si="4"/>
        <v>0.28853132644910146</v>
      </c>
      <c r="AM5" s="59">
        <f t="shared" si="5"/>
        <v>170.88581261394992</v>
      </c>
      <c r="AN5" s="59">
        <f ca="1">AVERAGE(OFFSET($AM$3,0,0,'Données projet'!$E$10+1,1))-AVERAGE(OFFSET($H$3,0,0,'Données projet'!$E$10+1,1))</f>
        <v>123.44750406183283</v>
      </c>
      <c r="AO5" s="59">
        <f t="shared" ref="AO5:AO68" si="36">$AO$3</f>
        <v>346.72009411328929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>
        <f>VLOOKUP(A5,'Données projet'!$A$87:$I$107,2,0)</f>
        <v>0.18435897435897397</v>
      </c>
      <c r="BB5" s="12">
        <f>VLOOKUP(A5,'Données projet'!$A$87:$I$107,9,0)</f>
        <v>9.2179487179486985E-2</v>
      </c>
      <c r="BC5" s="12">
        <f t="array" ref="BC5">INDEX(BB:BB,MIN(IF(ISNUMBER(BB5:BB201),ROW(BB5:BB201),"")))</f>
        <v>9.2179487179486985E-2</v>
      </c>
      <c r="BD5" s="12">
        <f>IF('Données projet'!$A$88&gt;35,BD4+BC5-BL4,IF(A5&lt;'Données projet'!$A$88,$BA$205^A5,IF(A5='Données projet'!$A$88,'Données projet'!$B$88,BD4+BC5-BL4)))</f>
        <v>0.18435897435897397</v>
      </c>
      <c r="BE5" s="13">
        <f>BD5*VLOOKUP('Données projet'!$B$11,Paramètres!$A$1:$I$89,3,0)*VLOOKUP('Données projet'!$B$11,Paramètres!$A$1:$I$89,5,0)</f>
        <v>0.10353599999999978</v>
      </c>
      <c r="BF5" s="13">
        <f t="shared" ref="BF5:BF68" si="37">EXP(-1.0587+0.8836*LN(BE5)+0.284)</f>
        <v>6.2127919492307268E-2</v>
      </c>
      <c r="BG5" s="20">
        <f t="shared" si="7"/>
        <v>0.28853132644910146</v>
      </c>
      <c r="BH5" s="59">
        <f t="shared" si="8"/>
        <v>170.88581261394992</v>
      </c>
      <c r="BI5" s="59">
        <f ca="1">AVERAGE(OFFSET($BH$3,0,0,'Données projet'!$E$11+1,1))-AVERAGE(OFFSET($H$3,0,0,'Données projet'!$E$11+1,1))</f>
        <v>123.44750406183283</v>
      </c>
      <c r="BJ5" s="59">
        <f t="shared" ref="BJ5:BJ68" si="38">$BJ$3</f>
        <v>346.72009411328929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7">
        <f t="shared" si="1"/>
        <v>183.33333333333334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>
        <f>VLOOKUP(A6,'Données projet'!$A$35:$I$55,2,0)</f>
        <v>2.31</v>
      </c>
      <c r="L6" s="12">
        <f>VLOOKUP(A6,'Données projet'!$A$35:$I$55,9,0)</f>
        <v>2.1256410256410261</v>
      </c>
      <c r="M6" s="12">
        <f t="array" ref="M6">INDEX(L:L,MIN(IF(ISNUMBER(L6:L202),ROW(L6:L202),"")))</f>
        <v>2.1256410256410261</v>
      </c>
      <c r="N6" s="13">
        <f>IF('Données projet'!$A$36&gt;35,N5+M6-V5,IF(A6&lt;'Données projet'!$A$36,$K$205^A6,IF(A6='Données projet'!$A$36,'Données projet'!$B$36,N5+M6-V5)))</f>
        <v>2.31</v>
      </c>
      <c r="O6" s="13">
        <f>N6*VLOOKUP('Données projet'!$B$9,Paramètres!$A$1:$I$89,3,0)*VLOOKUP('Données projet'!$B$9,Paramètres!$A$1:$I$89,5,0)</f>
        <v>1.1747736000000002</v>
      </c>
      <c r="P6" s="13">
        <f t="shared" si="33"/>
        <v>0.5313290690347211</v>
      </c>
      <c r="Q6" s="20">
        <f t="shared" si="2"/>
        <v>2.9714621485688064</v>
      </c>
      <c r="R6" s="59">
        <f t="shared" si="0"/>
        <v>176.32648271845369</v>
      </c>
      <c r="S6" s="59">
        <f ca="1">AVERAGE(OFFSET($R$3,0,0,'Données projet'!$E$9+1,1))-AVERAGE(OFFSET($H$3,0,0,'Données projet'!$E$9+1,1))</f>
        <v>112.82287576550925</v>
      </c>
      <c r="T6" s="59">
        <f t="shared" si="34"/>
        <v>317.78570695363294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>
        <f>VLOOKUP(A6,'Données projet'!$A$61:$I$81,2,0)</f>
        <v>2.31</v>
      </c>
      <c r="AG6" s="12">
        <f>VLOOKUP(A6,'Données projet'!$A$61:$I$81,9,0)</f>
        <v>2.1256410256410261</v>
      </c>
      <c r="AH6" s="12">
        <f t="array" ref="AH6">INDEX(AG:AG,MIN(IF(ISNUMBER(AG6:AG202),ROW(AG6:AG202),"")))</f>
        <v>2.1256410256410261</v>
      </c>
      <c r="AI6" s="13">
        <f>IF('Données projet'!$A$62&gt;35,AI5+AH6-AQ5,IF(A6&lt;'Données projet'!$A$62,$AF$205^A6,IF(A6='Données projet'!$A$62,'Données projet'!$B$62,AI5+AH6-AQ5)))</f>
        <v>2.31</v>
      </c>
      <c r="AJ6" s="13">
        <f>AI6*VLOOKUP('Données projet'!$B$10,Paramètres!$A$1:$I$89,3,0)*VLOOKUP('Données projet'!$B$10,Paramètres!$A$1:$I$89,5,0)</f>
        <v>1.297296</v>
      </c>
      <c r="AK6" s="13">
        <f t="shared" si="35"/>
        <v>0.58000721377572395</v>
      </c>
      <c r="AL6" s="20">
        <f t="shared" si="4"/>
        <v>3.2696364306593857</v>
      </c>
      <c r="AM6" s="59">
        <f t="shared" si="5"/>
        <v>176.62465700054426</v>
      </c>
      <c r="AN6" s="59">
        <f ca="1">AVERAGE(OFFSET($AM$3,0,0,'Données projet'!$E$10+1,1))-AVERAGE(OFFSET($H$3,0,0,'Données projet'!$E$10+1,1))</f>
        <v>123.44750406183283</v>
      </c>
      <c r="AO6" s="59">
        <f t="shared" si="36"/>
        <v>346.72009411328929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>
        <f>VLOOKUP(A6,'Données projet'!$A$87:$I$107,2,0)</f>
        <v>2.31</v>
      </c>
      <c r="BB6" s="12">
        <f>VLOOKUP(A6,'Données projet'!$A$87:$I$107,9,0)</f>
        <v>2.1256410256410261</v>
      </c>
      <c r="BC6" s="12">
        <f t="array" ref="BC6">INDEX(BB:BB,MIN(IF(ISNUMBER(BB6:BB202),ROW(BB6:BB202),"")))</f>
        <v>2.1256410256410261</v>
      </c>
      <c r="BD6" s="12">
        <f>IF('Données projet'!$A$88&gt;35,BD5+BC6-BL5,IF(A6&lt;'Données projet'!$A$88,$BA$205^A6,IF(A6='Données projet'!$A$88,'Données projet'!$B$88,BD5+BC6-BL5)))</f>
        <v>2.31</v>
      </c>
      <c r="BE6" s="13">
        <f>BD6*VLOOKUP('Données projet'!$B$11,Paramètres!$A$1:$I$89,3,0)*VLOOKUP('Données projet'!$B$11,Paramètres!$A$1:$I$89,5,0)</f>
        <v>1.297296</v>
      </c>
      <c r="BF6" s="13">
        <f t="shared" si="37"/>
        <v>0.58000721377572395</v>
      </c>
      <c r="BG6" s="20">
        <f t="shared" si="7"/>
        <v>3.2696364306593857</v>
      </c>
      <c r="BH6" s="59">
        <f t="shared" si="8"/>
        <v>176.62465700054426</v>
      </c>
      <c r="BI6" s="59">
        <f ca="1">AVERAGE(OFFSET($BH$3,0,0,'Données projet'!$E$11+1,1))-AVERAGE(OFFSET($H$3,0,0,'Données projet'!$E$11+1,1))</f>
        <v>123.44750406183283</v>
      </c>
      <c r="BJ6" s="59">
        <f t="shared" si="38"/>
        <v>346.72009411328929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7">
        <f t="shared" si="1"/>
        <v>183.33333333333334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>
        <f>VLOOKUP(A7,'Données projet'!$A$35:$I$55,2,0)</f>
        <v>6.6838461538461518</v>
      </c>
      <c r="L7" s="12">
        <f>VLOOKUP(A7,'Données projet'!$A$35:$I$55,9,0)</f>
        <v>4.3738461538461522</v>
      </c>
      <c r="M7" s="12">
        <f t="array" ref="M7">INDEX(L:L,MIN(IF(ISNUMBER(L7:L203),ROW(L7:L203),"")))</f>
        <v>4.3738461538461522</v>
      </c>
      <c r="N7" s="13">
        <f>IF('Données projet'!$A$36&gt;35,N6+M7-V6,IF(A7&lt;'Données projet'!$A$36,$K$205^A7,IF(A7='Données projet'!$A$36,'Données projet'!$B$36,N6+M7-V6)))</f>
        <v>6.6838461538461527</v>
      </c>
      <c r="O7" s="13">
        <f>N7*VLOOKUP('Données projet'!$B$9,Paramètres!$A$1:$I$89,3,0)*VLOOKUP('Données projet'!$B$9,Paramètres!$A$1:$I$89,5,0)</f>
        <v>3.3991367999999995</v>
      </c>
      <c r="P7" s="13">
        <f t="shared" si="33"/>
        <v>1.3585305157418814</v>
      </c>
      <c r="Q7" s="20">
        <f t="shared" si="2"/>
        <v>8.2862705749171095</v>
      </c>
      <c r="R7" s="59">
        <f t="shared" si="0"/>
        <v>184.37239263909404</v>
      </c>
      <c r="S7" s="59">
        <f ca="1">AVERAGE(OFFSET($R$3,0,0,'Données projet'!$E$9+1,1))-AVERAGE(OFFSET($H$3,0,0,'Données projet'!$E$9+1,1))</f>
        <v>112.82287576550925</v>
      </c>
      <c r="T7" s="59">
        <f t="shared" si="34"/>
        <v>317.78570695363294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>
        <f>VLOOKUP(A7,'Données projet'!$A$61:$I$81,2,0)</f>
        <v>6.6838461538461518</v>
      </c>
      <c r="AG7" s="12">
        <f>VLOOKUP(A7,'Données projet'!$A$61:$I$81,9,0)</f>
        <v>4.3738461538461522</v>
      </c>
      <c r="AH7" s="12">
        <f t="array" ref="AH7">INDEX(AG:AG,MIN(IF(ISNUMBER(AG7:AG203),ROW(AG7:AG203),"")))</f>
        <v>4.3738461538461522</v>
      </c>
      <c r="AI7" s="13">
        <f>IF('Données projet'!$A$62&gt;35,AI6+AH7-AQ6,IF(A7&lt;'Données projet'!$A$62,$AF$205^A7,IF(A7='Données projet'!$A$62,'Données projet'!$B$62,AI6+AH7-AQ6)))</f>
        <v>6.6838461538461527</v>
      </c>
      <c r="AJ7" s="13">
        <f>AI7*VLOOKUP('Données projet'!$B$10,Paramètres!$A$1:$I$89,3,0)*VLOOKUP('Données projet'!$B$10,Paramètres!$A$1:$I$89,5,0)</f>
        <v>3.7536479999999992</v>
      </c>
      <c r="AK7" s="13">
        <f t="shared" si="35"/>
        <v>1.4829933937103204</v>
      </c>
      <c r="AL7" s="20">
        <f t="shared" si="4"/>
        <v>9.1204837607121405</v>
      </c>
      <c r="AM7" s="59">
        <f t="shared" si="5"/>
        <v>185.2066058248891</v>
      </c>
      <c r="AN7" s="59">
        <f ca="1">AVERAGE(OFFSET($AM$3,0,0,'Données projet'!$E$10+1,1))-AVERAGE(OFFSET($H$3,0,0,'Données projet'!$E$10+1,1))</f>
        <v>123.44750406183283</v>
      </c>
      <c r="AO7" s="59">
        <f t="shared" si="36"/>
        <v>346.72009411328929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>
        <f>VLOOKUP(A7,'Données projet'!$A$87:$I$107,2,0)</f>
        <v>6.6838461538461518</v>
      </c>
      <c r="BB7" s="12">
        <f>VLOOKUP(A7,'Données projet'!$A$87:$I$107,9,0)</f>
        <v>4.3738461538461522</v>
      </c>
      <c r="BC7" s="12">
        <f t="array" ref="BC7">INDEX(BB:BB,MIN(IF(ISNUMBER(BB7:BB203),ROW(BB7:BB203),"")))</f>
        <v>4.3738461538461522</v>
      </c>
      <c r="BD7" s="12">
        <f>IF('Données projet'!$A$88&gt;35,BD6+BC7-BL6,IF(A7&lt;'Données projet'!$A$88,$BA$205^A7,IF(A7='Données projet'!$A$88,'Données projet'!$B$88,BD6+BC7-BL6)))</f>
        <v>6.6838461538461527</v>
      </c>
      <c r="BE7" s="13">
        <f>BD7*VLOOKUP('Données projet'!$B$11,Paramètres!$A$1:$I$89,3,0)*VLOOKUP('Données projet'!$B$11,Paramètres!$A$1:$I$89,5,0)</f>
        <v>3.7536479999999992</v>
      </c>
      <c r="BF7" s="13">
        <f t="shared" si="37"/>
        <v>1.4829933937103204</v>
      </c>
      <c r="BG7" s="20">
        <f t="shared" si="7"/>
        <v>9.1204837607121405</v>
      </c>
      <c r="BH7" s="59">
        <f t="shared" si="8"/>
        <v>185.2066058248891</v>
      </c>
      <c r="BI7" s="59">
        <f ca="1">AVERAGE(OFFSET($BH$3,0,0,'Données projet'!$E$11+1,1))-AVERAGE(OFFSET($H$3,0,0,'Données projet'!$E$11+1,1))</f>
        <v>123.44750406183283</v>
      </c>
      <c r="BJ7" s="59">
        <f t="shared" si="38"/>
        <v>346.72009411328929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7">
        <f t="shared" si="1"/>
        <v>183.33333333333334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>
        <f>VLOOKUP(A8,'Données projet'!$A$35:$I$55,2,0)</f>
        <v>13.14935897435897</v>
      </c>
      <c r="L8" s="12">
        <f>VLOOKUP(A8,'Données projet'!$A$35:$I$55,9,0)</f>
        <v>6.4655128205128181</v>
      </c>
      <c r="M8" s="12">
        <f t="array" ref="M8">INDEX(L:L,MIN(IF(ISNUMBER(L8:L204),ROW(L8:L204),"")))</f>
        <v>6.4655128205128181</v>
      </c>
      <c r="N8" s="13">
        <f>IF('Données projet'!$A$36&gt;35,N7+M8-V7,IF(A8&lt;'Données projet'!$A$36,$K$205^A8,IF(A8='Données projet'!$A$36,'Données projet'!$B$36,N7+M8-V7)))</f>
        <v>13.149358974358972</v>
      </c>
      <c r="O8" s="13">
        <f>N8*VLOOKUP('Données projet'!$B$9,Paramètres!$A$1:$I$89,3,0)*VLOOKUP('Données projet'!$B$9,Paramètres!$A$1:$I$89,5,0)</f>
        <v>6.6872379999999989</v>
      </c>
      <c r="P8" s="13">
        <f t="shared" si="33"/>
        <v>2.4702455167163944</v>
      </c>
      <c r="Q8" s="20">
        <f t="shared" si="2"/>
        <v>15.949283791614382</v>
      </c>
      <c r="R8" s="59">
        <f t="shared" si="0"/>
        <v>194.74033166806174</v>
      </c>
      <c r="S8" s="59">
        <f ca="1">AVERAGE(OFFSET($R$3,0,0,'Données projet'!$E$9+1,1))-AVERAGE(OFFSET($H$3,0,0,'Données projet'!$E$9+1,1))</f>
        <v>112.82287576550925</v>
      </c>
      <c r="T8" s="59">
        <f t="shared" si="34"/>
        <v>317.78570695363294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>
        <f>VLOOKUP(A8,'Données projet'!$A$61:$I$81,2,0)</f>
        <v>13.14935897435897</v>
      </c>
      <c r="AG8" s="12">
        <f>VLOOKUP(A8,'Données projet'!$A$61:$I$81,9,0)</f>
        <v>6.4655128205128181</v>
      </c>
      <c r="AH8" s="12">
        <f t="array" ref="AH8">INDEX(AG:AG,MIN(IF(ISNUMBER(AG8:AG204),ROW(AG8:AG204),"")))</f>
        <v>6.4655128205128181</v>
      </c>
      <c r="AI8" s="13">
        <f>IF('Données projet'!$A$62&gt;35,AI7+AH8-AQ7,IF(A8&lt;'Données projet'!$A$62,$AF$205^A8,IF(A8='Données projet'!$A$62,'Données projet'!$B$62,AI7+AH8-AQ7)))</f>
        <v>13.149358974358972</v>
      </c>
      <c r="AJ8" s="13">
        <f>AI8*VLOOKUP('Données projet'!$B$10,Paramètres!$A$1:$I$89,3,0)*VLOOKUP('Données projet'!$B$10,Paramètres!$A$1:$I$89,5,0)</f>
        <v>7.3846799999999977</v>
      </c>
      <c r="AK8" s="13">
        <f t="shared" si="35"/>
        <v>2.6965590685553513</v>
      </c>
      <c r="AL8" s="20">
        <f t="shared" si="4"/>
        <v>17.558158044400567</v>
      </c>
      <c r="AM8" s="59">
        <f t="shared" si="5"/>
        <v>196.34920592084791</v>
      </c>
      <c r="AN8" s="59">
        <f ca="1">AVERAGE(OFFSET($AM$3,0,0,'Données projet'!$E$10+1,1))-AVERAGE(OFFSET($H$3,0,0,'Données projet'!$E$10+1,1))</f>
        <v>123.44750406183283</v>
      </c>
      <c r="AO8" s="59">
        <f t="shared" si="36"/>
        <v>346.72009411328929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>
        <f>VLOOKUP(A8,'Données projet'!$A$87:$I$107,2,0)</f>
        <v>13.14935897435897</v>
      </c>
      <c r="BB8" s="12">
        <f>VLOOKUP(A8,'Données projet'!$A$87:$I$107,9,0)</f>
        <v>6.4655128205128181</v>
      </c>
      <c r="BC8" s="12">
        <f t="array" ref="BC8">INDEX(BB:BB,MIN(IF(ISNUMBER(BB8:BB204),ROW(BB8:BB204),"")))</f>
        <v>6.4655128205128181</v>
      </c>
      <c r="BD8" s="12">
        <f>IF('Données projet'!$A$88&gt;35,BD7+BC8-BL7,IF(A8&lt;'Données projet'!$A$88,$BA$205^A8,IF(A8='Données projet'!$A$88,'Données projet'!$B$88,BD7+BC8-BL7)))</f>
        <v>13.149358974358972</v>
      </c>
      <c r="BE8" s="13">
        <f>BD8*VLOOKUP('Données projet'!$B$11,Paramètres!$A$1:$I$89,3,0)*VLOOKUP('Données projet'!$B$11,Paramètres!$A$1:$I$89,5,0)</f>
        <v>7.3846799999999977</v>
      </c>
      <c r="BF8" s="13">
        <f t="shared" si="37"/>
        <v>2.6965590685553513</v>
      </c>
      <c r="BG8" s="20">
        <f t="shared" si="7"/>
        <v>17.558158044400567</v>
      </c>
      <c r="BH8" s="59">
        <f t="shared" si="8"/>
        <v>196.34920592084791</v>
      </c>
      <c r="BI8" s="59">
        <f ca="1">AVERAGE(OFFSET($BH$3,0,0,'Données projet'!$E$11+1,1))-AVERAGE(OFFSET($H$3,0,0,'Données projet'!$E$11+1,1))</f>
        <v>123.44750406183283</v>
      </c>
      <c r="BJ8" s="59">
        <f t="shared" si="38"/>
        <v>346.72009411328929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7">
        <f t="shared" si="1"/>
        <v>183.33333333333334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>
        <f>VLOOKUP(A9,'Données projet'!$A$35:$I$55,2,0)</f>
        <v>21.549999999999997</v>
      </c>
      <c r="L9" s="12">
        <f>VLOOKUP(A9,'Données projet'!$A$35:$I$55,9,0)</f>
        <v>8.4006410256410273</v>
      </c>
      <c r="M9" s="12">
        <f t="array" ref="M9">INDEX(L:L,MIN(IF(ISNUMBER(L9:L205),ROW(L9:L205),"")))</f>
        <v>8.4006410256410273</v>
      </c>
      <c r="N9" s="13">
        <f>IF('Données projet'!$A$36&gt;35,N8+M9-V8,IF(A9&lt;'Données projet'!$A$36,$K$205^A9,IF(A9='Données projet'!$A$36,'Données projet'!$B$36,N8+M9-V8)))</f>
        <v>21.549999999999997</v>
      </c>
      <c r="O9" s="13">
        <f>N9*VLOOKUP('Données projet'!$B$9,Paramètres!$A$1:$I$89,3,0)*VLOOKUP('Données projet'!$B$9,Paramètres!$A$1:$I$89,5,0)</f>
        <v>10.959467999999999</v>
      </c>
      <c r="P9" s="13">
        <f t="shared" si="33"/>
        <v>3.8221703848080173</v>
      </c>
      <c r="Q9" s="20">
        <f t="shared" si="2"/>
        <v>25.744686853540628</v>
      </c>
      <c r="R9" s="59">
        <f t="shared" si="0"/>
        <v>207.2149389497996</v>
      </c>
      <c r="S9" s="59">
        <f ca="1">AVERAGE(OFFSET($R$3,0,0,'Données projet'!$E$9+1,1))-AVERAGE(OFFSET($H$3,0,0,'Données projet'!$E$9+1,1))</f>
        <v>112.82287576550925</v>
      </c>
      <c r="T9" s="59">
        <f t="shared" si="34"/>
        <v>317.78570695363294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>
        <f>VLOOKUP(A9,'Données projet'!$A$61:$I$81,2,0)</f>
        <v>21.549999999999997</v>
      </c>
      <c r="AG9" s="12">
        <f>VLOOKUP(A9,'Données projet'!$A$61:$I$81,9,0)</f>
        <v>8.4006410256410273</v>
      </c>
      <c r="AH9" s="12">
        <f t="array" ref="AH9">INDEX(AG:AG,MIN(IF(ISNUMBER(AG9:AG205),ROW(AG9:AG205),"")))</f>
        <v>8.4006410256410273</v>
      </c>
      <c r="AI9" s="13">
        <f>IF('Données projet'!$A$62&gt;35,AI8+AH9-AQ8,IF(A9&lt;'Données projet'!$A$62,$AF$205^A9,IF(A9='Données projet'!$A$62,'Données projet'!$B$62,AI8+AH9-AQ8)))</f>
        <v>21.549999999999997</v>
      </c>
      <c r="AJ9" s="13">
        <f>AI9*VLOOKUP('Données projet'!$B$10,Paramètres!$A$1:$I$89,3,0)*VLOOKUP('Données projet'!$B$10,Paramètres!$A$1:$I$89,5,0)</f>
        <v>12.10248</v>
      </c>
      <c r="AK9" s="13">
        <f t="shared" si="35"/>
        <v>4.1723416328341658</v>
      </c>
      <c r="AL9" s="20">
        <f t="shared" si="4"/>
        <v>28.345314343852834</v>
      </c>
      <c r="AM9" s="59">
        <f t="shared" si="5"/>
        <v>209.81556644011181</v>
      </c>
      <c r="AN9" s="59">
        <f ca="1">AVERAGE(OFFSET($AM$3,0,0,'Données projet'!$E$10+1,1))-AVERAGE(OFFSET($H$3,0,0,'Données projet'!$E$10+1,1))</f>
        <v>123.44750406183283</v>
      </c>
      <c r="AO9" s="59">
        <f t="shared" si="36"/>
        <v>346.72009411328929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>
        <f>VLOOKUP(A9,'Données projet'!$A$87:$I$107,2,0)</f>
        <v>21.549999999999997</v>
      </c>
      <c r="BB9" s="12">
        <f>VLOOKUP(A9,'Données projet'!$A$87:$I$107,9,0)</f>
        <v>8.4006410256410273</v>
      </c>
      <c r="BC9" s="12">
        <f t="array" ref="BC9">INDEX(BB:BB,MIN(IF(ISNUMBER(BB9:BB205),ROW(BB9:BB205),"")))</f>
        <v>8.4006410256410273</v>
      </c>
      <c r="BD9" s="12">
        <f>IF('Données projet'!$A$88&gt;35,BD8+BC9-BL8,IF(A9&lt;'Données projet'!$A$88,$BA$205^A9,IF(A9='Données projet'!$A$88,'Données projet'!$B$88,BD8+BC9-BL8)))</f>
        <v>21.549999999999997</v>
      </c>
      <c r="BE9" s="13">
        <f>BD9*VLOOKUP('Données projet'!$B$11,Paramètres!$A$1:$I$89,3,0)*VLOOKUP('Données projet'!$B$11,Paramètres!$A$1:$I$89,5,0)</f>
        <v>12.10248</v>
      </c>
      <c r="BF9" s="13">
        <f t="shared" si="37"/>
        <v>4.1723416328341658</v>
      </c>
      <c r="BG9" s="20">
        <f t="shared" si="7"/>
        <v>28.345314343852834</v>
      </c>
      <c r="BH9" s="59">
        <f t="shared" si="8"/>
        <v>209.81556644011181</v>
      </c>
      <c r="BI9" s="59">
        <f ca="1">AVERAGE(OFFSET($BH$3,0,0,'Données projet'!$E$11+1,1))-AVERAGE(OFFSET($H$3,0,0,'Données projet'!$E$11+1,1))</f>
        <v>123.44750406183283</v>
      </c>
      <c r="BJ9" s="59">
        <f t="shared" si="38"/>
        <v>346.72009411328929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7">
        <f t="shared" si="1"/>
        <v>183.33333333333334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>
        <f>VLOOKUP(A10,'Données projet'!$A$35:$I$55,2,0)</f>
        <v>31.729230769230764</v>
      </c>
      <c r="L10" s="12">
        <f>VLOOKUP(A10,'Données projet'!$A$35:$I$55,9,0)</f>
        <v>10.179230769230767</v>
      </c>
      <c r="M10" s="12">
        <f t="array" ref="M10">INDEX(L:L,MIN(IF(ISNUMBER(L10:L206),ROW(L10:L206),"")))</f>
        <v>10.179230769230767</v>
      </c>
      <c r="N10" s="13">
        <f>IF('Données projet'!$A$36&gt;35,N9+M10-V9,IF(A10&lt;'Données projet'!$A$36,$K$205^A10,IF(A10='Données projet'!$A$36,'Données projet'!$B$36,N9+M10-V9)))</f>
        <v>31.729230769230764</v>
      </c>
      <c r="O10" s="13">
        <f>N10*VLOOKUP('Données projet'!$B$9,Paramètres!$A$1:$I$89,3,0)*VLOOKUP('Données projet'!$B$9,Paramètres!$A$1:$I$89,5,0)</f>
        <v>16.136217599999998</v>
      </c>
      <c r="P10" s="13">
        <f t="shared" si="33"/>
        <v>5.3797944668297326</v>
      </c>
      <c r="Q10" s="20">
        <f t="shared" si="2"/>
        <v>37.47372101639511</v>
      </c>
      <c r="R10" s="59">
        <f t="shared" si="0"/>
        <v>221.59790195213134</v>
      </c>
      <c r="S10" s="59">
        <f ca="1">AVERAGE(OFFSET($R$3,0,0,'Données projet'!$E$9+1,1))-AVERAGE(OFFSET($H$3,0,0,'Données projet'!$E$9+1,1))</f>
        <v>112.82287576550925</v>
      </c>
      <c r="T10" s="59">
        <f t="shared" si="34"/>
        <v>317.78570695363294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>
        <f>VLOOKUP(A10,'Données projet'!$A$61:$I$81,2,0)</f>
        <v>31.729230769230764</v>
      </c>
      <c r="AG10" s="12">
        <f>VLOOKUP(A10,'Données projet'!$A$61:$I$81,9,0)</f>
        <v>10.179230769230767</v>
      </c>
      <c r="AH10" s="12">
        <f t="array" ref="AH10">INDEX(AG:AG,MIN(IF(ISNUMBER(AG10:AG206),ROW(AG10:AG206),"")))</f>
        <v>10.179230769230767</v>
      </c>
      <c r="AI10" s="13">
        <f>IF('Données projet'!$A$62&gt;35,AI9+AH10-AQ9,IF(A10&lt;'Données projet'!$A$62,$AF$205^A10,IF(A10='Données projet'!$A$62,'Données projet'!$B$62,AI9+AH10-AQ9)))</f>
        <v>31.729230769230764</v>
      </c>
      <c r="AJ10" s="13">
        <f>AI10*VLOOKUP('Données projet'!$B$10,Paramètres!$A$1:$I$89,3,0)*VLOOKUP('Données projet'!$B$10,Paramètres!$A$1:$I$89,5,0)</f>
        <v>17.819135999999997</v>
      </c>
      <c r="AK10" s="13">
        <f t="shared" si="35"/>
        <v>5.8726687118036525</v>
      </c>
      <c r="AL10" s="20">
        <f t="shared" si="4"/>
        <v>41.263226539724691</v>
      </c>
      <c r="AM10" s="59">
        <f t="shared" si="5"/>
        <v>225.38740747546092</v>
      </c>
      <c r="AN10" s="59">
        <f ca="1">AVERAGE(OFFSET($AM$3,0,0,'Données projet'!$E$10+1,1))-AVERAGE(OFFSET($H$3,0,0,'Données projet'!$E$10+1,1))</f>
        <v>123.44750406183283</v>
      </c>
      <c r="AO10" s="59">
        <f t="shared" si="36"/>
        <v>346.72009411328929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>
        <f>VLOOKUP(A10,'Données projet'!$A$87:$I$107,2,0)</f>
        <v>31.729230769230764</v>
      </c>
      <c r="BB10" s="12">
        <f>VLOOKUP(A10,'Données projet'!$A$87:$I$107,9,0)</f>
        <v>10.179230769230767</v>
      </c>
      <c r="BC10" s="12">
        <f t="array" ref="BC10">INDEX(BB:BB,MIN(IF(ISNUMBER(BB10:BB206),ROW(BB10:BB206),"")))</f>
        <v>10.179230769230767</v>
      </c>
      <c r="BD10" s="12">
        <f>IF('Données projet'!$A$88&gt;35,BD9+BC10-BL9,IF(A10&lt;'Données projet'!$A$88,$BA$205^A10,IF(A10='Données projet'!$A$88,'Données projet'!$B$88,BD9+BC10-BL9)))</f>
        <v>31.729230769230764</v>
      </c>
      <c r="BE10" s="13">
        <f>BD10*VLOOKUP('Données projet'!$B$11,Paramètres!$A$1:$I$89,3,0)*VLOOKUP('Données projet'!$B$11,Paramètres!$A$1:$I$89,5,0)</f>
        <v>17.819135999999997</v>
      </c>
      <c r="BF10" s="13">
        <f t="shared" si="37"/>
        <v>5.8726687118036525</v>
      </c>
      <c r="BG10" s="20">
        <f t="shared" si="7"/>
        <v>41.263226539724691</v>
      </c>
      <c r="BH10" s="59">
        <f t="shared" si="8"/>
        <v>225.38740747546092</v>
      </c>
      <c r="BI10" s="59">
        <f ca="1">AVERAGE(OFFSET($BH$3,0,0,'Données projet'!$E$11+1,1))-AVERAGE(OFFSET($H$3,0,0,'Données projet'!$E$11+1,1))</f>
        <v>123.44750406183283</v>
      </c>
      <c r="BJ10" s="59">
        <f t="shared" si="38"/>
        <v>346.72009411328929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7">
        <f t="shared" si="1"/>
        <v>183.33333333333334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>
        <f>VLOOKUP(A11,'Données projet'!$A$35:$I$55,2,0)</f>
        <v>43.530512820512811</v>
      </c>
      <c r="L11" s="12">
        <f>VLOOKUP(A11,'Données projet'!$A$35:$I$55,9,0)</f>
        <v>11.801282051282048</v>
      </c>
      <c r="M11" s="12">
        <f t="array" ref="M11">INDEX(L:L,MIN(IF(ISNUMBER(L11:L207),ROW(L11:L207),"")))</f>
        <v>11.801282051282048</v>
      </c>
      <c r="N11" s="13">
        <f>IF('Données projet'!$A$36&gt;35,N10+M11-V10,IF(A11&lt;'Données projet'!$A$36,$K$205^A11,IF(A11='Données projet'!$A$36,'Données projet'!$B$36,N10+M11-V10)))</f>
        <v>43.530512820512811</v>
      </c>
      <c r="O11" s="13">
        <f>N11*VLOOKUP('Données projet'!$B$9,Paramètres!$A$1:$I$89,3,0)*VLOOKUP('Données projet'!$B$9,Paramètres!$A$1:$I$89,5,0)</f>
        <v>22.137877599999996</v>
      </c>
      <c r="P11" s="13">
        <f t="shared" si="33"/>
        <v>7.1140058582669683</v>
      </c>
      <c r="Q11" s="20">
        <f t="shared" si="2"/>
        <v>50.947030356481626</v>
      </c>
      <c r="R11" s="59">
        <f t="shared" si="0"/>
        <v>237.70030322270219</v>
      </c>
      <c r="S11" s="59">
        <f ca="1">AVERAGE(OFFSET($R$3,0,0,'Données projet'!$E$9+1,1))-AVERAGE(OFFSET($H$3,0,0,'Données projet'!$E$9+1,1))</f>
        <v>112.82287576550925</v>
      </c>
      <c r="T11" s="59">
        <f t="shared" si="34"/>
        <v>317.78570695363294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>
        <f>VLOOKUP(A11,'Données projet'!$A$61:$I$81,2,0)</f>
        <v>43.530512820512811</v>
      </c>
      <c r="AG11" s="12">
        <f>VLOOKUP(A11,'Données projet'!$A$61:$I$81,9,0)</f>
        <v>11.801282051282048</v>
      </c>
      <c r="AH11" s="12">
        <f t="array" ref="AH11">INDEX(AG:AG,MIN(IF(ISNUMBER(AG11:AG207),ROW(AG11:AG207),"")))</f>
        <v>11.801282051282048</v>
      </c>
      <c r="AI11" s="13">
        <f>IF('Données projet'!$A$62&gt;35,AI10+AH11-AQ10,IF(A11&lt;'Données projet'!$A$62,$AF$205^A11,IF(A11='Données projet'!$A$62,'Données projet'!$B$62,AI10+AH11-AQ10)))</f>
        <v>43.530512820512811</v>
      </c>
      <c r="AJ11" s="13">
        <f>AI11*VLOOKUP('Données projet'!$B$10,Paramètres!$A$1:$I$89,3,0)*VLOOKUP('Données projet'!$B$10,Paramètres!$A$1:$I$89,5,0)</f>
        <v>24.446735999999994</v>
      </c>
      <c r="AK11" s="13">
        <f t="shared" si="35"/>
        <v>7.7657612901430859</v>
      </c>
      <c r="AL11" s="20">
        <f t="shared" si="4"/>
        <v>56.103432780332525</v>
      </c>
      <c r="AM11" s="59">
        <f t="shared" si="5"/>
        <v>242.85670564655308</v>
      </c>
      <c r="AN11" s="59">
        <f ca="1">AVERAGE(OFFSET($AM$3,0,0,'Données projet'!$E$10+1,1))-AVERAGE(OFFSET($H$3,0,0,'Données projet'!$E$10+1,1))</f>
        <v>123.44750406183283</v>
      </c>
      <c r="AO11" s="59">
        <f t="shared" si="36"/>
        <v>346.72009411328929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>
        <f>VLOOKUP(A11,'Données projet'!$A$87:$I$107,2,0)</f>
        <v>43.530512820512811</v>
      </c>
      <c r="BB11" s="12">
        <f>VLOOKUP(A11,'Données projet'!$A$87:$I$107,9,0)</f>
        <v>11.801282051282048</v>
      </c>
      <c r="BC11" s="12">
        <f t="array" ref="BC11">INDEX(BB:BB,MIN(IF(ISNUMBER(BB11:BB207),ROW(BB11:BB207),"")))</f>
        <v>11.801282051282048</v>
      </c>
      <c r="BD11" s="12">
        <f>IF('Données projet'!$A$88&gt;35,BD10+BC11-BL10,IF(A11&lt;'Données projet'!$A$88,$BA$205^A11,IF(A11='Données projet'!$A$88,'Données projet'!$B$88,BD10+BC11-BL10)))</f>
        <v>43.530512820512811</v>
      </c>
      <c r="BE11" s="13">
        <f>BD11*VLOOKUP('Données projet'!$B$11,Paramètres!$A$1:$I$89,3,0)*VLOOKUP('Données projet'!$B$11,Paramètres!$A$1:$I$89,5,0)</f>
        <v>24.446735999999994</v>
      </c>
      <c r="BF11" s="13">
        <f t="shared" si="37"/>
        <v>7.7657612901430859</v>
      </c>
      <c r="BG11" s="20">
        <f t="shared" si="7"/>
        <v>56.103432780332525</v>
      </c>
      <c r="BH11" s="59">
        <f t="shared" si="8"/>
        <v>242.85670564655308</v>
      </c>
      <c r="BI11" s="59">
        <f ca="1">AVERAGE(OFFSET($BH$3,0,0,'Données projet'!$E$11+1,1))-AVERAGE(OFFSET($H$3,0,0,'Données projet'!$E$11+1,1))</f>
        <v>123.44750406183283</v>
      </c>
      <c r="BJ11" s="59">
        <f t="shared" si="38"/>
        <v>346.72009411328929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7">
        <f t="shared" si="1"/>
        <v>183.33333333333334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>
        <f>VLOOKUP(A12,'Données projet'!$A$35:$I$55,2,0)</f>
        <v>56.797307692307676</v>
      </c>
      <c r="L12" s="12">
        <f>VLOOKUP(A12,'Données projet'!$A$35:$I$55,9,0)</f>
        <v>13.266794871794865</v>
      </c>
      <c r="M12" s="12">
        <f t="array" ref="M12">INDEX(L:L,MIN(IF(ISNUMBER(L12:L208),ROW(L12:L208),"")))</f>
        <v>13.266794871794865</v>
      </c>
      <c r="N12" s="13">
        <f>IF('Données projet'!$A$36&gt;35,N11+M12-V11,IF(A12&lt;'Données projet'!$A$36,$K$205^A12,IF(A12='Données projet'!$A$36,'Données projet'!$B$36,N11+M12-V11)))</f>
        <v>56.797307692307676</v>
      </c>
      <c r="O12" s="13">
        <f>N12*VLOOKUP('Données projet'!$B$9,Paramètres!$A$1:$I$89,3,0)*VLOOKUP('Données projet'!$B$9,Paramètres!$A$1:$I$89,5,0)</f>
        <v>28.884838799999994</v>
      </c>
      <c r="P12" s="13">
        <f t="shared" si="33"/>
        <v>8.9991197527674434</v>
      </c>
      <c r="Q12" s="20">
        <f t="shared" si="2"/>
        <v>65.98122781273662</v>
      </c>
      <c r="R12" s="59">
        <f t="shared" si="0"/>
        <v>255.33918656529269</v>
      </c>
      <c r="S12" s="59">
        <f ca="1">AVERAGE(OFFSET($R$3,0,0,'Données projet'!$E$9+1,1))-AVERAGE(OFFSET($H$3,0,0,'Données projet'!$E$9+1,1))</f>
        <v>112.82287576550925</v>
      </c>
      <c r="T12" s="59">
        <f t="shared" si="34"/>
        <v>317.78570695363294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>
        <f>VLOOKUP(A12,'Données projet'!$A$61:$I$81,2,0)</f>
        <v>56.797307692307676</v>
      </c>
      <c r="AG12" s="12">
        <f>VLOOKUP(A12,'Données projet'!$A$61:$I$81,9,0)</f>
        <v>13.266794871794865</v>
      </c>
      <c r="AH12" s="12">
        <f t="array" ref="AH12">INDEX(AG:AG,MIN(IF(ISNUMBER(AG12:AG208),ROW(AG12:AG208),"")))</f>
        <v>13.266794871794865</v>
      </c>
      <c r="AI12" s="13">
        <f>IF('Données projet'!$A$62&gt;35,AI11+AH12-AQ11,IF(A12&lt;'Données projet'!$A$62,$AF$205^A12,IF(A12='Données projet'!$A$62,'Données projet'!$B$62,AI11+AH12-AQ11)))</f>
        <v>56.797307692307676</v>
      </c>
      <c r="AJ12" s="13">
        <f>AI12*VLOOKUP('Données projet'!$B$10,Paramètres!$A$1:$I$89,3,0)*VLOOKUP('Données projet'!$B$10,Paramètres!$A$1:$I$89,5,0)</f>
        <v>31.897367999999993</v>
      </c>
      <c r="AK12" s="13">
        <f t="shared" si="35"/>
        <v>9.8235814270791213</v>
      </c>
      <c r="AL12" s="20">
        <f t="shared" si="4"/>
        <v>72.663986918829451</v>
      </c>
      <c r="AM12" s="59">
        <f t="shared" si="5"/>
        <v>262.02194567138554</v>
      </c>
      <c r="AN12" s="59">
        <f ca="1">AVERAGE(OFFSET($AM$3,0,0,'Données projet'!$E$10+1,1))-AVERAGE(OFFSET($H$3,0,0,'Données projet'!$E$10+1,1))</f>
        <v>123.44750406183283</v>
      </c>
      <c r="AO12" s="59">
        <f t="shared" si="36"/>
        <v>346.72009411328929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>
        <f>VLOOKUP(A12,'Données projet'!$A$87:$I$107,2,0)</f>
        <v>56.797307692307676</v>
      </c>
      <c r="BB12" s="12">
        <f>VLOOKUP(A12,'Données projet'!$A$87:$I$107,9,0)</f>
        <v>13.266794871794865</v>
      </c>
      <c r="BC12" s="12">
        <f t="array" ref="BC12">INDEX(BB:BB,MIN(IF(ISNUMBER(BB12:BB208),ROW(BB12:BB208),"")))</f>
        <v>13.266794871794865</v>
      </c>
      <c r="BD12" s="12">
        <f>IF('Données projet'!$A$88&gt;35,BD11+BC12-BL11,IF(A12&lt;'Données projet'!$A$88,$BA$205^A12,IF(A12='Données projet'!$A$88,'Données projet'!$B$88,BD11+BC12-BL11)))</f>
        <v>56.797307692307676</v>
      </c>
      <c r="BE12" s="13">
        <f>BD12*VLOOKUP('Données projet'!$B$11,Paramètres!$A$1:$I$89,3,0)*VLOOKUP('Données projet'!$B$11,Paramètres!$A$1:$I$89,5,0)</f>
        <v>31.897367999999993</v>
      </c>
      <c r="BF12" s="13">
        <f t="shared" si="37"/>
        <v>9.8235814270791213</v>
      </c>
      <c r="BG12" s="20">
        <f t="shared" si="7"/>
        <v>72.663986918829451</v>
      </c>
      <c r="BH12" s="59">
        <f t="shared" si="8"/>
        <v>262.02194567138554</v>
      </c>
      <c r="BI12" s="59">
        <f ca="1">AVERAGE(OFFSET($BH$3,0,0,'Données projet'!$E$11+1,1))-AVERAGE(OFFSET($H$3,0,0,'Données projet'!$E$11+1,1))</f>
        <v>123.44750406183283</v>
      </c>
      <c r="BJ12" s="59">
        <f t="shared" si="38"/>
        <v>346.72009411328929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7">
        <f t="shared" si="1"/>
        <v>183.33333333333334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>
        <f>VLOOKUP(A13,'Données projet'!$A$35:$I$55,2,0)</f>
        <v>71.373076923076894</v>
      </c>
      <c r="L13" s="12">
        <f>VLOOKUP(A13,'Données projet'!$A$35:$I$55,9,0)</f>
        <v>14.575769230769218</v>
      </c>
      <c r="M13" s="12">
        <f t="array" ref="M13">INDEX(L:L,MIN(IF(ISNUMBER(L13:L209),ROW(L13:L209),"")))</f>
        <v>14.575769230769218</v>
      </c>
      <c r="N13" s="13">
        <f>IF('Données projet'!$A$36&gt;35,N12+M13-V12,IF(A13&lt;'Données projet'!$A$36,$K$205^A13,IF(A13='Données projet'!$A$36,'Données projet'!$B$36,N12+M13-V12)))</f>
        <v>71.373076923076894</v>
      </c>
      <c r="O13" s="13">
        <f>N13*VLOOKUP('Données projet'!$B$9,Paramètres!$A$1:$I$89,3,0)*VLOOKUP('Données projet'!$B$9,Paramètres!$A$1:$I$89,5,0)</f>
        <v>36.297491999999991</v>
      </c>
      <c r="P13" s="13">
        <f t="shared" si="33"/>
        <v>11.011818502484722</v>
      </c>
      <c r="Q13" s="20">
        <f t="shared" si="2"/>
        <v>82.397049125160876</v>
      </c>
      <c r="R13" s="59">
        <f t="shared" si="0"/>
        <v>274.33571111020575</v>
      </c>
      <c r="S13" s="59">
        <f ca="1">AVERAGE(OFFSET($R$3,0,0,'Données projet'!$E$9+1,1))-AVERAGE(OFFSET($H$3,0,0,'Données projet'!$E$9+1,1))</f>
        <v>112.82287576550925</v>
      </c>
      <c r="T13" s="59">
        <f t="shared" si="34"/>
        <v>317.78570695363294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>
        <f>VLOOKUP(A13,'Données projet'!$A$61:$I$81,2,0)</f>
        <v>71.373076923076894</v>
      </c>
      <c r="AG13" s="12">
        <f>VLOOKUP(A13,'Données projet'!$A$61:$I$81,9,0)</f>
        <v>14.575769230769218</v>
      </c>
      <c r="AH13" s="12">
        <f t="array" ref="AH13">INDEX(AG:AG,MIN(IF(ISNUMBER(AG13:AG209),ROW(AG13:AG209),"")))</f>
        <v>14.575769230769218</v>
      </c>
      <c r="AI13" s="13">
        <f>IF('Données projet'!$A$62&gt;35,AI12+AH13-AQ12,IF(A13&lt;'Données projet'!$A$62,$AF$205^A13,IF(A13='Données projet'!$A$62,'Données projet'!$B$62,AI12+AH13-AQ12)))</f>
        <v>71.373076923076894</v>
      </c>
      <c r="AJ13" s="13">
        <f>AI13*VLOOKUP('Données projet'!$B$10,Paramètres!$A$1:$I$89,3,0)*VLOOKUP('Données projet'!$B$10,Paramètres!$A$1:$I$89,5,0)</f>
        <v>40.083119999999987</v>
      </c>
      <c r="AK13" s="13">
        <f t="shared" si="35"/>
        <v>12.020675209495755</v>
      </c>
      <c r="AL13" s="20">
        <f t="shared" si="4"/>
        <v>90.747443323205076</v>
      </c>
      <c r="AM13" s="59">
        <f t="shared" si="5"/>
        <v>282.68610530824998</v>
      </c>
      <c r="AN13" s="59">
        <f ca="1">AVERAGE(OFFSET($AM$3,0,0,'Données projet'!$E$10+1,1))-AVERAGE(OFFSET($H$3,0,0,'Données projet'!$E$10+1,1))</f>
        <v>123.44750406183283</v>
      </c>
      <c r="AO13" s="59">
        <f t="shared" si="36"/>
        <v>346.72009411328929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>
        <f>VLOOKUP(A13,'Données projet'!$A$87:$I$107,2,0)</f>
        <v>71.373076923076894</v>
      </c>
      <c r="BB13" s="12">
        <f>VLOOKUP(A13,'Données projet'!$A$87:$I$107,9,0)</f>
        <v>14.575769230769218</v>
      </c>
      <c r="BC13" s="12">
        <f t="array" ref="BC13">INDEX(BB:BB,MIN(IF(ISNUMBER(BB13:BB209),ROW(BB13:BB209),"")))</f>
        <v>14.575769230769218</v>
      </c>
      <c r="BD13" s="12">
        <f>IF('Données projet'!$A$88&gt;35,BD12+BC13-BL12,IF(A13&lt;'Données projet'!$A$88,$BA$205^A13,IF(A13='Données projet'!$A$88,'Données projet'!$B$88,BD12+BC13-BL12)))</f>
        <v>71.373076923076894</v>
      </c>
      <c r="BE13" s="13">
        <f>BD13*VLOOKUP('Données projet'!$B$11,Paramètres!$A$1:$I$89,3,0)*VLOOKUP('Données projet'!$B$11,Paramètres!$A$1:$I$89,5,0)</f>
        <v>40.083119999999987</v>
      </c>
      <c r="BF13" s="13">
        <f t="shared" si="37"/>
        <v>12.020675209495755</v>
      </c>
      <c r="BG13" s="20">
        <f t="shared" si="7"/>
        <v>90.747443323205076</v>
      </c>
      <c r="BH13" s="59">
        <f t="shared" si="8"/>
        <v>282.68610530824998</v>
      </c>
      <c r="BI13" s="59">
        <f ca="1">AVERAGE(OFFSET($BH$3,0,0,'Données projet'!$E$11+1,1))-AVERAGE(OFFSET($H$3,0,0,'Données projet'!$E$11+1,1))</f>
        <v>123.44750406183283</v>
      </c>
      <c r="BJ13" s="59">
        <f t="shared" si="38"/>
        <v>346.72009411328929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7">
        <f t="shared" si="1"/>
        <v>183.33333333333334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>
        <f>VLOOKUP(A14,'Données projet'!$A$35:$I$55,2,0)</f>
        <v>87.101282051282055</v>
      </c>
      <c r="L14" s="12">
        <f>VLOOKUP(A14,'Données projet'!$A$35:$I$55,9,0)</f>
        <v>15.728205128205161</v>
      </c>
      <c r="M14" s="12">
        <f t="array" ref="M14">INDEX(L:L,MIN(IF(ISNUMBER(L14:L210),ROW(L14:L210),"")))</f>
        <v>15.728205128205161</v>
      </c>
      <c r="N14" s="13">
        <f>IF('Données projet'!$A$36&gt;35,N13+M14-V13,IF(A14&lt;'Données projet'!$A$36,$K$205^A14,IF(A14='Données projet'!$A$36,'Données projet'!$B$36,N13+M14-V13)))</f>
        <v>87.101282051282055</v>
      </c>
      <c r="O14" s="13">
        <f>N14*VLOOKUP('Données projet'!$B$9,Paramètres!$A$1:$I$89,3,0)*VLOOKUP('Données projet'!$B$9,Paramètres!$A$1:$I$89,5,0)</f>
        <v>44.296228000000006</v>
      </c>
      <c r="P14" s="13">
        <f t="shared" si="33"/>
        <v>13.130513832601283</v>
      </c>
      <c r="Q14" s="20">
        <f t="shared" si="2"/>
        <v>100.01824202511391</v>
      </c>
      <c r="R14" s="59">
        <f t="shared" si="0"/>
        <v>294.51404063422802</v>
      </c>
      <c r="S14" s="59">
        <f ca="1">AVERAGE(OFFSET($R$3,0,0,'Données projet'!$E$9+1,1))-AVERAGE(OFFSET($H$3,0,0,'Données projet'!$E$9+1,1))</f>
        <v>112.82287576550925</v>
      </c>
      <c r="T14" s="59">
        <f t="shared" si="34"/>
        <v>317.78570695363294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>
        <f>VLOOKUP(A14,'Données projet'!$A$61:$I$81,2,0)</f>
        <v>87.101282051282055</v>
      </c>
      <c r="AG14" s="12">
        <f>VLOOKUP(A14,'Données projet'!$A$61:$I$81,9,0)</f>
        <v>15.728205128205161</v>
      </c>
      <c r="AH14" s="12">
        <f t="array" ref="AH14">INDEX(AG:AG,MIN(IF(ISNUMBER(AG14:AG210),ROW(AG14:AG210),"")))</f>
        <v>15.728205128205161</v>
      </c>
      <c r="AI14" s="13">
        <f>IF('Données projet'!$A$62&gt;35,AI13+AH14-AQ13,IF(A14&lt;'Données projet'!$A$62,$AF$205^A14,IF(A14='Données projet'!$A$62,'Données projet'!$B$62,AI13+AH14-AQ13)))</f>
        <v>87.101282051282055</v>
      </c>
      <c r="AJ14" s="13">
        <f>AI14*VLOOKUP('Données projet'!$B$10,Paramètres!$A$1:$I$89,3,0)*VLOOKUP('Données projet'!$B$10,Paramètres!$A$1:$I$89,5,0)</f>
        <v>48.916080000000001</v>
      </c>
      <c r="AK14" s="13">
        <f t="shared" si="35"/>
        <v>14.333476535222282</v>
      </c>
      <c r="AL14" s="20">
        <f t="shared" si="4"/>
        <v>110.15964429884546</v>
      </c>
      <c r="AM14" s="59">
        <f t="shared" si="5"/>
        <v>304.65544290795958</v>
      </c>
      <c r="AN14" s="59">
        <f ca="1">AVERAGE(OFFSET($AM$3,0,0,'Données projet'!$E$10+1,1))-AVERAGE(OFFSET($H$3,0,0,'Données projet'!$E$10+1,1))</f>
        <v>123.44750406183283</v>
      </c>
      <c r="AO14" s="59">
        <f t="shared" si="36"/>
        <v>346.72009411328929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>
        <f>VLOOKUP(A14,'Données projet'!$A$87:$I$107,2,0)</f>
        <v>87.101282051282055</v>
      </c>
      <c r="BB14" s="12">
        <f>VLOOKUP(A14,'Données projet'!$A$87:$I$107,9,0)</f>
        <v>15.728205128205161</v>
      </c>
      <c r="BC14" s="12">
        <f t="array" ref="BC14">INDEX(BB:BB,MIN(IF(ISNUMBER(BB14:BB210),ROW(BB14:BB210),"")))</f>
        <v>15.728205128205161</v>
      </c>
      <c r="BD14" s="12">
        <f>IF('Données projet'!$A$88&gt;35,BD13+BC14-BL13,IF(A14&lt;'Données projet'!$A$88,$BA$205^A14,IF(A14='Données projet'!$A$88,'Données projet'!$B$88,BD13+BC14-BL13)))</f>
        <v>87.101282051282055</v>
      </c>
      <c r="BE14" s="13">
        <f>BD14*VLOOKUP('Données projet'!$B$11,Paramètres!$A$1:$I$89,3,0)*VLOOKUP('Données projet'!$B$11,Paramètres!$A$1:$I$89,5,0)</f>
        <v>48.916080000000001</v>
      </c>
      <c r="BF14" s="13">
        <f t="shared" si="37"/>
        <v>14.333476535222282</v>
      </c>
      <c r="BG14" s="20">
        <f t="shared" si="7"/>
        <v>110.15964429884546</v>
      </c>
      <c r="BH14" s="59">
        <f t="shared" si="8"/>
        <v>304.65544290795958</v>
      </c>
      <c r="BI14" s="59">
        <f ca="1">AVERAGE(OFFSET($BH$3,0,0,'Données projet'!$E$11+1,1))-AVERAGE(OFFSET($H$3,0,0,'Données projet'!$E$11+1,1))</f>
        <v>123.44750406183283</v>
      </c>
      <c r="BJ14" s="59">
        <f t="shared" si="38"/>
        <v>346.72009411328929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7">
        <f t="shared" si="1"/>
        <v>183.33333333333334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>
        <f>VLOOKUP(A15,'Données projet'!$A$35:$I$55,2,0)</f>
        <v>103.82538461538462</v>
      </c>
      <c r="L15" s="12">
        <f>VLOOKUP(A15,'Données projet'!$A$35:$I$55,9,0)</f>
        <v>16.724102564102566</v>
      </c>
      <c r="M15" s="12">
        <f t="array" ref="M15">INDEX(L:L,MIN(IF(ISNUMBER(L15:L211),ROW(L15:L211),"")))</f>
        <v>16.724102564102566</v>
      </c>
      <c r="N15" s="13">
        <f>IF('Données projet'!$A$36&gt;35,N14+M15-V14,IF(A15&lt;'Données projet'!$A$36,$K$205^A15,IF(A15='Données projet'!$A$36,'Données projet'!$B$36,N14+M15-V14)))</f>
        <v>103.82538461538462</v>
      </c>
      <c r="O15" s="13">
        <f>N15*VLOOKUP('Données projet'!$B$9,Paramètres!$A$1:$I$89,3,0)*VLOOKUP('Données projet'!$B$9,Paramètres!$A$1:$I$89,5,0)</f>
        <v>52.801437600000007</v>
      </c>
      <c r="P15" s="13">
        <f t="shared" si="33"/>
        <v>15.334931732378159</v>
      </c>
      <c r="Q15" s="20">
        <f t="shared" si="2"/>
        <v>118.67084325389196</v>
      </c>
      <c r="R15" s="59">
        <f t="shared" si="0"/>
        <v>315.70062070662482</v>
      </c>
      <c r="S15" s="59">
        <f ca="1">AVERAGE(OFFSET($R$3,0,0,'Données projet'!$E$9+1,1))-AVERAGE(OFFSET($H$3,0,0,'Données projet'!$E$9+1,1))</f>
        <v>112.82287576550925</v>
      </c>
      <c r="T15" s="59">
        <f t="shared" si="34"/>
        <v>317.78570695363294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>
        <f>VLOOKUP(A15,'Données projet'!$A$61:$I$81,2,0)</f>
        <v>103.82538461538462</v>
      </c>
      <c r="AG15" s="12">
        <f>VLOOKUP(A15,'Données projet'!$A$61:$I$81,9,0)</f>
        <v>16.724102564102566</v>
      </c>
      <c r="AH15" s="12">
        <f t="array" ref="AH15">INDEX(AG:AG,MIN(IF(ISNUMBER(AG15:AG211),ROW(AG15:AG211),"")))</f>
        <v>16.724102564102566</v>
      </c>
      <c r="AI15" s="13">
        <f>IF('Données projet'!$A$62&gt;35,AI14+AH15-AQ14,IF(A15&lt;'Données projet'!$A$62,$AF$205^A15,IF(A15='Données projet'!$A$62,'Données projet'!$B$62,AI14+AH15-AQ14)))</f>
        <v>103.82538461538462</v>
      </c>
      <c r="AJ15" s="13">
        <f>AI15*VLOOKUP('Données projet'!$B$10,Paramètres!$A$1:$I$89,3,0)*VLOOKUP('Données projet'!$B$10,Paramètres!$A$1:$I$89,5,0)</f>
        <v>58.308336000000004</v>
      </c>
      <c r="AK15" s="13">
        <f t="shared" si="35"/>
        <v>16.739853973538889</v>
      </c>
      <c r="AL15" s="20">
        <f t="shared" si="4"/>
        <v>130.70893087058025</v>
      </c>
      <c r="AM15" s="59">
        <f t="shared" si="5"/>
        <v>327.73870832331312</v>
      </c>
      <c r="AN15" s="59">
        <f ca="1">AVERAGE(OFFSET($AM$3,0,0,'Données projet'!$E$10+1,1))-AVERAGE(OFFSET($H$3,0,0,'Données projet'!$E$10+1,1))</f>
        <v>123.44750406183283</v>
      </c>
      <c r="AO15" s="59">
        <f t="shared" si="36"/>
        <v>346.72009411328929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>
        <f>VLOOKUP(A15,'Données projet'!$A$87:$I$107,2,0)</f>
        <v>103.82538461538462</v>
      </c>
      <c r="BB15" s="12">
        <f>VLOOKUP(A15,'Données projet'!$A$87:$I$107,9,0)</f>
        <v>16.724102564102566</v>
      </c>
      <c r="BC15" s="12">
        <f t="array" ref="BC15">INDEX(BB:BB,MIN(IF(ISNUMBER(BB15:BB211),ROW(BB15:BB211),"")))</f>
        <v>16.724102564102566</v>
      </c>
      <c r="BD15" s="12">
        <f>IF('Données projet'!$A$88&gt;35,BD14+BC15-BL14,IF(A15&lt;'Données projet'!$A$88,$BA$205^A15,IF(A15='Données projet'!$A$88,'Données projet'!$B$88,BD14+BC15-BL14)))</f>
        <v>103.82538461538462</v>
      </c>
      <c r="BE15" s="13">
        <f>BD15*VLOOKUP('Données projet'!$B$11,Paramètres!$A$1:$I$89,3,0)*VLOOKUP('Données projet'!$B$11,Paramètres!$A$1:$I$89,5,0)</f>
        <v>58.308336000000004</v>
      </c>
      <c r="BF15" s="13">
        <f t="shared" si="37"/>
        <v>16.739853973538889</v>
      </c>
      <c r="BG15" s="20">
        <f t="shared" si="7"/>
        <v>130.70893087058025</v>
      </c>
      <c r="BH15" s="59">
        <f t="shared" si="8"/>
        <v>327.73870832331312</v>
      </c>
      <c r="BI15" s="59">
        <f ca="1">AVERAGE(OFFSET($BH$3,0,0,'Données projet'!$E$11+1,1))-AVERAGE(OFFSET($H$3,0,0,'Données projet'!$E$11+1,1))</f>
        <v>123.44750406183283</v>
      </c>
      <c r="BJ15" s="59">
        <f t="shared" si="38"/>
        <v>346.72009411328929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7">
        <f t="shared" si="1"/>
        <v>183.33333333333334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>
        <f>VLOOKUP(A16,'Données projet'!$A$35:$I$55,2,0)</f>
        <v>121.38884615384613</v>
      </c>
      <c r="L16" s="12">
        <f>VLOOKUP(A16,'Données projet'!$A$35:$I$55,9,0)</f>
        <v>17.56346153846151</v>
      </c>
      <c r="M16" s="12">
        <f t="array" ref="M16">INDEX(L:L,MIN(IF(ISNUMBER(L16:L212),ROW(L16:L212),"")))</f>
        <v>17.56346153846151</v>
      </c>
      <c r="N16" s="13">
        <f>IF('Données projet'!$A$36&gt;35,N15+M16-V15,IF(A16&lt;'Données projet'!$A$36,$K$205^A16,IF(A16='Données projet'!$A$36,'Données projet'!$B$36,N15+M16-V15)))</f>
        <v>121.38884615384613</v>
      </c>
      <c r="O16" s="13">
        <f>N16*VLOOKUP('Données projet'!$B$9,Paramètres!$A$1:$I$89,3,0)*VLOOKUP('Données projet'!$B$9,Paramètres!$A$1:$I$89,5,0)</f>
        <v>61.733511599999993</v>
      </c>
      <c r="P16" s="13">
        <f t="shared" si="33"/>
        <v>17.605825957786696</v>
      </c>
      <c r="Q16" s="20">
        <f t="shared" si="2"/>
        <v>138.18267957981183</v>
      </c>
      <c r="R16" s="59">
        <f t="shared" si="0"/>
        <v>337.72367983143067</v>
      </c>
      <c r="S16" s="59">
        <f ca="1">AVERAGE(OFFSET($R$3,0,0,'Données projet'!$E$9+1,1))-AVERAGE(OFFSET($H$3,0,0,'Données projet'!$E$9+1,1))</f>
        <v>112.82287576550925</v>
      </c>
      <c r="T16" s="59">
        <f t="shared" si="34"/>
        <v>317.78570695363294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>
        <f>VLOOKUP(A16,'Données projet'!$A$61:$I$81,2,0)</f>
        <v>121.38884615384613</v>
      </c>
      <c r="AG16" s="12">
        <f>VLOOKUP(A16,'Données projet'!$A$61:$I$81,9,0)</f>
        <v>17.56346153846151</v>
      </c>
      <c r="AH16" s="12">
        <f t="array" ref="AH16">INDEX(AG:AG,MIN(IF(ISNUMBER(AG16:AG212),ROW(AG16:AG212),"")))</f>
        <v>17.56346153846151</v>
      </c>
      <c r="AI16" s="13">
        <f>IF('Données projet'!$A$62&gt;35,AI15+AH16-AQ15,IF(A16&lt;'Données projet'!$A$62,$AF$205^A16,IF(A16='Données projet'!$A$62,'Données projet'!$B$62,AI15+AH16-AQ15)))</f>
        <v>121.38884615384613</v>
      </c>
      <c r="AJ16" s="13">
        <f>AI16*VLOOKUP('Données projet'!$B$10,Paramètres!$A$1:$I$89,3,0)*VLOOKUP('Données projet'!$B$10,Paramètres!$A$1:$I$89,5,0)</f>
        <v>68.171975999999987</v>
      </c>
      <c r="AK16" s="13">
        <f t="shared" si="35"/>
        <v>19.218798020119021</v>
      </c>
      <c r="AL16" s="20">
        <f t="shared" si="4"/>
        <v>152.20559808504061</v>
      </c>
      <c r="AM16" s="59">
        <f t="shared" si="5"/>
        <v>351.74659833665942</v>
      </c>
      <c r="AN16" s="59">
        <f ca="1">AVERAGE(OFFSET($AM$3,0,0,'Données projet'!$E$10+1,1))-AVERAGE(OFFSET($H$3,0,0,'Données projet'!$E$10+1,1))</f>
        <v>123.44750406183283</v>
      </c>
      <c r="AO16" s="59">
        <f t="shared" si="36"/>
        <v>346.72009411328929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>
        <f>VLOOKUP(A16,'Données projet'!$A$87:$I$107,2,0)</f>
        <v>121.38884615384613</v>
      </c>
      <c r="BB16" s="12">
        <f>VLOOKUP(A16,'Données projet'!$A$87:$I$107,9,0)</f>
        <v>17.56346153846151</v>
      </c>
      <c r="BC16" s="12">
        <f t="array" ref="BC16">INDEX(BB:BB,MIN(IF(ISNUMBER(BB16:BB212),ROW(BB16:BB212),"")))</f>
        <v>17.56346153846151</v>
      </c>
      <c r="BD16" s="12">
        <f>IF('Données projet'!$A$88&gt;35,BD15+BC16-BL15,IF(A16&lt;'Données projet'!$A$88,$BA$205^A16,IF(A16='Données projet'!$A$88,'Données projet'!$B$88,BD15+BC16-BL15)))</f>
        <v>121.38884615384613</v>
      </c>
      <c r="BE16" s="13">
        <f>BD16*VLOOKUP('Données projet'!$B$11,Paramètres!$A$1:$I$89,3,0)*VLOOKUP('Données projet'!$B$11,Paramètres!$A$1:$I$89,5,0)</f>
        <v>68.171975999999987</v>
      </c>
      <c r="BF16" s="13">
        <f t="shared" si="37"/>
        <v>19.218798020119021</v>
      </c>
      <c r="BG16" s="20">
        <f t="shared" si="7"/>
        <v>152.20559808504061</v>
      </c>
      <c r="BH16" s="59">
        <f t="shared" si="8"/>
        <v>351.74659833665942</v>
      </c>
      <c r="BI16" s="59">
        <f ca="1">AVERAGE(OFFSET($BH$3,0,0,'Données projet'!$E$11+1,1))-AVERAGE(OFFSET($H$3,0,0,'Données projet'!$E$11+1,1))</f>
        <v>123.44750406183283</v>
      </c>
      <c r="BJ16" s="59">
        <f t="shared" si="38"/>
        <v>346.72009411328929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7">
        <f t="shared" si="1"/>
        <v>183.33333333333334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>
        <f>VLOOKUP(A17,'Données projet'!$A$35:$I$55,2,0)</f>
        <v>139.63512820512813</v>
      </c>
      <c r="L17" s="12">
        <f>VLOOKUP(A17,'Données projet'!$A$35:$I$55,9,0)</f>
        <v>18.246282051281995</v>
      </c>
      <c r="M17" s="12">
        <f t="array" ref="M17">INDEX(L:L,MIN(IF(ISNUMBER(L17:L213),ROW(L17:L213),"")))</f>
        <v>18.246282051281995</v>
      </c>
      <c r="N17" s="13">
        <f>IF('Données projet'!$A$36&gt;35,N16+M17-V16,IF(A17&lt;'Données projet'!$A$36,$K$205^A17,IF(A17='Données projet'!$A$36,'Données projet'!$B$36,N16+M17-V16)))</f>
        <v>139.63512820512813</v>
      </c>
      <c r="O17" s="13">
        <f>N17*VLOOKUP('Données projet'!$B$9,Paramètres!$A$1:$I$89,3,0)*VLOOKUP('Données projet'!$B$9,Paramètres!$A$1:$I$89,5,0)</f>
        <v>71.012840799999964</v>
      </c>
      <c r="P17" s="13">
        <f t="shared" si="33"/>
        <v>19.924770961221942</v>
      </c>
      <c r="Q17" s="20">
        <f t="shared" si="2"/>
        <v>158.38300715079481</v>
      </c>
      <c r="R17" s="59">
        <f t="shared" si="0"/>
        <v>360.412868923068</v>
      </c>
      <c r="S17" s="59">
        <f ca="1">AVERAGE(OFFSET($R$3,0,0,'Données projet'!$E$9+1,1))-AVERAGE(OFFSET($H$3,0,0,'Données projet'!$E$9+1,1))</f>
        <v>112.82287576550925</v>
      </c>
      <c r="T17" s="59">
        <f t="shared" si="34"/>
        <v>317.78570695363294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>
        <f>VLOOKUP(A17,'Données projet'!$A$61:$I$81,2,0)</f>
        <v>139.63512820512813</v>
      </c>
      <c r="AG17" s="12">
        <f>VLOOKUP(A17,'Données projet'!$A$61:$I$81,9,0)</f>
        <v>18.246282051281995</v>
      </c>
      <c r="AH17" s="12">
        <f t="array" ref="AH17">INDEX(AG:AG,MIN(IF(ISNUMBER(AG17:AG213),ROW(AG17:AG213),"")))</f>
        <v>18.246282051281995</v>
      </c>
      <c r="AI17" s="13">
        <f>IF('Données projet'!$A$62&gt;35,AI16+AH17-AQ16,IF(A17&lt;'Données projet'!$A$62,$AF$205^A17,IF(A17='Données projet'!$A$62,'Données projet'!$B$62,AI16+AH17-AQ16)))</f>
        <v>139.63512820512813</v>
      </c>
      <c r="AJ17" s="13">
        <f>AI17*VLOOKUP('Données projet'!$B$10,Paramètres!$A$1:$I$89,3,0)*VLOOKUP('Données projet'!$B$10,Paramètres!$A$1:$I$89,5,0)</f>
        <v>78.419087999999945</v>
      </c>
      <c r="AK17" s="13">
        <f t="shared" si="35"/>
        <v>21.750195055830073</v>
      </c>
      <c r="AL17" s="20">
        <f t="shared" si="4"/>
        <v>174.46150132223727</v>
      </c>
      <c r="AM17" s="59">
        <f t="shared" si="5"/>
        <v>376.49136309451046</v>
      </c>
      <c r="AN17" s="59">
        <f ca="1">AVERAGE(OFFSET($AM$3,0,0,'Données projet'!$E$10+1,1))-AVERAGE(OFFSET($H$3,0,0,'Données projet'!$E$10+1,1))</f>
        <v>123.44750406183283</v>
      </c>
      <c r="AO17" s="59">
        <f t="shared" si="36"/>
        <v>346.72009411328929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>
        <f>VLOOKUP(A17,'Données projet'!$A$87:$I$107,2,0)</f>
        <v>139.63512820512813</v>
      </c>
      <c r="BB17" s="12">
        <f>VLOOKUP(A17,'Données projet'!$A$87:$I$107,9,0)</f>
        <v>18.246282051281995</v>
      </c>
      <c r="BC17" s="12">
        <f t="array" ref="BC17">INDEX(BB:BB,MIN(IF(ISNUMBER(BB17:BB213),ROW(BB17:BB213),"")))</f>
        <v>18.246282051281995</v>
      </c>
      <c r="BD17" s="12">
        <f>IF('Données projet'!$A$88&gt;35,BD16+BC17-BL16,IF(A17&lt;'Données projet'!$A$88,$BA$205^A17,IF(A17='Données projet'!$A$88,'Données projet'!$B$88,BD16+BC17-BL16)))</f>
        <v>139.63512820512813</v>
      </c>
      <c r="BE17" s="13">
        <f>BD17*VLOOKUP('Données projet'!$B$11,Paramètres!$A$1:$I$89,3,0)*VLOOKUP('Données projet'!$B$11,Paramètres!$A$1:$I$89,5,0)</f>
        <v>78.419087999999945</v>
      </c>
      <c r="BF17" s="13">
        <f t="shared" si="37"/>
        <v>21.750195055830073</v>
      </c>
      <c r="BG17" s="20">
        <f t="shared" si="7"/>
        <v>174.46150132223727</v>
      </c>
      <c r="BH17" s="59">
        <f t="shared" si="8"/>
        <v>376.49136309451046</v>
      </c>
      <c r="BI17" s="59">
        <f ca="1">AVERAGE(OFFSET($BH$3,0,0,'Données projet'!$E$11+1,1))-AVERAGE(OFFSET($H$3,0,0,'Données projet'!$E$11+1,1))</f>
        <v>123.44750406183283</v>
      </c>
      <c r="BJ17" s="59">
        <f t="shared" si="38"/>
        <v>346.72009411328929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7">
        <f t="shared" si="1"/>
        <v>183.33333333333334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158.40769230769226</v>
      </c>
      <c r="L18" s="12">
        <f>VLOOKUP(A18,'Données projet'!$A$35:$I$55,9,0)</f>
        <v>18.772564102564132</v>
      </c>
      <c r="M18" s="12">
        <f t="array" ref="M18">INDEX(L:L,MIN(IF(ISNUMBER(L18:L214),ROW(L18:L214),"")))</f>
        <v>18.772564102564132</v>
      </c>
      <c r="N18" s="13">
        <f>IF('Données projet'!$A$36&gt;35,N17+M18-V17,IF(A18&lt;'Données projet'!$A$36,$K$205^A18,IF(A18='Données projet'!$A$36,'Données projet'!$B$36,N17+M18-V17)))</f>
        <v>158.40769230769226</v>
      </c>
      <c r="O18" s="13">
        <f>N18*VLOOKUP('Données projet'!$B$9,Paramètres!$A$1:$I$89,3,0)*VLOOKUP('Données projet'!$B$9,Paramètres!$A$1:$I$89,5,0)</f>
        <v>80.559815999999984</v>
      </c>
      <c r="P18" s="13">
        <f t="shared" si="33"/>
        <v>22.274006449865396</v>
      </c>
      <c r="Q18" s="20">
        <f t="shared" si="2"/>
        <v>179.10224076684889</v>
      </c>
      <c r="R18" s="59">
        <f t="shared" si="0"/>
        <v>383.59899069972994</v>
      </c>
      <c r="S18" s="59">
        <f ca="1">AVERAGE(OFFSET($R$3,0,0,'Données projet'!$E$9+1,1))-AVERAGE(OFFSET($H$3,0,0,'Données projet'!$E$9+1,1))</f>
        <v>112.82287576550925</v>
      </c>
      <c r="T18" s="59">
        <f t="shared" si="34"/>
        <v>317.78570695363294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>
        <f>VLOOKUP(A18,'Données projet'!$A$61:$I$81,2,0)</f>
        <v>158.40769230769226</v>
      </c>
      <c r="AG18" s="12">
        <f>VLOOKUP(A18,'Données projet'!$A$61:$I$81,9,0)</f>
        <v>18.772564102564132</v>
      </c>
      <c r="AH18" s="12">
        <f t="array" ref="AH18">INDEX(AG:AG,MIN(IF(ISNUMBER(AG18:AG214),ROW(AG18:AG214),"")))</f>
        <v>18.772564102564132</v>
      </c>
      <c r="AI18" s="13">
        <f>IF('Données projet'!$A$62&gt;35,AI17+AH18-AQ17,IF(A18&lt;'Données projet'!$A$62,$AF$205^A18,IF(A18='Données projet'!$A$62,'Données projet'!$B$62,AI17+AH18-AQ17)))</f>
        <v>158.40769230769226</v>
      </c>
      <c r="AJ18" s="13">
        <f>AI18*VLOOKUP('Données projet'!$B$10,Paramètres!$A$1:$I$89,3,0)*VLOOKUP('Données projet'!$B$10,Paramètres!$A$1:$I$89,5,0)</f>
        <v>88.96175999999997</v>
      </c>
      <c r="AK18" s="13">
        <f t="shared" si="35"/>
        <v>24.314657664184178</v>
      </c>
      <c r="AL18" s="20">
        <f t="shared" si="4"/>
        <v>197.28976076512072</v>
      </c>
      <c r="AM18" s="59">
        <f t="shared" si="5"/>
        <v>401.78651069800173</v>
      </c>
      <c r="AN18" s="59">
        <f ca="1">AVERAGE(OFFSET($AM$3,0,0,'Données projet'!$E$10+1,1))-AVERAGE(OFFSET($H$3,0,0,'Données projet'!$E$10+1,1))</f>
        <v>123.44750406183283</v>
      </c>
      <c r="AO18" s="59">
        <f t="shared" si="36"/>
        <v>346.72009411328929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projet'!$A$87:$I$107,2,0)</f>
        <v>158.40769230769226</v>
      </c>
      <c r="BB18" s="12">
        <f>VLOOKUP(A18,'Données projet'!$A$87:$I$107,9,0)</f>
        <v>18.772564102564132</v>
      </c>
      <c r="BC18" s="12">
        <f t="array" ref="BC18">INDEX(BB:BB,MIN(IF(ISNUMBER(BB18:BB214),ROW(BB18:BB214),"")))</f>
        <v>18.772564102564132</v>
      </c>
      <c r="BD18" s="12">
        <f>IF('Données projet'!$A$88&gt;35,BD17+BC18-BL17,IF(A18&lt;'Données projet'!$A$88,$BA$205^A18,IF(A18='Données projet'!$A$88,'Données projet'!$B$88,BD17+BC18-BL17)))</f>
        <v>158.40769230769226</v>
      </c>
      <c r="BE18" s="13">
        <f>BD18*VLOOKUP('Données projet'!$B$11,Paramètres!$A$1:$I$89,3,0)*VLOOKUP('Données projet'!$B$11,Paramètres!$A$1:$I$89,5,0)</f>
        <v>88.96175999999997</v>
      </c>
      <c r="BF18" s="13">
        <f t="shared" si="37"/>
        <v>24.314657664184178</v>
      </c>
      <c r="BG18" s="20">
        <f t="shared" si="7"/>
        <v>197.28976076512072</v>
      </c>
      <c r="BH18" s="59">
        <f t="shared" si="8"/>
        <v>401.78651069800173</v>
      </c>
      <c r="BI18" s="59">
        <f ca="1">AVERAGE(OFFSET($BH$3,0,0,'Données projet'!$E$11+1,1))-AVERAGE(OFFSET($H$3,0,0,'Données projet'!$E$11+1,1))</f>
        <v>123.44750406183283</v>
      </c>
      <c r="BJ18" s="59">
        <f t="shared" si="38"/>
        <v>346.72009411328929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7">
        <f t="shared" si="1"/>
        <v>183.33333333333334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>
        <f>VLOOKUP(A19,'Données projet'!$A$35:$I$55,2,0)</f>
        <v>177.54999999999995</v>
      </c>
      <c r="L19" s="12">
        <f>VLOOKUP(A19,'Données projet'!$A$35:$I$55,9,0)</f>
        <v>19.142307692307696</v>
      </c>
      <c r="M19" s="12">
        <f t="array" ref="M19">INDEX(L:L,MIN(IF(ISNUMBER(L19:L215),ROW(L19:L215),"")))</f>
        <v>19.142307692307696</v>
      </c>
      <c r="N19" s="13">
        <f>IF('Données projet'!$A$36&gt;35,N18+M19-V18,IF(A19&lt;'Données projet'!$A$36,$K$205^A19,IF(A19='Données projet'!$A$36,'Données projet'!$B$36,N18+M19-V18)))</f>
        <v>177.54999999999995</v>
      </c>
      <c r="O19" s="13">
        <f>N19*VLOOKUP('Données projet'!$B$9,Paramètres!$A$1:$I$89,3,0)*VLOOKUP('Données projet'!$B$9,Paramètres!$A$1:$I$89,5,0)</f>
        <v>90.294827999999981</v>
      </c>
      <c r="P19" s="13">
        <f t="shared" si="33"/>
        <v>24.636316867930056</v>
      </c>
      <c r="Q19" s="20">
        <f t="shared" si="2"/>
        <v>200.1717439783115</v>
      </c>
      <c r="R19" s="59">
        <f t="shared" si="0"/>
        <v>407.11378990042556</v>
      </c>
      <c r="S19" s="59">
        <f ca="1">AVERAGE(OFFSET($R$3,0,0,'Données projet'!$E$9+1,1))-AVERAGE(OFFSET($H$3,0,0,'Données projet'!$E$9+1,1))</f>
        <v>112.82287576550925</v>
      </c>
      <c r="T19" s="59">
        <f t="shared" si="34"/>
        <v>317.78570695363294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>
        <f>VLOOKUP(A19,'Données projet'!$A$61:$I$81,2,0)</f>
        <v>177.54999999999995</v>
      </c>
      <c r="AG19" s="12">
        <f>VLOOKUP(A19,'Données projet'!$A$61:$I$81,9,0)</f>
        <v>19.142307692307696</v>
      </c>
      <c r="AH19" s="12">
        <f t="array" ref="AH19">INDEX(AG:AG,MIN(IF(ISNUMBER(AG19:AG215),ROW(AG19:AG215),"")))</f>
        <v>19.142307692307696</v>
      </c>
      <c r="AI19" s="13">
        <f>IF('Données projet'!$A$62&gt;35,AI18+AH19-AQ18,IF(A19&lt;'Données projet'!$A$62,$AF$205^A19,IF(A19='Données projet'!$A$62,'Données projet'!$B$62,AI18+AH19-AQ18)))</f>
        <v>177.54999999999995</v>
      </c>
      <c r="AJ19" s="13">
        <f>AI19*VLOOKUP('Données projet'!$B$10,Paramètres!$A$1:$I$89,3,0)*VLOOKUP('Données projet'!$B$10,Paramètres!$A$1:$I$89,5,0)</f>
        <v>99.712079999999972</v>
      </c>
      <c r="AK19" s="13">
        <f t="shared" si="35"/>
        <v>26.893393072251083</v>
      </c>
      <c r="AL19" s="20">
        <f t="shared" si="4"/>
        <v>220.50453226750392</v>
      </c>
      <c r="AM19" s="59">
        <f t="shared" si="5"/>
        <v>427.44657818961798</v>
      </c>
      <c r="AN19" s="59">
        <f ca="1">AVERAGE(OFFSET($AM$3,0,0,'Données projet'!$E$10+1,1))-AVERAGE(OFFSET($H$3,0,0,'Données projet'!$E$10+1,1))</f>
        <v>123.44750406183283</v>
      </c>
      <c r="AO19" s="59">
        <f t="shared" si="36"/>
        <v>346.72009411328929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>
        <f>VLOOKUP(A19,'Données projet'!$A$87:$I$107,2,0)</f>
        <v>177.54999999999995</v>
      </c>
      <c r="BB19" s="12">
        <f>VLOOKUP(A19,'Données projet'!$A$87:$I$107,9,0)</f>
        <v>19.142307692307696</v>
      </c>
      <c r="BC19" s="12">
        <f t="array" ref="BC19">INDEX(BB:BB,MIN(IF(ISNUMBER(BB19:BB215),ROW(BB19:BB215),"")))</f>
        <v>19.142307692307696</v>
      </c>
      <c r="BD19" s="12">
        <f>IF('Données projet'!$A$88&gt;35,BD18+BC19-BL18,IF(A19&lt;'Données projet'!$A$88,$BA$205^A19,IF(A19='Données projet'!$A$88,'Données projet'!$B$88,BD18+BC19-BL18)))</f>
        <v>177.54999999999995</v>
      </c>
      <c r="BE19" s="13">
        <f>BD19*VLOOKUP('Données projet'!$B$11,Paramètres!$A$1:$I$89,3,0)*VLOOKUP('Données projet'!$B$11,Paramètres!$A$1:$I$89,5,0)</f>
        <v>99.712079999999972</v>
      </c>
      <c r="BF19" s="13">
        <f t="shared" si="37"/>
        <v>26.893393072251083</v>
      </c>
      <c r="BG19" s="20">
        <f t="shared" si="7"/>
        <v>220.50453226750392</v>
      </c>
      <c r="BH19" s="59">
        <f t="shared" si="8"/>
        <v>427.44657818961798</v>
      </c>
      <c r="BI19" s="59">
        <f ca="1">AVERAGE(OFFSET($BH$3,0,0,'Données projet'!$E$11+1,1))-AVERAGE(OFFSET($H$3,0,0,'Données projet'!$E$11+1,1))</f>
        <v>123.44750406183283</v>
      </c>
      <c r="BJ19" s="59">
        <f t="shared" si="38"/>
        <v>346.72009411328929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7">
        <f t="shared" si="1"/>
        <v>183.33333333333334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>
        <f>VLOOKUP(A20,'Données projet'!$A$35:$I$55,2,0)</f>
        <v>196.90551282051274</v>
      </c>
      <c r="L20" s="12">
        <f>VLOOKUP(A20,'Données projet'!$A$35:$I$55,9,0)</f>
        <v>19.355512820512786</v>
      </c>
      <c r="M20" s="12">
        <f t="array" ref="M20">INDEX(L:L,MIN(IF(ISNUMBER(L20:L216),ROW(L20:L216),"")))</f>
        <v>19.355512820512786</v>
      </c>
      <c r="N20" s="13">
        <f>IF('Données projet'!$A$36&gt;35,N19+M20-V19,IF(A20&lt;'Données projet'!$A$36,$K$205^A20,IF(A20='Données projet'!$A$36,'Données projet'!$B$36,N19+M20-V19)))</f>
        <v>196.90551282051274</v>
      </c>
      <c r="O20" s="13">
        <f>N20*VLOOKUP('Données projet'!$B$9,Paramètres!$A$1:$I$89,3,0)*VLOOKUP('Données projet'!$B$9,Paramètres!$A$1:$I$89,5,0)</f>
        <v>100.13826759999998</v>
      </c>
      <c r="P20" s="13">
        <f t="shared" si="33"/>
        <v>26.994935247983022</v>
      </c>
      <c r="Q20" s="20">
        <f t="shared" si="2"/>
        <v>221.42366162690371</v>
      </c>
      <c r="R20" s="59">
        <f t="shared" si="0"/>
        <v>430.78978594277646</v>
      </c>
      <c r="S20" s="59">
        <f ca="1">AVERAGE(OFFSET($R$3,0,0,'Données projet'!$E$9+1,1))-AVERAGE(OFFSET($H$3,0,0,'Données projet'!$E$9+1,1))</f>
        <v>112.82287576550925</v>
      </c>
      <c r="T20" s="59">
        <f t="shared" si="34"/>
        <v>317.78570695363294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>
        <f>VLOOKUP(A20,'Données projet'!$A$61:$I$81,2,0)</f>
        <v>196.90551282051274</v>
      </c>
      <c r="AG20" s="12">
        <f>VLOOKUP(A20,'Données projet'!$A$61:$I$81,9,0)</f>
        <v>19.355512820512786</v>
      </c>
      <c r="AH20" s="12">
        <f t="array" ref="AH20">INDEX(AG:AG,MIN(IF(ISNUMBER(AG20:AG216),ROW(AG20:AG216),"")))</f>
        <v>19.355512820512786</v>
      </c>
      <c r="AI20" s="13">
        <f>IF('Données projet'!$A$62&gt;35,AI19+AH20-AQ19,IF(A20&lt;'Données projet'!$A$62,$AF$205^A20,IF(A20='Données projet'!$A$62,'Données projet'!$B$62,AI19+AH20-AQ19)))</f>
        <v>196.90551282051274</v>
      </c>
      <c r="AJ20" s="13">
        <f>AI20*VLOOKUP('Données projet'!$B$10,Paramètres!$A$1:$I$89,3,0)*VLOOKUP('Données projet'!$B$10,Paramètres!$A$1:$I$89,5,0)</f>
        <v>110.58213599999996</v>
      </c>
      <c r="AK20" s="13">
        <f t="shared" si="35"/>
        <v>29.46809819324141</v>
      </c>
      <c r="AL20" s="20">
        <f t="shared" si="4"/>
        <v>243.9208245532287</v>
      </c>
      <c r="AM20" s="59">
        <f t="shared" si="5"/>
        <v>453.28694886910142</v>
      </c>
      <c r="AN20" s="59">
        <f ca="1">AVERAGE(OFFSET($AM$3,0,0,'Données projet'!$E$10+1,1))-AVERAGE(OFFSET($H$3,0,0,'Données projet'!$E$10+1,1))</f>
        <v>123.44750406183283</v>
      </c>
      <c r="AO20" s="59">
        <f t="shared" si="36"/>
        <v>346.72009411328929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>
        <f>VLOOKUP(A20,'Données projet'!$A$87:$I$107,2,0)</f>
        <v>196.90551282051274</v>
      </c>
      <c r="BB20" s="12">
        <f>VLOOKUP(A20,'Données projet'!$A$87:$I$107,9,0)</f>
        <v>19.355512820512786</v>
      </c>
      <c r="BC20" s="12">
        <f t="array" ref="BC20">INDEX(BB:BB,MIN(IF(ISNUMBER(BB20:BB216),ROW(BB20:BB216),"")))</f>
        <v>19.355512820512786</v>
      </c>
      <c r="BD20" s="12">
        <f>IF('Données projet'!$A$88&gt;35,BD19+BC20-BL19,IF(A20&lt;'Données projet'!$A$88,$BA$205^A20,IF(A20='Données projet'!$A$88,'Données projet'!$B$88,BD19+BC20-BL19)))</f>
        <v>196.90551282051274</v>
      </c>
      <c r="BE20" s="13">
        <f>BD20*VLOOKUP('Données projet'!$B$11,Paramètres!$A$1:$I$89,3,0)*VLOOKUP('Données projet'!$B$11,Paramètres!$A$1:$I$89,5,0)</f>
        <v>110.58213599999996</v>
      </c>
      <c r="BF20" s="13">
        <f t="shared" si="37"/>
        <v>29.46809819324141</v>
      </c>
      <c r="BG20" s="20">
        <f t="shared" si="7"/>
        <v>243.9208245532287</v>
      </c>
      <c r="BH20" s="59">
        <f t="shared" si="8"/>
        <v>453.28694886910142</v>
      </c>
      <c r="BI20" s="59">
        <f ca="1">AVERAGE(OFFSET($BH$3,0,0,'Données projet'!$E$11+1,1))-AVERAGE(OFFSET($H$3,0,0,'Données projet'!$E$11+1,1))</f>
        <v>123.44750406183283</v>
      </c>
      <c r="BJ20" s="59">
        <f t="shared" si="38"/>
        <v>346.72009411328929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7">
        <f t="shared" si="1"/>
        <v>183.33333333333334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>
        <f>VLOOKUP(A21,'Données projet'!$A$35:$I$55,2,0)</f>
        <v>216.31769230769225</v>
      </c>
      <c r="L21" s="12">
        <f>VLOOKUP(A21,'Données projet'!$A$35:$I$55,9,0)</f>
        <v>19.412179487179515</v>
      </c>
      <c r="M21" s="12">
        <f t="array" ref="M21">INDEX(L:L,MIN(IF(ISNUMBER(L21:L217),ROW(L21:L217),"")))</f>
        <v>19.412179487179515</v>
      </c>
      <c r="N21" s="13">
        <f>IF('Données projet'!$A$36&gt;35,N20+M21-V20,IF(A21&lt;'Données projet'!$A$36,$K$205^A21,IF(A21='Données projet'!$A$36,'Données projet'!$B$36,N20+M21-V20)))</f>
        <v>216.31769230769225</v>
      </c>
      <c r="O21" s="13">
        <f>N21*VLOOKUP('Données projet'!$B$9,Paramètres!$A$1:$I$89,3,0)*VLOOKUP('Données projet'!$B$9,Paramètres!$A$1:$I$89,5,0)</f>
        <v>110.01052559999998</v>
      </c>
      <c r="P21" s="13">
        <f t="shared" si="33"/>
        <v>29.333464472205538</v>
      </c>
      <c r="Q21" s="20">
        <f t="shared" si="2"/>
        <v>242.69078270909122</v>
      </c>
      <c r="R21" s="59">
        <f t="shared" si="0"/>
        <v>454.4601359010943</v>
      </c>
      <c r="S21" s="59">
        <f ca="1">AVERAGE(OFFSET($R$3,0,0,'Données projet'!$E$9+1,1))-AVERAGE(OFFSET($H$3,0,0,'Données projet'!$E$9+1,1))</f>
        <v>112.82287576550925</v>
      </c>
      <c r="T21" s="59">
        <f t="shared" si="34"/>
        <v>317.78570695363294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>
        <f>VLOOKUP(A21,'Données projet'!$A$61:$I$81,2,0)</f>
        <v>216.31769230769225</v>
      </c>
      <c r="AG21" s="12">
        <f>VLOOKUP(A21,'Données projet'!$A$61:$I$81,9,0)</f>
        <v>19.412179487179515</v>
      </c>
      <c r="AH21" s="12">
        <f t="array" ref="AH21">INDEX(AG:AG,MIN(IF(ISNUMBER(AG21:AG217),ROW(AG21:AG217),"")))</f>
        <v>19.412179487179515</v>
      </c>
      <c r="AI21" s="13">
        <f>IF('Données projet'!$A$62&gt;35,AI20+AH21-AQ20,IF(A21&lt;'Données projet'!$A$62,$AF$205^A21,IF(A21='Données projet'!$A$62,'Données projet'!$B$62,AI20+AH21-AQ20)))</f>
        <v>216.31769230769225</v>
      </c>
      <c r="AJ21" s="13">
        <f>AI21*VLOOKUP('Données projet'!$B$10,Paramètres!$A$1:$I$89,3,0)*VLOOKUP('Données projet'!$B$10,Paramètres!$A$1:$I$89,5,0)</f>
        <v>121.48401599999997</v>
      </c>
      <c r="AK21" s="13">
        <f t="shared" si="35"/>
        <v>32.020873674053227</v>
      </c>
      <c r="AL21" s="20">
        <f t="shared" si="4"/>
        <v>267.35434951564264</v>
      </c>
      <c r="AM21" s="59">
        <f t="shared" si="5"/>
        <v>479.12370270764575</v>
      </c>
      <c r="AN21" s="59">
        <f ca="1">AVERAGE(OFFSET($AM$3,0,0,'Données projet'!$E$10+1,1))-AVERAGE(OFFSET($H$3,0,0,'Données projet'!$E$10+1,1))</f>
        <v>123.44750406183283</v>
      </c>
      <c r="AO21" s="59">
        <f t="shared" si="36"/>
        <v>346.72009411328929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>
        <f>VLOOKUP(A21,'Données projet'!$A$87:$I$107,2,0)</f>
        <v>216.31769230769225</v>
      </c>
      <c r="BB21" s="12">
        <f>VLOOKUP(A21,'Données projet'!$A$87:$I$107,9,0)</f>
        <v>19.412179487179515</v>
      </c>
      <c r="BC21" s="12">
        <f t="array" ref="BC21">INDEX(BB:BB,MIN(IF(ISNUMBER(BB21:BB217),ROW(BB21:BB217),"")))</f>
        <v>19.412179487179515</v>
      </c>
      <c r="BD21" s="12">
        <f>IF('Données projet'!$A$88&gt;35,BD20+BC21-BL20,IF(A21&lt;'Données projet'!$A$88,$BA$205^A21,IF(A21='Données projet'!$A$88,'Données projet'!$B$88,BD20+BC21-BL20)))</f>
        <v>216.31769230769225</v>
      </c>
      <c r="BE21" s="13">
        <f>BD21*VLOOKUP('Données projet'!$B$11,Paramètres!$A$1:$I$89,3,0)*VLOOKUP('Données projet'!$B$11,Paramètres!$A$1:$I$89,5,0)</f>
        <v>121.48401599999997</v>
      </c>
      <c r="BF21" s="13">
        <f t="shared" si="37"/>
        <v>32.020873674053227</v>
      </c>
      <c r="BG21" s="20">
        <f t="shared" si="7"/>
        <v>267.35434951564264</v>
      </c>
      <c r="BH21" s="59">
        <f t="shared" si="8"/>
        <v>479.12370270764575</v>
      </c>
      <c r="BI21" s="59">
        <f ca="1">AVERAGE(OFFSET($BH$3,0,0,'Données projet'!$E$11+1,1))-AVERAGE(OFFSET($H$3,0,0,'Données projet'!$E$11+1,1))</f>
        <v>123.44750406183283</v>
      </c>
      <c r="BJ21" s="59">
        <f t="shared" si="38"/>
        <v>346.72009411328929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7">
        <f t="shared" si="1"/>
        <v>183.33333333333334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>
        <f>VLOOKUP(A22,'Données projet'!$A$35:$I$55,2,0)</f>
        <v>235.63</v>
      </c>
      <c r="L22" s="12">
        <f>VLOOKUP(A22,'Données projet'!$A$35:$I$55,9,0)</f>
        <v>19.312307692307741</v>
      </c>
      <c r="M22" s="12">
        <f t="array" ref="M22">INDEX(L:L,MIN(IF(ISNUMBER(L22:L218),ROW(L22:L218),"")))</f>
        <v>19.312307692307741</v>
      </c>
      <c r="N22" s="13">
        <f>IF('Données projet'!$A$36&gt;35,N21+M22-V21,IF(A22&lt;'Données projet'!$A$36,$K$205^A22,IF(A22='Données projet'!$A$36,'Données projet'!$B$36,N21+M22-V21)))</f>
        <v>235.63</v>
      </c>
      <c r="O22" s="13">
        <f>N22*VLOOKUP('Données projet'!$B$9,Paramètres!$A$1:$I$89,3,0)*VLOOKUP('Données projet'!$B$9,Paramètres!$A$1:$I$89,5,0)</f>
        <v>119.83199280000001</v>
      </c>
      <c r="P22" s="13">
        <f t="shared" si="33"/>
        <v>31.635811179125575</v>
      </c>
      <c r="Q22" s="20">
        <f t="shared" si="2"/>
        <v>263.80642526364375</v>
      </c>
      <c r="R22" s="59">
        <f t="shared" si="0"/>
        <v>477.95851950666724</v>
      </c>
      <c r="S22" s="59">
        <f ca="1">AVERAGE(OFFSET($R$3,0,0,'Données projet'!$E$9+1,1))-AVERAGE(OFFSET($H$3,0,0,'Données projet'!$E$9+1,1))</f>
        <v>112.82287576550925</v>
      </c>
      <c r="T22" s="59">
        <f t="shared" si="34"/>
        <v>317.78570695363294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>
        <f>VLOOKUP(A22,'Données projet'!$A$61:$I$81,2,0)</f>
        <v>235.63</v>
      </c>
      <c r="AG22" s="12">
        <f>VLOOKUP(A22,'Données projet'!$A$61:$I$81,9,0)</f>
        <v>19.312307692307741</v>
      </c>
      <c r="AH22" s="12">
        <f t="array" ref="AH22">INDEX(AG:AG,MIN(IF(ISNUMBER(AG22:AG218),ROW(AG22:AG218),"")))</f>
        <v>19.312307692307741</v>
      </c>
      <c r="AI22" s="13">
        <f>IF('Données projet'!$A$62&gt;35,AI21+AH22-AQ21,IF(A22&lt;'Données projet'!$A$62,$AF$205^A22,IF(A22='Données projet'!$A$62,'Données projet'!$B$62,AI21+AH22-AQ21)))</f>
        <v>235.63</v>
      </c>
      <c r="AJ22" s="13">
        <f>AI22*VLOOKUP('Données projet'!$B$10,Paramètres!$A$1:$I$89,3,0)*VLOOKUP('Données projet'!$B$10,Paramètres!$A$1:$I$89,5,0)</f>
        <v>132.32980799999999</v>
      </c>
      <c r="AK22" s="13">
        <f t="shared" si="35"/>
        <v>34.534151746815965</v>
      </c>
      <c r="AL22" s="20">
        <f t="shared" si="4"/>
        <v>290.62139655903781</v>
      </c>
      <c r="AM22" s="59">
        <f t="shared" si="5"/>
        <v>504.77349080206136</v>
      </c>
      <c r="AN22" s="59">
        <f ca="1">AVERAGE(OFFSET($AM$3,0,0,'Données projet'!$E$10+1,1))-AVERAGE(OFFSET($H$3,0,0,'Données projet'!$E$10+1,1))</f>
        <v>123.44750406183283</v>
      </c>
      <c r="AO22" s="59">
        <f t="shared" si="36"/>
        <v>346.72009411328929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>
        <f>VLOOKUP(A22,'Données projet'!$A$87:$I$107,2,0)</f>
        <v>235.63</v>
      </c>
      <c r="BB22" s="12">
        <f>VLOOKUP(A22,'Données projet'!$A$87:$I$107,9,0)</f>
        <v>19.312307692307741</v>
      </c>
      <c r="BC22" s="12">
        <f t="array" ref="BC22">INDEX(BB:BB,MIN(IF(ISNUMBER(BB22:BB218),ROW(BB22:BB218),"")))</f>
        <v>19.312307692307741</v>
      </c>
      <c r="BD22" s="12">
        <f>IF('Données projet'!$A$88&gt;35,BD21+BC22-BL21,IF(A22&lt;'Données projet'!$A$88,$BA$205^A22,IF(A22='Données projet'!$A$88,'Données projet'!$B$88,BD21+BC22-BL21)))</f>
        <v>235.63</v>
      </c>
      <c r="BE22" s="13">
        <f>BD22*VLOOKUP('Données projet'!$B$11,Paramètres!$A$1:$I$89,3,0)*VLOOKUP('Données projet'!$B$11,Paramètres!$A$1:$I$89,5,0)</f>
        <v>132.32980799999999</v>
      </c>
      <c r="BF22" s="13">
        <f t="shared" si="37"/>
        <v>34.534151746815965</v>
      </c>
      <c r="BG22" s="20">
        <f t="shared" si="7"/>
        <v>290.62139655903781</v>
      </c>
      <c r="BH22" s="59">
        <f t="shared" si="8"/>
        <v>504.77349080206136</v>
      </c>
      <c r="BI22" s="59">
        <f ca="1">AVERAGE(OFFSET($BH$3,0,0,'Données projet'!$E$11+1,1))-AVERAGE(OFFSET($H$3,0,0,'Données projet'!$E$11+1,1))</f>
        <v>123.44750406183283</v>
      </c>
      <c r="BJ22" s="59">
        <f t="shared" si="38"/>
        <v>346.72009411328929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7">
        <f t="shared" si="1"/>
        <v>183.33333333333334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254.68589743589735</v>
      </c>
      <c r="L23" s="12">
        <f>VLOOKUP(A23,'Données projet'!$A$35:$I$55,9,0)</f>
        <v>19.05589743589735</v>
      </c>
      <c r="M23" s="12">
        <f t="array" ref="M23">INDEX(L:L,MIN(IF(ISNUMBER(L23:L219),ROW(L23:L219),"")))</f>
        <v>19.05589743589735</v>
      </c>
      <c r="N23" s="13">
        <f>IF('Données projet'!$A$36&gt;35,N22+M23-V22,IF(A23&lt;'Données projet'!$A$36,$K$205^A23,IF(A23='Données projet'!$A$36,'Données projet'!$B$36,N22+M23-V22)))</f>
        <v>254.68589743589735</v>
      </c>
      <c r="O23" s="13">
        <f>N23*VLOOKUP('Données projet'!$B$9,Paramètres!$A$1:$I$89,3,0)*VLOOKUP('Données projet'!$B$9,Paramètres!$A$1:$I$89,5,0)</f>
        <v>129.52305999999996</v>
      </c>
      <c r="P23" s="13">
        <f t="shared" si="33"/>
        <v>33.886128937839644</v>
      </c>
      <c r="Q23" s="20">
        <f t="shared" si="2"/>
        <v>284.60433740007062</v>
      </c>
      <c r="R23" s="59">
        <f t="shared" si="0"/>
        <v>501.11904028696631</v>
      </c>
      <c r="S23" s="59">
        <f ca="1">AVERAGE(OFFSET($R$3,0,0,'Données projet'!$E$9+1,1))-AVERAGE(OFFSET($H$3,0,0,'Données projet'!$E$9+1,1))</f>
        <v>112.82287576550925</v>
      </c>
      <c r="T23" s="59">
        <f t="shared" si="34"/>
        <v>317.78570695363294</v>
      </c>
      <c r="U23" s="15" t="str">
        <f>IF(ISNA(VLOOKUP(A23,'Données projet'!$A$35:$I$55,3,0)),0,VLOOKUP(A23,'Données projet'!$A$35:$I$55,3,0))</f>
        <v>CR</v>
      </c>
      <c r="V23" s="15">
        <f>IF(ISNA(VLOOKUP(A23,'Données projet'!$A$35:$I$55,4,0)),0,VLOOKUP(A23,'Données projet'!$A$35:$I$55,4,0))</f>
        <v>254.68589743589735</v>
      </c>
      <c r="W23" s="16">
        <f>IF(ISNA(VLOOKUP(A23,'Données projet'!$A$35:$I$55,5,0)),0%,VLOOKUP(A23,'Données projet'!$A$35:$I$55,5,0)*VLOOKUP('Données projet'!$B$9,Paramètres!$A$1:$I$89,7,0))</f>
        <v>0.42</v>
      </c>
      <c r="X23" s="16">
        <f>IF(ISNA(VLOOKUP(A23,'Données projet'!$A$35:$I$55,6,0)),0%,VLOOKUP(A23,'Données projet'!$A$35:$I$55,6,0)*VLOOKUP('Données projet'!$B$9,Paramètres!$A$1:$I$89,7,0))</f>
        <v>0.09</v>
      </c>
      <c r="Y23" s="16">
        <f>IF(ISNA(VLOOKUP(A23,'Données projet'!$A$35:$I$55,7,0)),0%,VLOOKUP(A23,'Données projet'!$A$35:$I$55,7,0))</f>
        <v>0.15</v>
      </c>
      <c r="Z23" s="21">
        <f>EXP(-LN(2)/35)*Z22+(1-EXP(-LN(2)/35))/(LN(2)/35)*V23*W23*VLOOKUP('Données projet'!$B$9,Paramètres!$A$1:$I$89,3,0)*0.475*44/12</f>
        <v>60.137240644516993</v>
      </c>
      <c r="AA23" s="21">
        <f>EXP(-LN(2)/25)*AA22+(1-EXP(-LN(2)/25))/(LN(2)/25)*Calculateur!V23*Calculateur!X23*VLOOKUP('Données projet'!$B$9,Paramètres!$A$1:$I$89,3,0)*0.475*44/12</f>
        <v>12.835812303003088</v>
      </c>
      <c r="AB23" s="21">
        <f>EXP(-LN(2)/2)*AB22+(1-EXP(-LN(2)/2))/(LN(2)/2)*V23*Y23*VLOOKUP('Données projet'!$B$9,Paramètres!$A$1:$I$89,3,0)*0.475*44/12</f>
        <v>18.331273975807282</v>
      </c>
      <c r="AC23" s="22">
        <f t="shared" si="3"/>
        <v>91.304326923327352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254.68589743589735</v>
      </c>
      <c r="AG23" s="12">
        <f>VLOOKUP(A23,'Données projet'!$A$61:$I$81,9,0)</f>
        <v>19.05589743589735</v>
      </c>
      <c r="AH23" s="12">
        <f t="array" ref="AH23">INDEX(AG:AG,MIN(IF(ISNUMBER(AG23:AG219),ROW(AG23:AG219),"")))</f>
        <v>19.05589743589735</v>
      </c>
      <c r="AI23" s="13">
        <f>IF('Données projet'!$A$62&gt;35,AI22+AH23-AQ22,IF(A23&lt;'Données projet'!$A$62,$AF$205^A23,IF(A23='Données projet'!$A$62,'Données projet'!$B$62,AI22+AH23-AQ22)))</f>
        <v>254.68589743589735</v>
      </c>
      <c r="AJ23" s="13">
        <f>AI23*VLOOKUP('Données projet'!$B$10,Paramètres!$A$1:$I$89,3,0)*VLOOKUP('Données projet'!$B$10,Paramètres!$A$1:$I$89,5,0)</f>
        <v>143.03159999999994</v>
      </c>
      <c r="AK23" s="13">
        <f t="shared" si="35"/>
        <v>36.990634196972486</v>
      </c>
      <c r="AL23" s="20">
        <f t="shared" si="4"/>
        <v>313.53872455972697</v>
      </c>
      <c r="AM23" s="59">
        <f t="shared" si="5"/>
        <v>530.05342744662266</v>
      </c>
      <c r="AN23" s="59">
        <f ca="1">AVERAGE(OFFSET($AM$3,0,0,'Données projet'!$E$10+1,1))-AVERAGE(OFFSET($H$3,0,0,'Données projet'!$E$10+1,1))</f>
        <v>123.44750406183283</v>
      </c>
      <c r="AO23" s="59">
        <f t="shared" si="36"/>
        <v>346.72009411328929</v>
      </c>
      <c r="AP23" s="15" t="str">
        <f>IF(ISNA(VLOOKUP(A23,'Données projet'!$A$61:$I$81,3,0)),0,VLOOKUP(A23,'Données projet'!$A$61:$I$81,3,0))</f>
        <v>CR</v>
      </c>
      <c r="AQ23" s="15">
        <f>IF(ISNA(VLOOKUP(A23,'Données projet'!$A$61:$I$81,4,0)),0,VLOOKUP(A23,'Données projet'!$A$61:$I$81,4,0))</f>
        <v>254.68589743589735</v>
      </c>
      <c r="AR23" s="16">
        <f>IF(ISNA(VLOOKUP(A23,'Données projet'!$A$61:$I$81,5,0)),0%,VLOOKUP(A23,'Données projet'!$A$61:$I$81,5,0)*VLOOKUP('Données projet'!$B$10,Paramètres!$A$1:$I$89,7,0))</f>
        <v>0.42</v>
      </c>
      <c r="AS23" s="16">
        <f>IF(ISNA(VLOOKUP(A23,'Données projet'!$A$61:$I$81,6,0)),0%,VLOOKUP(A23,'Données projet'!$A$61:$I$81,6,0)*VLOOKUP('Données projet'!$B$10,Paramètres!$A$1:$I$89,7,0))</f>
        <v>0.09</v>
      </c>
      <c r="AT23" s="16">
        <f>IF(ISNA(VLOOKUP(A23,'Données projet'!$A$61:$I$81,7,0)),0%,VLOOKUP(A23,'Données projet'!$A$61:$I$81,7,0))</f>
        <v>0.15</v>
      </c>
      <c r="AU23" s="21">
        <f>EXP(-LN(2)/35)*AU22+(1-EXP(-LN(2)/35))/(LN(2)/35)*AQ23*AR23*VLOOKUP('Données projet'!$B$10,Paramètres!$A$1:$I$89,3,0)*0.475*44/12</f>
        <v>66.409222797626128</v>
      </c>
      <c r="AV23" s="21">
        <f>EXP(-LN(2)/25)*AV22+(1-EXP(-LN(2)/25))/(LN(2)/25)*Calculateur!AQ23*Calculateur!AS23*VLOOKUP('Données projet'!$B$10,Paramètres!$A$1:$I$89,3,0)*0.475*44/12</f>
        <v>14.174516653623039</v>
      </c>
      <c r="AW23" s="21">
        <f>EXP(-LN(2)/2)*AW22+(1-EXP(-LN(2)/2))/(LN(2)/2)*AQ23*AT23*VLOOKUP('Données projet'!$B$10,Paramètres!$A$1:$I$89,3,0)*0.475*44/12</f>
        <v>20.243124635860799</v>
      </c>
      <c r="AX23" s="21">
        <f t="shared" si="6"/>
        <v>100.82686408710997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254.68589743589735</v>
      </c>
      <c r="BB23" s="12">
        <f>VLOOKUP(A23,'Données projet'!$A$87:$I$107,9,0)</f>
        <v>19.05589743589735</v>
      </c>
      <c r="BC23" s="12">
        <f t="array" ref="BC23">INDEX(BB:BB,MIN(IF(ISNUMBER(BB23:BB219),ROW(BB23:BB219),"")))</f>
        <v>19.05589743589735</v>
      </c>
      <c r="BD23" s="12">
        <f>IF('Données projet'!$A$88&gt;35,BD22+BC23-BL22,IF(A23&lt;'Données projet'!$A$88,$BA$205^A23,IF(A23='Données projet'!$A$88,'Données projet'!$B$88,BD22+BC23-BL22)))</f>
        <v>254.68589743589735</v>
      </c>
      <c r="BE23" s="13">
        <f>BD23*VLOOKUP('Données projet'!$B$11,Paramètres!$A$1:$I$89,3,0)*VLOOKUP('Données projet'!$B$11,Paramètres!$A$1:$I$89,5,0)</f>
        <v>143.03159999999994</v>
      </c>
      <c r="BF23" s="13">
        <f t="shared" si="37"/>
        <v>36.990634196972486</v>
      </c>
      <c r="BG23" s="20">
        <f t="shared" si="7"/>
        <v>313.53872455972697</v>
      </c>
      <c r="BH23" s="59">
        <f t="shared" si="8"/>
        <v>530.05342744662266</v>
      </c>
      <c r="BI23" s="59">
        <f ca="1">AVERAGE(OFFSET($BH$3,0,0,'Données projet'!$E$11+1,1))-AVERAGE(OFFSET($H$3,0,0,'Données projet'!$E$11+1,1))</f>
        <v>123.44750406183283</v>
      </c>
      <c r="BJ23" s="59">
        <f t="shared" si="38"/>
        <v>346.72009411328929</v>
      </c>
      <c r="BK23" s="15" t="str">
        <f>IF(ISNA(VLOOKUP(A23,'Données projet'!$A$87:$I$107,3,0)),0,VLOOKUP(A23,'Données projet'!$A$87:$I$107,3,0))</f>
        <v>CR</v>
      </c>
      <c r="BL23" s="15">
        <f>IF(ISNA(VLOOKUP(A23,'Données projet'!$A$87:$I$107,4,0)),0,VLOOKUP(A23,'Données projet'!$A$87:$I$107,4,0))</f>
        <v>254.68589743589735</v>
      </c>
      <c r="BM23" s="16">
        <f>IF(ISNA(VLOOKUP(A23,'Données projet'!$A$87:$I$107,5,0)),0%,VLOOKUP(A23,'Données projet'!$A$87:$I$107,5,0)*VLOOKUP('Données projet'!$B$11,Paramètres!$A$1:$I$89,7,0))</f>
        <v>0.42</v>
      </c>
      <c r="BN23" s="16">
        <f>IF(ISNA(VLOOKUP(A23,'Données projet'!$A$87:$I$107,6,0)),0%,VLOOKUP(A23,'Données projet'!$A$87:$I$107,6,0)*VLOOKUP('Données projet'!$B$11,Paramètres!$A$1:$I$89,7,0))</f>
        <v>0.09</v>
      </c>
      <c r="BO23" s="16">
        <f>IF(ISNA(VLOOKUP(A23,'Données projet'!$A$87:$I$107,7,0)),0%,VLOOKUP(A23,'Données projet'!$A$87:$I$107,7,0))</f>
        <v>0.15</v>
      </c>
      <c r="BP23" s="21">
        <f>EXP(-LN(2)/35)*BP22+(1-EXP(-LN(2)/35))/(LN(2)/35)*BL23*BM23*VLOOKUP('Données projet'!$B$11,Paramètres!$A$1:$I$89,3,0)*0.475*44/12</f>
        <v>66.409222797626128</v>
      </c>
      <c r="BQ23" s="21">
        <f>EXP(-LN(2)/25)*BQ22+(1-EXP(-LN(2)/25))/(LN(2)/25)*Calculateur!BL23*Calculateur!BN23*VLOOKUP('Données projet'!$B$11,Paramètres!$A$1:$I$89,3,0)*0.475*44/12</f>
        <v>14.174516653623039</v>
      </c>
      <c r="BR23" s="21">
        <f>EXP(-LN(2)/2)*BR22+(1-EXP(-LN(2)/2))/(LN(2)/2)*BL23*BO23*VLOOKUP('Données projet'!$B$11,Paramètres!$A$1:$I$89,3,0)*0.475*44/12</f>
        <v>20.243124635860799</v>
      </c>
      <c r="BS23" s="22">
        <f t="shared" si="9"/>
        <v>100.82686408710997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7">
        <f t="shared" si="1"/>
        <v>183.33333333333334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0</v>
      </c>
      <c r="N24" s="13">
        <f>IF('Données projet'!$A$36&gt;35,N23+M24-V23,IF(A24&lt;'Données projet'!$A$36,$K$205^A24,IF(A24='Données projet'!$A$36,'Données projet'!$B$36,N23+M24-V23)))</f>
        <v>0</v>
      </c>
      <c r="O24" s="13">
        <f>N24*VLOOKUP('Données projet'!$B$9,Paramètres!$A$1:$I$89,3,0)*VLOOKUP('Données projet'!$B$9,Paramètres!$A$1:$I$89,5,0)</f>
        <v>0</v>
      </c>
      <c r="P24" s="13" t="e">
        <f t="shared" si="33"/>
        <v>#NUM!</v>
      </c>
      <c r="Q24" s="20" t="e">
        <f t="shared" si="2"/>
        <v>#NUM!</v>
      </c>
      <c r="R24" s="59" t="e">
        <f t="shared" si="0"/>
        <v>#NUM!</v>
      </c>
      <c r="S24" s="59">
        <f ca="1">AVERAGE(OFFSET($R$3,0,0,'Données projet'!$E$9+1,1))-AVERAGE(OFFSET($H$3,0,0,'Données projet'!$E$9+1,1))</f>
        <v>112.82287576550925</v>
      </c>
      <c r="T24" s="59">
        <f t="shared" si="34"/>
        <v>317.78570695363294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58.957986035572951</v>
      </c>
      <c r="AA24" s="21">
        <f>EXP(-LN(2)/25)*AA23+(1-EXP(-LN(2)/25))/(LN(2)/25)*Calculateur!V24*Calculateur!X24*VLOOKUP('Données projet'!$B$9,Paramètres!$A$1:$I$89,3,0)*0.475*44/12</f>
        <v>12.484816340571436</v>
      </c>
      <c r="AB24" s="21">
        <f>EXP(-LN(2)/2)*AB23+(1-EXP(-LN(2)/2))/(LN(2)/2)*V24*Y24*VLOOKUP('Données projet'!$B$9,Paramètres!$A$1:$I$89,3,0)*0.475*44/12</f>
        <v>12.962168136081813</v>
      </c>
      <c r="AC24" s="22">
        <f t="shared" si="3"/>
        <v>84.4049705122262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>
        <f>AI24*VLOOKUP('Données projet'!$B$10,Paramètres!$A$1:$I$89,3,0)*VLOOKUP('Données projet'!$B$10,Paramètres!$A$1:$I$89,5,0)</f>
        <v>0</v>
      </c>
      <c r="AK24" s="13" t="e">
        <f t="shared" si="35"/>
        <v>#NUM!</v>
      </c>
      <c r="AL24" s="20" t="e">
        <f t="shared" si="4"/>
        <v>#NUM!</v>
      </c>
      <c r="AM24" s="59" t="e">
        <f t="shared" si="5"/>
        <v>#NUM!</v>
      </c>
      <c r="AN24" s="59">
        <f ca="1">AVERAGE(OFFSET($AM$3,0,0,'Données projet'!$E$10+1,1))-AVERAGE(OFFSET($H$3,0,0,'Données projet'!$E$10+1,1))</f>
        <v>123.44750406183283</v>
      </c>
      <c r="AO24" s="59">
        <f t="shared" si="36"/>
        <v>346.72009411328929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65.106978444190986</v>
      </c>
      <c r="AV24" s="21">
        <f>EXP(-LN(2)/25)*AV23+(1-EXP(-LN(2)/25))/(LN(2)/25)*Calculateur!AQ24*Calculateur!AS24*VLOOKUP('Données projet'!$B$10,Paramètres!$A$1:$I$89,3,0)*0.475*44/12</f>
        <v>13.786913750324283</v>
      </c>
      <c r="AW24" s="21">
        <f>EXP(-LN(2)/2)*AW23+(1-EXP(-LN(2)/2))/(LN(2)/2)*AQ24*AT24*VLOOKUP('Données projet'!$B$10,Paramètres!$A$1:$I$89,3,0)*0.475*44/12</f>
        <v>14.314050702421632</v>
      </c>
      <c r="AX24" s="21">
        <f t="shared" si="6"/>
        <v>93.207942896936913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>
        <f>BD24*VLOOKUP('Données projet'!$B$11,Paramètres!$A$1:$I$89,3,0)*VLOOKUP('Données projet'!$B$11,Paramètres!$A$1:$I$89,5,0)</f>
        <v>0</v>
      </c>
      <c r="BF24" s="13" t="e">
        <f t="shared" si="37"/>
        <v>#NUM!</v>
      </c>
      <c r="BG24" s="20" t="e">
        <f t="shared" si="7"/>
        <v>#NUM!</v>
      </c>
      <c r="BH24" s="59" t="e">
        <f t="shared" si="8"/>
        <v>#NUM!</v>
      </c>
      <c r="BI24" s="59">
        <f ca="1">AVERAGE(OFFSET($BH$3,0,0,'Données projet'!$E$11+1,1))-AVERAGE(OFFSET($H$3,0,0,'Données projet'!$E$11+1,1))</f>
        <v>123.44750406183283</v>
      </c>
      <c r="BJ24" s="59">
        <f t="shared" si="38"/>
        <v>346.72009411328929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65.106978444190986</v>
      </c>
      <c r="BQ24" s="21">
        <f>EXP(-LN(2)/25)*BQ23+(1-EXP(-LN(2)/25))/(LN(2)/25)*Calculateur!BL24*Calculateur!BN24*VLOOKUP('Données projet'!$B$11,Paramètres!$A$1:$I$89,3,0)*0.475*44/12</f>
        <v>13.786913750324283</v>
      </c>
      <c r="BR24" s="21">
        <f>EXP(-LN(2)/2)*BR23+(1-EXP(-LN(2)/2))/(LN(2)/2)*BL24*BO24*VLOOKUP('Données projet'!$B$11,Paramètres!$A$1:$I$89,3,0)*0.475*44/12</f>
        <v>14.314050702421632</v>
      </c>
      <c r="BS24" s="22">
        <f t="shared" si="9"/>
        <v>93.207942896936913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7">
        <f t="shared" si="1"/>
        <v>183.33333333333334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0</v>
      </c>
      <c r="N25" s="13">
        <f>IF('Données projet'!$A$36&gt;35,N24+M25-V24,IF(A25&lt;'Données projet'!$A$36,$K$205^A25,IF(A25='Données projet'!$A$36,'Données projet'!$B$36,N24+M25-V24)))</f>
        <v>0</v>
      </c>
      <c r="O25" s="13">
        <f>N25*VLOOKUP('Données projet'!$B$9,Paramètres!$A$1:$I$89,3,0)*VLOOKUP('Données projet'!$B$9,Paramètres!$A$1:$I$89,5,0)</f>
        <v>0</v>
      </c>
      <c r="P25" s="13" t="e">
        <f t="shared" si="33"/>
        <v>#NUM!</v>
      </c>
      <c r="Q25" s="20" t="e">
        <f t="shared" si="2"/>
        <v>#NUM!</v>
      </c>
      <c r="R25" s="59" t="e">
        <f t="shared" si="0"/>
        <v>#NUM!</v>
      </c>
      <c r="S25" s="59">
        <f ca="1">AVERAGE(OFFSET($R$3,0,0,'Données projet'!$E$9+1,1))-AVERAGE(OFFSET($H$3,0,0,'Données projet'!$E$9+1,1))</f>
        <v>112.82287576550925</v>
      </c>
      <c r="T25" s="59">
        <f t="shared" si="34"/>
        <v>317.78570695363294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57.801855890236013</v>
      </c>
      <c r="AA25" s="21">
        <f>EXP(-LN(2)/25)*AA24+(1-EXP(-LN(2)/25))/(LN(2)/25)*Calculateur!V25*Calculateur!X25*VLOOKUP('Données projet'!$B$9,Paramètres!$A$1:$I$89,3,0)*0.475*44/12</f>
        <v>12.143418381190553</v>
      </c>
      <c r="AB25" s="21">
        <f>EXP(-LN(2)/2)*AB24+(1-EXP(-LN(2)/2))/(LN(2)/2)*V25*Y25*VLOOKUP('Données projet'!$B$9,Paramètres!$A$1:$I$89,3,0)*0.475*44/12</f>
        <v>9.1656369879036408</v>
      </c>
      <c r="AC25" s="22">
        <f t="shared" si="3"/>
        <v>79.110911259330209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>
        <f>AI25*VLOOKUP('Données projet'!$B$10,Paramètres!$A$1:$I$89,3,0)*VLOOKUP('Données projet'!$B$10,Paramètres!$A$1:$I$89,5,0)</f>
        <v>0</v>
      </c>
      <c r="AK25" s="13" t="e">
        <f t="shared" si="35"/>
        <v>#NUM!</v>
      </c>
      <c r="AL25" s="20" t="e">
        <f t="shared" si="4"/>
        <v>#NUM!</v>
      </c>
      <c r="AM25" s="59" t="e">
        <f t="shared" si="5"/>
        <v>#NUM!</v>
      </c>
      <c r="AN25" s="59">
        <f ca="1">AVERAGE(OFFSET($AM$3,0,0,'Données projet'!$E$10+1,1))-AVERAGE(OFFSET($H$3,0,0,'Données projet'!$E$10+1,1))</f>
        <v>123.44750406183283</v>
      </c>
      <c r="AO25" s="59">
        <f t="shared" si="36"/>
        <v>346.72009411328929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63.830270308236081</v>
      </c>
      <c r="AV25" s="21">
        <f>EXP(-LN(2)/25)*AV24+(1-EXP(-LN(2)/25))/(LN(2)/25)*Calculateur!AQ25*Calculateur!AS25*VLOOKUP('Données projet'!$B$10,Paramètres!$A$1:$I$89,3,0)*0.475*44/12</f>
        <v>13.409909868799382</v>
      </c>
      <c r="AW25" s="21">
        <f>EXP(-LN(2)/2)*AW24+(1-EXP(-LN(2)/2))/(LN(2)/2)*AQ25*AT25*VLOOKUP('Données projet'!$B$10,Paramètres!$A$1:$I$89,3,0)*0.475*44/12</f>
        <v>10.121562317930401</v>
      </c>
      <c r="AX25" s="21">
        <f t="shared" si="6"/>
        <v>87.361742494965853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>
        <f>BD25*VLOOKUP('Données projet'!$B$11,Paramètres!$A$1:$I$89,3,0)*VLOOKUP('Données projet'!$B$11,Paramètres!$A$1:$I$89,5,0)</f>
        <v>0</v>
      </c>
      <c r="BF25" s="13" t="e">
        <f t="shared" si="37"/>
        <v>#NUM!</v>
      </c>
      <c r="BG25" s="20" t="e">
        <f t="shared" si="7"/>
        <v>#NUM!</v>
      </c>
      <c r="BH25" s="59" t="e">
        <f t="shared" si="8"/>
        <v>#NUM!</v>
      </c>
      <c r="BI25" s="59">
        <f ca="1">AVERAGE(OFFSET($BH$3,0,0,'Données projet'!$E$11+1,1))-AVERAGE(OFFSET($H$3,0,0,'Données projet'!$E$11+1,1))</f>
        <v>123.44750406183283</v>
      </c>
      <c r="BJ25" s="59">
        <f t="shared" si="38"/>
        <v>346.72009411328929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63.830270308236081</v>
      </c>
      <c r="BQ25" s="21">
        <f>EXP(-LN(2)/25)*BQ24+(1-EXP(-LN(2)/25))/(LN(2)/25)*Calculateur!BL25*Calculateur!BN25*VLOOKUP('Données projet'!$B$11,Paramètres!$A$1:$I$89,3,0)*0.475*44/12</f>
        <v>13.409909868799382</v>
      </c>
      <c r="BR25" s="21">
        <f>EXP(-LN(2)/2)*BR24+(1-EXP(-LN(2)/2))/(LN(2)/2)*BL25*BO25*VLOOKUP('Données projet'!$B$11,Paramètres!$A$1:$I$89,3,0)*0.475*44/12</f>
        <v>10.121562317930401</v>
      </c>
      <c r="BS25" s="22">
        <f t="shared" si="9"/>
        <v>87.361742494965853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7">
        <f t="shared" si="1"/>
        <v>183.33333333333334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0</v>
      </c>
      <c r="N26" s="13">
        <f>IF('Données projet'!$A$36&gt;35,N25+M26-V25,IF(A26&lt;'Données projet'!$A$36,$K$205^A26,IF(A26='Données projet'!$A$36,'Données projet'!$B$36,N25+M26-V25)))</f>
        <v>0</v>
      </c>
      <c r="O26" s="13">
        <f>N26*VLOOKUP('Données projet'!$B$9,Paramètres!$A$1:$I$89,3,0)*VLOOKUP('Données projet'!$B$9,Paramètres!$A$1:$I$89,5,0)</f>
        <v>0</v>
      </c>
      <c r="P26" s="13" t="e">
        <f t="shared" si="33"/>
        <v>#NUM!</v>
      </c>
      <c r="Q26" s="20" t="e">
        <f t="shared" si="2"/>
        <v>#NUM!</v>
      </c>
      <c r="R26" s="59" t="e">
        <f t="shared" si="0"/>
        <v>#NUM!</v>
      </c>
      <c r="S26" s="59">
        <f ca="1">AVERAGE(OFFSET($R$3,0,0,'Données projet'!$E$9+1,1))-AVERAGE(OFFSET($H$3,0,0,'Données projet'!$E$9+1,1))</f>
        <v>112.82287576550925</v>
      </c>
      <c r="T26" s="59">
        <f t="shared" si="34"/>
        <v>317.78570695363294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56.668396751879371</v>
      </c>
      <c r="AA26" s="21">
        <f>EXP(-LN(2)/25)*AA25+(1-EXP(-LN(2)/25))/(LN(2)/25)*Calculateur!V26*Calculateur!X26*VLOOKUP('Données projet'!$B$9,Paramètres!$A$1:$I$89,3,0)*0.475*44/12</f>
        <v>11.81135596696228</v>
      </c>
      <c r="AB26" s="21">
        <f>EXP(-LN(2)/2)*AB25+(1-EXP(-LN(2)/2))/(LN(2)/2)*V26*Y26*VLOOKUP('Données projet'!$B$9,Paramètres!$A$1:$I$89,3,0)*0.475*44/12</f>
        <v>6.4810840680409063</v>
      </c>
      <c r="AC26" s="22">
        <f t="shared" si="3"/>
        <v>74.960836786882552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>
        <f>AI26*VLOOKUP('Données projet'!$B$10,Paramètres!$A$1:$I$89,3,0)*VLOOKUP('Données projet'!$B$10,Paramètres!$A$1:$I$89,5,0)</f>
        <v>0</v>
      </c>
      <c r="AK26" s="13" t="e">
        <f t="shared" si="35"/>
        <v>#NUM!</v>
      </c>
      <c r="AL26" s="20" t="e">
        <f t="shared" si="4"/>
        <v>#NUM!</v>
      </c>
      <c r="AM26" s="59" t="e">
        <f t="shared" si="5"/>
        <v>#NUM!</v>
      </c>
      <c r="AN26" s="59">
        <f ca="1">AVERAGE(OFFSET($AM$3,0,0,'Données projet'!$E$10+1,1))-AVERAGE(OFFSET($H$3,0,0,'Données projet'!$E$10+1,1))</f>
        <v>123.44750406183283</v>
      </c>
      <c r="AO26" s="59">
        <f t="shared" si="36"/>
        <v>346.72009411328929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62.578597640112186</v>
      </c>
      <c r="AV26" s="21">
        <f>EXP(-LN(2)/25)*AV25+(1-EXP(-LN(2)/25))/(LN(2)/25)*Calculateur!AQ26*Calculateur!AS26*VLOOKUP('Données projet'!$B$10,Paramètres!$A$1:$I$89,3,0)*0.475*44/12</f>
        <v>13.043215178240551</v>
      </c>
      <c r="AW26" s="21">
        <f>EXP(-LN(2)/2)*AW25+(1-EXP(-LN(2)/2))/(LN(2)/2)*AQ26*AT26*VLOOKUP('Données projet'!$B$10,Paramètres!$A$1:$I$89,3,0)*0.475*44/12</f>
        <v>7.1570253512108177</v>
      </c>
      <c r="AX26" s="21">
        <f t="shared" si="6"/>
        <v>82.778838169563556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>
        <f>BD26*VLOOKUP('Données projet'!$B$11,Paramètres!$A$1:$I$89,3,0)*VLOOKUP('Données projet'!$B$11,Paramètres!$A$1:$I$89,5,0)</f>
        <v>0</v>
      </c>
      <c r="BF26" s="13" t="e">
        <f t="shared" si="37"/>
        <v>#NUM!</v>
      </c>
      <c r="BG26" s="20" t="e">
        <f t="shared" si="7"/>
        <v>#NUM!</v>
      </c>
      <c r="BH26" s="59" t="e">
        <f t="shared" si="8"/>
        <v>#NUM!</v>
      </c>
      <c r="BI26" s="59">
        <f ca="1">AVERAGE(OFFSET($BH$3,0,0,'Données projet'!$E$11+1,1))-AVERAGE(OFFSET($H$3,0,0,'Données projet'!$E$11+1,1))</f>
        <v>123.44750406183283</v>
      </c>
      <c r="BJ26" s="59">
        <f t="shared" si="38"/>
        <v>346.72009411328929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62.578597640112186</v>
      </c>
      <c r="BQ26" s="21">
        <f>EXP(-LN(2)/25)*BQ25+(1-EXP(-LN(2)/25))/(LN(2)/25)*Calculateur!BL26*Calculateur!BN26*VLOOKUP('Données projet'!$B$11,Paramètres!$A$1:$I$89,3,0)*0.475*44/12</f>
        <v>13.043215178240551</v>
      </c>
      <c r="BR26" s="21">
        <f>EXP(-LN(2)/2)*BR25+(1-EXP(-LN(2)/2))/(LN(2)/2)*BL26*BO26*VLOOKUP('Données projet'!$B$11,Paramètres!$A$1:$I$89,3,0)*0.475*44/12</f>
        <v>7.1570253512108177</v>
      </c>
      <c r="BS26" s="22">
        <f t="shared" si="9"/>
        <v>82.778838169563556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7">
        <f t="shared" si="1"/>
        <v>183.33333333333334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0</v>
      </c>
      <c r="N27" s="13">
        <f>IF('Données projet'!$A$36&gt;35,N26+M27-V26,IF(A27&lt;'Données projet'!$A$36,$K$205^A27,IF(A27='Données projet'!$A$36,'Données projet'!$B$36,N26+M27-V26)))</f>
        <v>0</v>
      </c>
      <c r="O27" s="13">
        <f>N27*VLOOKUP('Données projet'!$B$9,Paramètres!$A$1:$I$89,3,0)*VLOOKUP('Données projet'!$B$9,Paramètres!$A$1:$I$89,5,0)</f>
        <v>0</v>
      </c>
      <c r="P27" s="13" t="e">
        <f t="shared" si="33"/>
        <v>#NUM!</v>
      </c>
      <c r="Q27" s="20" t="e">
        <f t="shared" si="2"/>
        <v>#NUM!</v>
      </c>
      <c r="R27" s="59" t="e">
        <f t="shared" si="0"/>
        <v>#NUM!</v>
      </c>
      <c r="S27" s="59">
        <f ca="1">AVERAGE(OFFSET($R$3,0,0,'Données projet'!$E$9+1,1))-AVERAGE(OFFSET($H$3,0,0,'Données projet'!$E$9+1,1))</f>
        <v>112.82287576550925</v>
      </c>
      <c r="T27" s="59">
        <f t="shared" si="34"/>
        <v>317.78570695363294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55.557164055884094</v>
      </c>
      <c r="AA27" s="21">
        <f>EXP(-LN(2)/25)*AA26+(1-EXP(-LN(2)/25))/(LN(2)/25)*Calculateur!V27*Calculateur!X27*VLOOKUP('Données projet'!$B$9,Paramètres!$A$1:$I$89,3,0)*0.475*44/12</f>
        <v>11.488373816913482</v>
      </c>
      <c r="AB27" s="21">
        <f>EXP(-LN(2)/2)*AB26+(1-EXP(-LN(2)/2))/(LN(2)/2)*V27*Y27*VLOOKUP('Données projet'!$B$9,Paramètres!$A$1:$I$89,3,0)*0.475*44/12</f>
        <v>4.5828184939518204</v>
      </c>
      <c r="AC27" s="22">
        <f t="shared" si="3"/>
        <v>71.628356366749401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>
        <f>AI27*VLOOKUP('Données projet'!$B$10,Paramètres!$A$1:$I$89,3,0)*VLOOKUP('Données projet'!$B$10,Paramètres!$A$1:$I$89,5,0)</f>
        <v>0</v>
      </c>
      <c r="AK27" s="13" t="e">
        <f t="shared" si="35"/>
        <v>#NUM!</v>
      </c>
      <c r="AL27" s="20" t="e">
        <f t="shared" si="4"/>
        <v>#NUM!</v>
      </c>
      <c r="AM27" s="59" t="e">
        <f t="shared" si="5"/>
        <v>#NUM!</v>
      </c>
      <c r="AN27" s="59">
        <f ca="1">AVERAGE(OFFSET($AM$3,0,0,'Données projet'!$E$10+1,1))-AVERAGE(OFFSET($H$3,0,0,'Données projet'!$E$10+1,1))</f>
        <v>123.44750406183283</v>
      </c>
      <c r="AO27" s="59">
        <f t="shared" si="36"/>
        <v>346.72009411328929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61.351469509565256</v>
      </c>
      <c r="AV27" s="21">
        <f>EXP(-LN(2)/25)*AV26+(1-EXP(-LN(2)/25))/(LN(2)/25)*Calculateur!AQ27*Calculateur!AS27*VLOOKUP('Données projet'!$B$10,Paramètres!$A$1:$I$89,3,0)*0.475*44/12</f>
        <v>12.686547773278688</v>
      </c>
      <c r="AW27" s="21">
        <f>EXP(-LN(2)/2)*AW26+(1-EXP(-LN(2)/2))/(LN(2)/2)*AQ27*AT27*VLOOKUP('Données projet'!$B$10,Paramètres!$A$1:$I$89,3,0)*0.475*44/12</f>
        <v>5.0607811589652014</v>
      </c>
      <c r="AX27" s="21">
        <f t="shared" si="6"/>
        <v>79.098798441809137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>
        <f>BD27*VLOOKUP('Données projet'!$B$11,Paramètres!$A$1:$I$89,3,0)*VLOOKUP('Données projet'!$B$11,Paramètres!$A$1:$I$89,5,0)</f>
        <v>0</v>
      </c>
      <c r="BF27" s="13" t="e">
        <f t="shared" si="37"/>
        <v>#NUM!</v>
      </c>
      <c r="BG27" s="20" t="e">
        <f t="shared" si="7"/>
        <v>#NUM!</v>
      </c>
      <c r="BH27" s="59" t="e">
        <f t="shared" si="8"/>
        <v>#NUM!</v>
      </c>
      <c r="BI27" s="59">
        <f ca="1">AVERAGE(OFFSET($BH$3,0,0,'Données projet'!$E$11+1,1))-AVERAGE(OFFSET($H$3,0,0,'Données projet'!$E$11+1,1))</f>
        <v>123.44750406183283</v>
      </c>
      <c r="BJ27" s="59">
        <f t="shared" si="38"/>
        <v>346.72009411328929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61.351469509565256</v>
      </c>
      <c r="BQ27" s="21">
        <f>EXP(-LN(2)/25)*BQ26+(1-EXP(-LN(2)/25))/(LN(2)/25)*Calculateur!BL27*Calculateur!BN27*VLOOKUP('Données projet'!$B$11,Paramètres!$A$1:$I$89,3,0)*0.475*44/12</f>
        <v>12.686547773278688</v>
      </c>
      <c r="BR27" s="21">
        <f>EXP(-LN(2)/2)*BR26+(1-EXP(-LN(2)/2))/(LN(2)/2)*BL27*BO27*VLOOKUP('Données projet'!$B$11,Paramètres!$A$1:$I$89,3,0)*0.475*44/12</f>
        <v>5.0607811589652014</v>
      </c>
      <c r="BS27" s="22">
        <f t="shared" si="9"/>
        <v>79.098798441809137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7">
        <f t="shared" si="1"/>
        <v>183.33333333333334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0</v>
      </c>
      <c r="N28" s="13">
        <f>IF('Données projet'!$A$36&gt;35,N27+M28-V27,IF(A28&lt;'Données projet'!$A$36,$K$205^A28,IF(A28='Données projet'!$A$36,'Données projet'!$B$36,N27+M28-V27)))</f>
        <v>0</v>
      </c>
      <c r="O28" s="13">
        <f>N28*VLOOKUP('Données projet'!$B$9,Paramètres!$A$1:$I$89,3,0)*VLOOKUP('Données projet'!$B$9,Paramètres!$A$1:$I$89,5,0)</f>
        <v>0</v>
      </c>
      <c r="P28" s="13" t="e">
        <f t="shared" si="33"/>
        <v>#NUM!</v>
      </c>
      <c r="Q28" s="20" t="e">
        <f t="shared" si="2"/>
        <v>#NUM!</v>
      </c>
      <c r="R28" s="59" t="e">
        <f t="shared" si="0"/>
        <v>#NUM!</v>
      </c>
      <c r="S28" s="59">
        <f ca="1">AVERAGE(OFFSET($R$3,0,0,'Données projet'!$E$9+1,1))-AVERAGE(OFFSET($H$3,0,0,'Données projet'!$E$9+1,1))</f>
        <v>112.82287576550925</v>
      </c>
      <c r="T28" s="59">
        <f t="shared" si="34"/>
        <v>317.78570695363294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54.467721955272268</v>
      </c>
      <c r="AA28" s="21">
        <f>EXP(-LN(2)/25)*AA27+(1-EXP(-LN(2)/25))/(LN(2)/25)*Calculateur!V28*Calculateur!X28*VLOOKUP('Données projet'!$B$9,Paramètres!$A$1:$I$89,3,0)*0.475*44/12</f>
        <v>11.174223630742661</v>
      </c>
      <c r="AB28" s="21">
        <f>EXP(-LN(2)/2)*AB27+(1-EXP(-LN(2)/2))/(LN(2)/2)*V28*Y28*VLOOKUP('Données projet'!$B$9,Paramètres!$A$1:$I$89,3,0)*0.475*44/12</f>
        <v>3.2405420340204532</v>
      </c>
      <c r="AC28" s="22">
        <f t="shared" si="3"/>
        <v>68.882487620035377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>
        <f>AI28*VLOOKUP('Données projet'!$B$10,Paramètres!$A$1:$I$89,3,0)*VLOOKUP('Données projet'!$B$10,Paramètres!$A$1:$I$89,5,0)</f>
        <v>0</v>
      </c>
      <c r="AK28" s="13" t="e">
        <f t="shared" si="35"/>
        <v>#NUM!</v>
      </c>
      <c r="AL28" s="20" t="e">
        <f t="shared" si="4"/>
        <v>#NUM!</v>
      </c>
      <c r="AM28" s="59" t="e">
        <f t="shared" si="5"/>
        <v>#NUM!</v>
      </c>
      <c r="AN28" s="59">
        <f ca="1">AVERAGE(OFFSET($AM$3,0,0,'Données projet'!$E$10+1,1))-AVERAGE(OFFSET($H$3,0,0,'Données projet'!$E$10+1,1))</f>
        <v>123.44750406183283</v>
      </c>
      <c r="AO28" s="59">
        <f t="shared" si="36"/>
        <v>346.72009411328929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60.148404613184091</v>
      </c>
      <c r="AV28" s="21">
        <f>EXP(-LN(2)/25)*AV27+(1-EXP(-LN(2)/25))/(LN(2)/25)*Calculateur!AQ28*Calculateur!AS28*VLOOKUP('Données projet'!$B$10,Paramètres!$A$1:$I$89,3,0)*0.475*44/12</f>
        <v>12.339633457261831</v>
      </c>
      <c r="AW28" s="21">
        <f>EXP(-LN(2)/2)*AW27+(1-EXP(-LN(2)/2))/(LN(2)/2)*AQ28*AT28*VLOOKUP('Données projet'!$B$10,Paramètres!$A$1:$I$89,3,0)*0.475*44/12</f>
        <v>3.5785126756054093</v>
      </c>
      <c r="AX28" s="21">
        <f t="shared" si="6"/>
        <v>76.066550746051334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>
        <f>BD28*VLOOKUP('Données projet'!$B$11,Paramètres!$A$1:$I$89,3,0)*VLOOKUP('Données projet'!$B$11,Paramètres!$A$1:$I$89,5,0)</f>
        <v>0</v>
      </c>
      <c r="BF28" s="13" t="e">
        <f t="shared" si="37"/>
        <v>#NUM!</v>
      </c>
      <c r="BG28" s="20" t="e">
        <f t="shared" si="7"/>
        <v>#NUM!</v>
      </c>
      <c r="BH28" s="59" t="e">
        <f t="shared" si="8"/>
        <v>#NUM!</v>
      </c>
      <c r="BI28" s="59">
        <f ca="1">AVERAGE(OFFSET($BH$3,0,0,'Données projet'!$E$11+1,1))-AVERAGE(OFFSET($H$3,0,0,'Données projet'!$E$11+1,1))</f>
        <v>123.44750406183283</v>
      </c>
      <c r="BJ28" s="59">
        <f t="shared" si="38"/>
        <v>346.72009411328929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60.148404613184091</v>
      </c>
      <c r="BQ28" s="21">
        <f>EXP(-LN(2)/25)*BQ27+(1-EXP(-LN(2)/25))/(LN(2)/25)*Calculateur!BL28*Calculateur!BN28*VLOOKUP('Données projet'!$B$11,Paramètres!$A$1:$I$89,3,0)*0.475*44/12</f>
        <v>12.339633457261831</v>
      </c>
      <c r="BR28" s="21">
        <f>EXP(-LN(2)/2)*BR27+(1-EXP(-LN(2)/2))/(LN(2)/2)*BL28*BO28*VLOOKUP('Données projet'!$B$11,Paramètres!$A$1:$I$89,3,0)*0.475*44/12</f>
        <v>3.5785126756054093</v>
      </c>
      <c r="BS28" s="22">
        <f t="shared" si="9"/>
        <v>76.066550746051334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7">
        <f t="shared" si="1"/>
        <v>183.33333333333334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0</v>
      </c>
      <c r="N29" s="13">
        <f>IF('Données projet'!$A$36&gt;35,N28+M29-V28,IF(A29&lt;'Données projet'!$A$36,$K$205^A29,IF(A29='Données projet'!$A$36,'Données projet'!$B$36,N28+M29-V28)))</f>
        <v>0</v>
      </c>
      <c r="O29" s="13">
        <f>N29*VLOOKUP('Données projet'!$B$9,Paramètres!$A$1:$I$89,3,0)*VLOOKUP('Données projet'!$B$9,Paramètres!$A$1:$I$89,5,0)</f>
        <v>0</v>
      </c>
      <c r="P29" s="13" t="e">
        <f t="shared" si="33"/>
        <v>#NUM!</v>
      </c>
      <c r="Q29" s="20" t="e">
        <f t="shared" si="2"/>
        <v>#NUM!</v>
      </c>
      <c r="R29" s="59" t="e">
        <f t="shared" si="0"/>
        <v>#NUM!</v>
      </c>
      <c r="S29" s="59">
        <f ca="1">AVERAGE(OFFSET($R$3,0,0,'Données projet'!$E$9+1,1))-AVERAGE(OFFSET($H$3,0,0,'Données projet'!$E$9+1,1))</f>
        <v>112.82287576550925</v>
      </c>
      <c r="T29" s="59">
        <f t="shared" si="34"/>
        <v>317.78570695363294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53.39964314975937</v>
      </c>
      <c r="AA29" s="21">
        <f>EXP(-LN(2)/25)*AA28+(1-EXP(-LN(2)/25))/(LN(2)/25)*Calculateur!V29*Calculateur!X29*VLOOKUP('Données projet'!$B$9,Paramètres!$A$1:$I$89,3,0)*0.475*44/12</f>
        <v>10.868663897933121</v>
      </c>
      <c r="AB29" s="21">
        <f>EXP(-LN(2)/2)*AB28+(1-EXP(-LN(2)/2))/(LN(2)/2)*V29*Y29*VLOOKUP('Données projet'!$B$9,Paramètres!$A$1:$I$89,3,0)*0.475*44/12</f>
        <v>2.2914092469759102</v>
      </c>
      <c r="AC29" s="22">
        <f t="shared" si="3"/>
        <v>66.559716294668405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>
        <f>AI29*VLOOKUP('Données projet'!$B$10,Paramètres!$A$1:$I$89,3,0)*VLOOKUP('Données projet'!$B$10,Paramètres!$A$1:$I$89,5,0)</f>
        <v>0</v>
      </c>
      <c r="AK29" s="13" t="e">
        <f t="shared" si="35"/>
        <v>#NUM!</v>
      </c>
      <c r="AL29" s="20" t="e">
        <f t="shared" si="4"/>
        <v>#NUM!</v>
      </c>
      <c r="AM29" s="59" t="e">
        <f t="shared" si="5"/>
        <v>#NUM!</v>
      </c>
      <c r="AN29" s="59">
        <f ca="1">AVERAGE(OFFSET($AM$3,0,0,'Données projet'!$E$10+1,1))-AVERAGE(OFFSET($H$3,0,0,'Données projet'!$E$10+1,1))</f>
        <v>123.44750406183283</v>
      </c>
      <c r="AO29" s="59">
        <f t="shared" si="36"/>
        <v>346.72009411328929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58.968931085623836</v>
      </c>
      <c r="AV29" s="21">
        <f>EXP(-LN(2)/25)*AV28+(1-EXP(-LN(2)/25))/(LN(2)/25)*Calculateur!AQ29*Calculateur!AS29*VLOOKUP('Données projet'!$B$10,Paramètres!$A$1:$I$89,3,0)*0.475*44/12</f>
        <v>12.002205531459886</v>
      </c>
      <c r="AW29" s="21">
        <f>EXP(-LN(2)/2)*AW28+(1-EXP(-LN(2)/2))/(LN(2)/2)*AQ29*AT29*VLOOKUP('Données projet'!$B$10,Paramètres!$A$1:$I$89,3,0)*0.475*44/12</f>
        <v>2.5303905794826012</v>
      </c>
      <c r="AX29" s="21">
        <f t="shared" si="6"/>
        <v>73.501527196566315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>
        <f>BD29*VLOOKUP('Données projet'!$B$11,Paramètres!$A$1:$I$89,3,0)*VLOOKUP('Données projet'!$B$11,Paramètres!$A$1:$I$89,5,0)</f>
        <v>0</v>
      </c>
      <c r="BF29" s="13" t="e">
        <f t="shared" si="37"/>
        <v>#NUM!</v>
      </c>
      <c r="BG29" s="20" t="e">
        <f t="shared" si="7"/>
        <v>#NUM!</v>
      </c>
      <c r="BH29" s="59" t="e">
        <f t="shared" si="8"/>
        <v>#NUM!</v>
      </c>
      <c r="BI29" s="59">
        <f ca="1">AVERAGE(OFFSET($BH$3,0,0,'Données projet'!$E$11+1,1))-AVERAGE(OFFSET($H$3,0,0,'Données projet'!$E$11+1,1))</f>
        <v>123.44750406183283</v>
      </c>
      <c r="BJ29" s="59">
        <f t="shared" si="38"/>
        <v>346.72009411328929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58.968931085623836</v>
      </c>
      <c r="BQ29" s="21">
        <f>EXP(-LN(2)/25)*BQ28+(1-EXP(-LN(2)/25))/(LN(2)/25)*Calculateur!BL29*Calculateur!BN29*VLOOKUP('Données projet'!$B$11,Paramètres!$A$1:$I$89,3,0)*0.475*44/12</f>
        <v>12.002205531459886</v>
      </c>
      <c r="BR29" s="21">
        <f>EXP(-LN(2)/2)*BR28+(1-EXP(-LN(2)/2))/(LN(2)/2)*BL29*BO29*VLOOKUP('Données projet'!$B$11,Paramètres!$A$1:$I$89,3,0)*0.475*44/12</f>
        <v>2.5303905794826012</v>
      </c>
      <c r="BS29" s="22">
        <f t="shared" si="9"/>
        <v>73.501527196566315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7">
        <f t="shared" si="1"/>
        <v>183.33333333333334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0</v>
      </c>
      <c r="N30" s="13">
        <f>IF('Données projet'!$A$36&gt;35,N29+M30-V29,IF(A30&lt;'Données projet'!$A$36,$K$205^A30,IF(A30='Données projet'!$A$36,'Données projet'!$B$36,N29+M30-V29)))</f>
        <v>0</v>
      </c>
      <c r="O30" s="13">
        <f>N30*VLOOKUP('Données projet'!$B$9,Paramètres!$A$1:$I$89,3,0)*VLOOKUP('Données projet'!$B$9,Paramètres!$A$1:$I$89,5,0)</f>
        <v>0</v>
      </c>
      <c r="P30" s="13" t="e">
        <f t="shared" si="33"/>
        <v>#NUM!</v>
      </c>
      <c r="Q30" s="20" t="e">
        <f t="shared" si="2"/>
        <v>#NUM!</v>
      </c>
      <c r="R30" s="59" t="e">
        <f t="shared" si="0"/>
        <v>#NUM!</v>
      </c>
      <c r="S30" s="59">
        <f ca="1">AVERAGE(OFFSET($R$3,0,0,'Données projet'!$E$9+1,1))-AVERAGE(OFFSET($H$3,0,0,'Données projet'!$E$9+1,1))</f>
        <v>112.82287576550925</v>
      </c>
      <c r="T30" s="59">
        <f t="shared" si="34"/>
        <v>317.78570695363294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52.352508718158838</v>
      </c>
      <c r="AA30" s="21">
        <f>EXP(-LN(2)/25)*AA29+(1-EXP(-LN(2)/25))/(LN(2)/25)*Calculateur!V30*Calculateur!X30*VLOOKUP('Données projet'!$B$9,Paramètres!$A$1:$I$89,3,0)*0.475*44/12</f>
        <v>10.571459712085947</v>
      </c>
      <c r="AB30" s="21">
        <f>EXP(-LN(2)/2)*AB29+(1-EXP(-LN(2)/2))/(LN(2)/2)*V30*Y30*VLOOKUP('Données projet'!$B$9,Paramètres!$A$1:$I$89,3,0)*0.475*44/12</f>
        <v>1.6202710170102266</v>
      </c>
      <c r="AC30" s="22">
        <f t="shared" si="3"/>
        <v>64.544239447255009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>
        <f>AI30*VLOOKUP('Données projet'!$B$10,Paramètres!$A$1:$I$89,3,0)*VLOOKUP('Données projet'!$B$10,Paramètres!$A$1:$I$89,5,0)</f>
        <v>0</v>
      </c>
      <c r="AK30" s="13" t="e">
        <f t="shared" si="35"/>
        <v>#NUM!</v>
      </c>
      <c r="AL30" s="20" t="e">
        <f t="shared" si="4"/>
        <v>#NUM!</v>
      </c>
      <c r="AM30" s="59" t="e">
        <f t="shared" si="5"/>
        <v>#NUM!</v>
      </c>
      <c r="AN30" s="59">
        <f ca="1">AVERAGE(OFFSET($AM$3,0,0,'Données projet'!$E$10+1,1))-AVERAGE(OFFSET($H$3,0,0,'Données projet'!$E$10+1,1))</f>
        <v>123.44750406183283</v>
      </c>
      <c r="AO30" s="59">
        <f t="shared" si="36"/>
        <v>346.72009411328929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57.812586314531217</v>
      </c>
      <c r="AV30" s="21">
        <f>EXP(-LN(2)/25)*AV29+(1-EXP(-LN(2)/25))/(LN(2)/25)*Calculateur!AQ30*Calculateur!AS30*VLOOKUP('Données projet'!$B$10,Paramètres!$A$1:$I$89,3,0)*0.475*44/12</f>
        <v>11.674004590033558</v>
      </c>
      <c r="AW30" s="21">
        <f>EXP(-LN(2)/2)*AW29+(1-EXP(-LN(2)/2))/(LN(2)/2)*AQ30*AT30*VLOOKUP('Données projet'!$B$10,Paramètres!$A$1:$I$89,3,0)*0.475*44/12</f>
        <v>1.7892563378027049</v>
      </c>
      <c r="AX30" s="21">
        <f t="shared" si="6"/>
        <v>71.27584724236749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>
        <f>BD30*VLOOKUP('Données projet'!$B$11,Paramètres!$A$1:$I$89,3,0)*VLOOKUP('Données projet'!$B$11,Paramètres!$A$1:$I$89,5,0)</f>
        <v>0</v>
      </c>
      <c r="BF30" s="13" t="e">
        <f t="shared" si="37"/>
        <v>#NUM!</v>
      </c>
      <c r="BG30" s="20" t="e">
        <f t="shared" si="7"/>
        <v>#NUM!</v>
      </c>
      <c r="BH30" s="59" t="e">
        <f t="shared" si="8"/>
        <v>#NUM!</v>
      </c>
      <c r="BI30" s="59">
        <f ca="1">AVERAGE(OFFSET($BH$3,0,0,'Données projet'!$E$11+1,1))-AVERAGE(OFFSET($H$3,0,0,'Données projet'!$E$11+1,1))</f>
        <v>123.44750406183283</v>
      </c>
      <c r="BJ30" s="59">
        <f t="shared" si="38"/>
        <v>346.72009411328929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57.812586314531217</v>
      </c>
      <c r="BQ30" s="21">
        <f>EXP(-LN(2)/25)*BQ29+(1-EXP(-LN(2)/25))/(LN(2)/25)*Calculateur!BL30*Calculateur!BN30*VLOOKUP('Données projet'!$B$11,Paramètres!$A$1:$I$89,3,0)*0.475*44/12</f>
        <v>11.674004590033558</v>
      </c>
      <c r="BR30" s="21">
        <f>EXP(-LN(2)/2)*BR29+(1-EXP(-LN(2)/2))/(LN(2)/2)*BL30*BO30*VLOOKUP('Données projet'!$B$11,Paramètres!$A$1:$I$89,3,0)*0.475*44/12</f>
        <v>1.7892563378027049</v>
      </c>
      <c r="BS30" s="22">
        <f t="shared" si="9"/>
        <v>71.27584724236749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7">
        <f t="shared" si="1"/>
        <v>183.33333333333334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0</v>
      </c>
      <c r="N31" s="13">
        <f>IF('Données projet'!$A$36&gt;35,N30+M31-V30,IF(A31&lt;'Données projet'!$A$36,$K$205^A31,IF(A31='Données projet'!$A$36,'Données projet'!$B$36,N30+M31-V30)))</f>
        <v>0</v>
      </c>
      <c r="O31" s="13">
        <f>N31*VLOOKUP('Données projet'!$B$9,Paramètres!$A$1:$I$89,3,0)*VLOOKUP('Données projet'!$B$9,Paramètres!$A$1:$I$89,5,0)</f>
        <v>0</v>
      </c>
      <c r="P31" s="13" t="e">
        <f t="shared" si="33"/>
        <v>#NUM!</v>
      </c>
      <c r="Q31" s="20" t="e">
        <f t="shared" si="2"/>
        <v>#NUM!</v>
      </c>
      <c r="R31" s="59" t="e">
        <f t="shared" si="0"/>
        <v>#NUM!</v>
      </c>
      <c r="S31" s="59">
        <f ca="1">AVERAGE(OFFSET($R$3,0,0,'Données projet'!$E$9+1,1))-AVERAGE(OFFSET($H$3,0,0,'Données projet'!$E$9+1,1))</f>
        <v>112.82287576550925</v>
      </c>
      <c r="T31" s="59">
        <f t="shared" si="34"/>
        <v>317.78570695363294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51.325907954073053</v>
      </c>
      <c r="AA31" s="21">
        <f>EXP(-LN(2)/25)*AA30+(1-EXP(-LN(2)/25))/(LN(2)/25)*Calculateur!V31*Calculateur!X31*VLOOKUP('Données projet'!$B$9,Paramètres!$A$1:$I$89,3,0)*0.475*44/12</f>
        <v>10.282382590330052</v>
      </c>
      <c r="AB31" s="21">
        <f>EXP(-LN(2)/2)*AB30+(1-EXP(-LN(2)/2))/(LN(2)/2)*V31*Y31*VLOOKUP('Données projet'!$B$9,Paramètres!$A$1:$I$89,3,0)*0.475*44/12</f>
        <v>1.1457046234879551</v>
      </c>
      <c r="AC31" s="22">
        <f t="shared" si="3"/>
        <v>62.753995167891063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>
        <f>AI31*VLOOKUP('Données projet'!$B$10,Paramètres!$A$1:$I$89,3,0)*VLOOKUP('Données projet'!$B$10,Paramètres!$A$1:$I$89,5,0)</f>
        <v>0</v>
      </c>
      <c r="AK31" s="13" t="e">
        <f t="shared" si="35"/>
        <v>#NUM!</v>
      </c>
      <c r="AL31" s="20" t="e">
        <f t="shared" si="4"/>
        <v>#NUM!</v>
      </c>
      <c r="AM31" s="59" t="e">
        <f t="shared" si="5"/>
        <v>#NUM!</v>
      </c>
      <c r="AN31" s="59">
        <f ca="1">AVERAGE(OFFSET($AM$3,0,0,'Données projet'!$E$10+1,1))-AVERAGE(OFFSET($H$3,0,0,'Données projet'!$E$10+1,1))</f>
        <v>123.44750406183283</v>
      </c>
      <c r="AO31" s="59">
        <f t="shared" si="36"/>
        <v>346.72009411328929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56.67891675909906</v>
      </c>
      <c r="AV31" s="21">
        <f>EXP(-LN(2)/25)*AV30+(1-EXP(-LN(2)/25))/(LN(2)/25)*Calculateur!AQ31*Calculateur!AS31*VLOOKUP('Données projet'!$B$10,Paramètres!$A$1:$I$89,3,0)*0.475*44/12</f>
        <v>11.354778320609871</v>
      </c>
      <c r="AW31" s="21">
        <f>EXP(-LN(2)/2)*AW30+(1-EXP(-LN(2)/2))/(LN(2)/2)*AQ31*AT31*VLOOKUP('Données projet'!$B$10,Paramètres!$A$1:$I$89,3,0)*0.475*44/12</f>
        <v>1.2651952897413006</v>
      </c>
      <c r="AX31" s="21">
        <f t="shared" si="6"/>
        <v>69.298890369450234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>
        <f>BD31*VLOOKUP('Données projet'!$B$11,Paramètres!$A$1:$I$89,3,0)*VLOOKUP('Données projet'!$B$11,Paramètres!$A$1:$I$89,5,0)</f>
        <v>0</v>
      </c>
      <c r="BF31" s="13" t="e">
        <f t="shared" si="37"/>
        <v>#NUM!</v>
      </c>
      <c r="BG31" s="20" t="e">
        <f t="shared" si="7"/>
        <v>#NUM!</v>
      </c>
      <c r="BH31" s="59" t="e">
        <f t="shared" si="8"/>
        <v>#NUM!</v>
      </c>
      <c r="BI31" s="59">
        <f ca="1">AVERAGE(OFFSET($BH$3,0,0,'Données projet'!$E$11+1,1))-AVERAGE(OFFSET($H$3,0,0,'Données projet'!$E$11+1,1))</f>
        <v>123.44750406183283</v>
      </c>
      <c r="BJ31" s="59">
        <f t="shared" si="38"/>
        <v>346.72009411328929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56.67891675909906</v>
      </c>
      <c r="BQ31" s="21">
        <f>EXP(-LN(2)/25)*BQ30+(1-EXP(-LN(2)/25))/(LN(2)/25)*Calculateur!BL31*Calculateur!BN31*VLOOKUP('Données projet'!$B$11,Paramètres!$A$1:$I$89,3,0)*0.475*44/12</f>
        <v>11.354778320609871</v>
      </c>
      <c r="BR31" s="21">
        <f>EXP(-LN(2)/2)*BR30+(1-EXP(-LN(2)/2))/(LN(2)/2)*BL31*BO31*VLOOKUP('Données projet'!$B$11,Paramètres!$A$1:$I$89,3,0)*0.475*44/12</f>
        <v>1.2651952897413006</v>
      </c>
      <c r="BS31" s="22">
        <f t="shared" si="9"/>
        <v>69.298890369450234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7">
        <f t="shared" si="1"/>
        <v>183.33333333333334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0</v>
      </c>
      <c r="N32" s="13">
        <f>IF('Données projet'!$A$36&gt;35,N31+M32-V31,IF(A32&lt;'Données projet'!$A$36,$K$205^A32,IF(A32='Données projet'!$A$36,'Données projet'!$B$36,N31+M32-V31)))</f>
        <v>0</v>
      </c>
      <c r="O32" s="13">
        <f>N32*VLOOKUP('Données projet'!$B$9,Paramètres!$A$1:$I$89,3,0)*VLOOKUP('Données projet'!$B$9,Paramètres!$A$1:$I$89,5,0)</f>
        <v>0</v>
      </c>
      <c r="P32" s="13" t="e">
        <f t="shared" si="33"/>
        <v>#NUM!</v>
      </c>
      <c r="Q32" s="20" t="e">
        <f t="shared" si="2"/>
        <v>#NUM!</v>
      </c>
      <c r="R32" s="59" t="e">
        <f t="shared" si="0"/>
        <v>#NUM!</v>
      </c>
      <c r="S32" s="59">
        <f ca="1">AVERAGE(OFFSET($R$3,0,0,'Données projet'!$E$9+1,1))-AVERAGE(OFFSET($H$3,0,0,'Données projet'!$E$9+1,1))</f>
        <v>112.82287576550925</v>
      </c>
      <c r="T32" s="59">
        <f t="shared" si="34"/>
        <v>317.78570695363294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50.319438204806353</v>
      </c>
      <c r="AA32" s="21">
        <f>EXP(-LN(2)/25)*AA31+(1-EXP(-LN(2)/25))/(LN(2)/25)*Calculateur!V32*Calculateur!X32*VLOOKUP('Données projet'!$B$9,Paramètres!$A$1:$I$89,3,0)*0.475*44/12</f>
        <v>10.001210297670477</v>
      </c>
      <c r="AB32" s="21">
        <f>EXP(-LN(2)/2)*AB31+(1-EXP(-LN(2)/2))/(LN(2)/2)*V32*Y32*VLOOKUP('Données projet'!$B$9,Paramètres!$A$1:$I$89,3,0)*0.475*44/12</f>
        <v>0.81013550850511329</v>
      </c>
      <c r="AC32" s="22">
        <f t="shared" si="3"/>
        <v>61.130784010981941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>
        <f>AI32*VLOOKUP('Données projet'!$B$10,Paramètres!$A$1:$I$89,3,0)*VLOOKUP('Données projet'!$B$10,Paramètres!$A$1:$I$89,5,0)</f>
        <v>0</v>
      </c>
      <c r="AK32" s="13" t="e">
        <f t="shared" si="35"/>
        <v>#NUM!</v>
      </c>
      <c r="AL32" s="20" t="e">
        <f t="shared" si="4"/>
        <v>#NUM!</v>
      </c>
      <c r="AM32" s="59" t="e">
        <f t="shared" si="5"/>
        <v>#NUM!</v>
      </c>
      <c r="AN32" s="59">
        <f ca="1">AVERAGE(OFFSET($AM$3,0,0,'Données projet'!$E$10+1,1))-AVERAGE(OFFSET($H$3,0,0,'Données projet'!$E$10+1,1))</f>
        <v>123.44750406183283</v>
      </c>
      <c r="AO32" s="59">
        <f t="shared" si="36"/>
        <v>346.72009411328929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55.567477772178776</v>
      </c>
      <c r="AV32" s="21">
        <f>EXP(-LN(2)/25)*AV31+(1-EXP(-LN(2)/25))/(LN(2)/25)*Calculateur!AQ32*Calculateur!AS32*VLOOKUP('Données projet'!$B$10,Paramètres!$A$1:$I$89,3,0)*0.475*44/12</f>
        <v>11.044281310310954</v>
      </c>
      <c r="AW32" s="21">
        <f>EXP(-LN(2)/2)*AW31+(1-EXP(-LN(2)/2))/(LN(2)/2)*AQ32*AT32*VLOOKUP('Données projet'!$B$10,Paramètres!$A$1:$I$89,3,0)*0.475*44/12</f>
        <v>0.89462816890135244</v>
      </c>
      <c r="AX32" s="21">
        <f t="shared" si="6"/>
        <v>67.506387251391075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>
        <f>BD32*VLOOKUP('Données projet'!$B$11,Paramètres!$A$1:$I$89,3,0)*VLOOKUP('Données projet'!$B$11,Paramètres!$A$1:$I$89,5,0)</f>
        <v>0</v>
      </c>
      <c r="BF32" s="13" t="e">
        <f t="shared" si="37"/>
        <v>#NUM!</v>
      </c>
      <c r="BG32" s="20" t="e">
        <f t="shared" si="7"/>
        <v>#NUM!</v>
      </c>
      <c r="BH32" s="59" t="e">
        <f t="shared" si="8"/>
        <v>#NUM!</v>
      </c>
      <c r="BI32" s="59">
        <f ca="1">AVERAGE(OFFSET($BH$3,0,0,'Données projet'!$E$11+1,1))-AVERAGE(OFFSET($H$3,0,0,'Données projet'!$E$11+1,1))</f>
        <v>123.44750406183283</v>
      </c>
      <c r="BJ32" s="59">
        <f t="shared" si="38"/>
        <v>346.72009411328929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55.567477772178776</v>
      </c>
      <c r="BQ32" s="21">
        <f>EXP(-LN(2)/25)*BQ31+(1-EXP(-LN(2)/25))/(LN(2)/25)*Calculateur!BL32*Calculateur!BN32*VLOOKUP('Données projet'!$B$11,Paramètres!$A$1:$I$89,3,0)*0.475*44/12</f>
        <v>11.044281310310954</v>
      </c>
      <c r="BR32" s="21">
        <f>EXP(-LN(2)/2)*BR31+(1-EXP(-LN(2)/2))/(LN(2)/2)*BL32*BO32*VLOOKUP('Données projet'!$B$11,Paramètres!$A$1:$I$89,3,0)*0.475*44/12</f>
        <v>0.89462816890135244</v>
      </c>
      <c r="BS32" s="22">
        <f t="shared" si="9"/>
        <v>67.506387251391075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7">
        <f t="shared" si="1"/>
        <v>183.33333333333334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0</v>
      </c>
      <c r="N33" s="13">
        <f>IF('Données projet'!$A$36&gt;35,N32+M33-V32,IF(A33&lt;'Données projet'!$A$36,$K$205^A33,IF(A33='Données projet'!$A$36,'Données projet'!$B$36,N32+M33-V32)))</f>
        <v>0</v>
      </c>
      <c r="O33" s="13">
        <f>N33*VLOOKUP('Données projet'!$B$9,Paramètres!$A$1:$I$89,3,0)*VLOOKUP('Données projet'!$B$9,Paramètres!$A$1:$I$89,5,0)</f>
        <v>0</v>
      </c>
      <c r="P33" s="13" t="e">
        <f t="shared" si="33"/>
        <v>#NUM!</v>
      </c>
      <c r="Q33" s="20" t="e">
        <f t="shared" si="2"/>
        <v>#NUM!</v>
      </c>
      <c r="R33" s="59" t="e">
        <f t="shared" si="0"/>
        <v>#NUM!</v>
      </c>
      <c r="S33" s="59">
        <f ca="1">AVERAGE(OFFSET($R$3,0,0,'Données projet'!$E$9+1,1))-AVERAGE(OFFSET($H$3,0,0,'Données projet'!$E$9+1,1))</f>
        <v>112.82287576550925</v>
      </c>
      <c r="T33" s="59">
        <f t="shared" si="34"/>
        <v>317.78570695363294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49.33270471343684</v>
      </c>
      <c r="AA33" s="21">
        <f>EXP(-LN(2)/25)*AA32+(1-EXP(-LN(2)/25))/(LN(2)/25)*Calculateur!V33*Calculateur!X33*VLOOKUP('Données projet'!$B$9,Paramètres!$A$1:$I$89,3,0)*0.475*44/12</f>
        <v>9.727726676139886</v>
      </c>
      <c r="AB33" s="21">
        <f>EXP(-LN(2)/2)*AB32+(1-EXP(-LN(2)/2))/(LN(2)/2)*V33*Y33*VLOOKUP('Données projet'!$B$9,Paramètres!$A$1:$I$89,3,0)*0.475*44/12</f>
        <v>0.57285231174397755</v>
      </c>
      <c r="AC33" s="22">
        <f t="shared" si="3"/>
        <v>59.633283701320707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>
        <f>AI33*VLOOKUP('Données projet'!$B$10,Paramètres!$A$1:$I$89,3,0)*VLOOKUP('Données projet'!$B$10,Paramètres!$A$1:$I$89,5,0)</f>
        <v>0</v>
      </c>
      <c r="AK33" s="13" t="e">
        <f t="shared" si="35"/>
        <v>#NUM!</v>
      </c>
      <c r="AL33" s="20" t="e">
        <f t="shared" si="4"/>
        <v>#NUM!</v>
      </c>
      <c r="AM33" s="59" t="e">
        <f t="shared" si="5"/>
        <v>#NUM!</v>
      </c>
      <c r="AN33" s="59">
        <f ca="1">AVERAGE(OFFSET($AM$3,0,0,'Données projet'!$E$10+1,1))-AVERAGE(OFFSET($H$3,0,0,'Données projet'!$E$10+1,1))</f>
        <v>123.44750406183283</v>
      </c>
      <c r="AO33" s="59">
        <f t="shared" si="36"/>
        <v>346.72009411328929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54.477833425881151</v>
      </c>
      <c r="AV33" s="21">
        <f>EXP(-LN(2)/25)*AV32+(1-EXP(-LN(2)/25))/(LN(2)/25)*Calculateur!AQ33*Calculateur!AS33*VLOOKUP('Données projet'!$B$10,Paramètres!$A$1:$I$89,3,0)*0.475*44/12</f>
        <v>10.742274857086988</v>
      </c>
      <c r="AW33" s="21">
        <f>EXP(-LN(2)/2)*AW32+(1-EXP(-LN(2)/2))/(LN(2)/2)*AQ33*AT33*VLOOKUP('Données projet'!$B$10,Paramètres!$A$1:$I$89,3,0)*0.475*44/12</f>
        <v>0.63259764487065029</v>
      </c>
      <c r="AX33" s="21">
        <f t="shared" si="6"/>
        <v>65.852705927838798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>
        <f>BD33*VLOOKUP('Données projet'!$B$11,Paramètres!$A$1:$I$89,3,0)*VLOOKUP('Données projet'!$B$11,Paramètres!$A$1:$I$89,5,0)</f>
        <v>0</v>
      </c>
      <c r="BF33" s="13" t="e">
        <f t="shared" si="37"/>
        <v>#NUM!</v>
      </c>
      <c r="BG33" s="20" t="e">
        <f t="shared" si="7"/>
        <v>#NUM!</v>
      </c>
      <c r="BH33" s="59" t="e">
        <f t="shared" si="8"/>
        <v>#NUM!</v>
      </c>
      <c r="BI33" s="59">
        <f ca="1">AVERAGE(OFFSET($BH$3,0,0,'Données projet'!$E$11+1,1))-AVERAGE(OFFSET($H$3,0,0,'Données projet'!$E$11+1,1))</f>
        <v>123.44750406183283</v>
      </c>
      <c r="BJ33" s="59">
        <f t="shared" si="38"/>
        <v>346.72009411328929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54.477833425881151</v>
      </c>
      <c r="BQ33" s="21">
        <f>EXP(-LN(2)/25)*BQ32+(1-EXP(-LN(2)/25))/(LN(2)/25)*Calculateur!BL33*Calculateur!BN33*VLOOKUP('Données projet'!$B$11,Paramètres!$A$1:$I$89,3,0)*0.475*44/12</f>
        <v>10.742274857086988</v>
      </c>
      <c r="BR33" s="21">
        <f>EXP(-LN(2)/2)*BR32+(1-EXP(-LN(2)/2))/(LN(2)/2)*BL33*BO33*VLOOKUP('Données projet'!$B$11,Paramètres!$A$1:$I$89,3,0)*0.475*44/12</f>
        <v>0.63259764487065029</v>
      </c>
      <c r="BS33" s="22">
        <f t="shared" si="9"/>
        <v>65.852705927838798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7">
        <f t="shared" si="1"/>
        <v>183.33333333333334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112.82287576550925</v>
      </c>
      <c r="T34" s="59">
        <f t="shared" si="34"/>
        <v>317.78570695363294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48.365320463985078</v>
      </c>
      <c r="AA34" s="21">
        <f>EXP(-LN(2)/25)*AA33+(1-EXP(-LN(2)/25))/(LN(2)/25)*Calculateur!V34*Calculateur!X34*VLOOKUP('Données projet'!$B$9,Paramètres!$A$1:$I$89,3,0)*0.475*44/12</f>
        <v>9.4617214786219286</v>
      </c>
      <c r="AB34" s="21">
        <f>EXP(-LN(2)/2)*AB33+(1-EXP(-LN(2)/2))/(LN(2)/2)*V34*Y34*VLOOKUP('Données projet'!$B$9,Paramètres!$A$1:$I$89,3,0)*0.475*44/12</f>
        <v>0.40506775425255664</v>
      </c>
      <c r="AC34" s="22">
        <f t="shared" si="3"/>
        <v>58.232109696859567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>
        <f>AI34*VLOOKUP('Données projet'!$B$10,Paramètres!$A$1:$I$89,3,0)*VLOOKUP('Données projet'!$B$10,Paramètres!$A$1:$I$89,5,0)</f>
        <v>0</v>
      </c>
      <c r="AK34" s="13" t="e">
        <f t="shared" si="35"/>
        <v>#NUM!</v>
      </c>
      <c r="AL34" s="20" t="e">
        <f t="shared" si="4"/>
        <v>#NUM!</v>
      </c>
      <c r="AM34" s="59" t="e">
        <f t="shared" si="5"/>
        <v>#NUM!</v>
      </c>
      <c r="AN34" s="59">
        <f ca="1">AVERAGE(OFFSET($AM$3,0,0,'Données projet'!$E$10+1,1))-AVERAGE(OFFSET($H$3,0,0,'Données projet'!$E$10+1,1))</f>
        <v>123.44750406183283</v>
      </c>
      <c r="AO34" s="59">
        <f t="shared" si="36"/>
        <v>346.72009411328929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53.409556340597</v>
      </c>
      <c r="AV34" s="21">
        <f>EXP(-LN(2)/25)*AV33+(1-EXP(-LN(2)/25))/(LN(2)/25)*Calculateur!AQ34*Calculateur!AS34*VLOOKUP('Données projet'!$B$10,Paramètres!$A$1:$I$89,3,0)*0.475*44/12</f>
        <v>10.448526786208262</v>
      </c>
      <c r="AW34" s="21">
        <f>EXP(-LN(2)/2)*AW33+(1-EXP(-LN(2)/2))/(LN(2)/2)*AQ34*AT34*VLOOKUP('Données projet'!$B$10,Paramètres!$A$1:$I$89,3,0)*0.475*44/12</f>
        <v>0.44731408445067622</v>
      </c>
      <c r="AX34" s="21">
        <f t="shared" si="6"/>
        <v>64.305397211255936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>
        <f>BD34*VLOOKUP('Données projet'!$B$11,Paramètres!$A$1:$I$89,3,0)*VLOOKUP('Données projet'!$B$11,Paramètres!$A$1:$I$89,5,0)</f>
        <v>0</v>
      </c>
      <c r="BF34" s="13" t="e">
        <f t="shared" si="37"/>
        <v>#NUM!</v>
      </c>
      <c r="BG34" s="20" t="e">
        <f t="shared" si="7"/>
        <v>#NUM!</v>
      </c>
      <c r="BH34" s="59" t="e">
        <f t="shared" si="8"/>
        <v>#NUM!</v>
      </c>
      <c r="BI34" s="59">
        <f ca="1">AVERAGE(OFFSET($BH$3,0,0,'Données projet'!$E$11+1,1))-AVERAGE(OFFSET($H$3,0,0,'Données projet'!$E$11+1,1))</f>
        <v>123.44750406183283</v>
      </c>
      <c r="BJ34" s="59">
        <f t="shared" si="38"/>
        <v>346.72009411328929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53.409556340597</v>
      </c>
      <c r="BQ34" s="21">
        <f>EXP(-LN(2)/25)*BQ33+(1-EXP(-LN(2)/25))/(LN(2)/25)*Calculateur!BL34*Calculateur!BN34*VLOOKUP('Données projet'!$B$11,Paramètres!$A$1:$I$89,3,0)*0.475*44/12</f>
        <v>10.448526786208262</v>
      </c>
      <c r="BR34" s="21">
        <f>EXP(-LN(2)/2)*BR33+(1-EXP(-LN(2)/2))/(LN(2)/2)*BL34*BO34*VLOOKUP('Données projet'!$B$11,Paramètres!$A$1:$I$89,3,0)*0.475*44/12</f>
        <v>0.44731408445067622</v>
      </c>
      <c r="BS34" s="22">
        <f t="shared" si="9"/>
        <v>64.305397211255936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7">
        <f t="shared" si="1"/>
        <v>183.33333333333334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112.82287576550925</v>
      </c>
      <c r="T35" s="59">
        <f t="shared" si="34"/>
        <v>317.78570695363294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47.416906029618936</v>
      </c>
      <c r="AA35" s="21">
        <f>EXP(-LN(2)/25)*AA34+(1-EXP(-LN(2)/25))/(LN(2)/25)*Calculateur!V35*Calculateur!X35*VLOOKUP('Données projet'!$B$9,Paramètres!$A$1:$I$89,3,0)*0.475*44/12</f>
        <v>9.2029902072187042</v>
      </c>
      <c r="AB35" s="21">
        <f>EXP(-LN(2)/2)*AB34+(1-EXP(-LN(2)/2))/(LN(2)/2)*V35*Y35*VLOOKUP('Données projet'!$B$9,Paramètres!$A$1:$I$89,3,0)*0.475*44/12</f>
        <v>0.28642615587198877</v>
      </c>
      <c r="AC35" s="22">
        <f t="shared" si="3"/>
        <v>56.906322392709626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>
        <f>AI35*VLOOKUP('Données projet'!$B$10,Paramètres!$A$1:$I$89,3,0)*VLOOKUP('Données projet'!$B$10,Paramètres!$A$1:$I$89,5,0)</f>
        <v>0</v>
      </c>
      <c r="AK35" s="13" t="e">
        <f t="shared" si="35"/>
        <v>#NUM!</v>
      </c>
      <c r="AL35" s="20" t="e">
        <f t="shared" si="4"/>
        <v>#NUM!</v>
      </c>
      <c r="AM35" s="59" t="e">
        <f t="shared" si="5"/>
        <v>#NUM!</v>
      </c>
      <c r="AN35" s="59">
        <f ca="1">AVERAGE(OFFSET($AM$3,0,0,'Données projet'!$E$10+1,1))-AVERAGE(OFFSET($H$3,0,0,'Données projet'!$E$10+1,1))</f>
        <v>123.44750406183283</v>
      </c>
      <c r="AO35" s="59">
        <f t="shared" si="36"/>
        <v>346.72009411328929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52.362227517370584</v>
      </c>
      <c r="AV35" s="21">
        <f>EXP(-LN(2)/25)*AV34+(1-EXP(-LN(2)/25))/(LN(2)/25)*Calculateur!AQ35*Calculateur!AS35*VLOOKUP('Données projet'!$B$10,Paramètres!$A$1:$I$89,3,0)*0.475*44/12</f>
        <v>10.162811271775254</v>
      </c>
      <c r="AW35" s="21">
        <f>EXP(-LN(2)/2)*AW34+(1-EXP(-LN(2)/2))/(LN(2)/2)*AQ35*AT35*VLOOKUP('Données projet'!$B$10,Paramètres!$A$1:$I$89,3,0)*0.475*44/12</f>
        <v>0.31629882243532514</v>
      </c>
      <c r="AX35" s="21">
        <f t="shared" si="6"/>
        <v>62.841337611581167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>
        <f>BD35*VLOOKUP('Données projet'!$B$11,Paramètres!$A$1:$I$89,3,0)*VLOOKUP('Données projet'!$B$11,Paramètres!$A$1:$I$89,5,0)</f>
        <v>0</v>
      </c>
      <c r="BF35" s="13" t="e">
        <f t="shared" si="37"/>
        <v>#NUM!</v>
      </c>
      <c r="BG35" s="20" t="e">
        <f t="shared" si="7"/>
        <v>#NUM!</v>
      </c>
      <c r="BH35" s="59" t="e">
        <f t="shared" si="8"/>
        <v>#NUM!</v>
      </c>
      <c r="BI35" s="59">
        <f ca="1">AVERAGE(OFFSET($BH$3,0,0,'Données projet'!$E$11+1,1))-AVERAGE(OFFSET($H$3,0,0,'Données projet'!$E$11+1,1))</f>
        <v>123.44750406183283</v>
      </c>
      <c r="BJ35" s="59">
        <f t="shared" si="38"/>
        <v>346.72009411328929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52.362227517370584</v>
      </c>
      <c r="BQ35" s="21">
        <f>EXP(-LN(2)/25)*BQ34+(1-EXP(-LN(2)/25))/(LN(2)/25)*Calculateur!BL35*Calculateur!BN35*VLOOKUP('Données projet'!$B$11,Paramètres!$A$1:$I$89,3,0)*0.475*44/12</f>
        <v>10.162811271775254</v>
      </c>
      <c r="BR35" s="21">
        <f>EXP(-LN(2)/2)*BR34+(1-EXP(-LN(2)/2))/(LN(2)/2)*BL35*BO35*VLOOKUP('Données projet'!$B$11,Paramètres!$A$1:$I$89,3,0)*0.475*44/12</f>
        <v>0.31629882243532514</v>
      </c>
      <c r="BS35" s="22">
        <f t="shared" si="9"/>
        <v>62.841337611581167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7">
        <f t="shared" si="1"/>
        <v>183.33333333333334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112.82287576550925</v>
      </c>
      <c r="T36" s="59">
        <f t="shared" si="34"/>
        <v>317.78570695363294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46.48708942383503</v>
      </c>
      <c r="AA36" s="21">
        <f>EXP(-LN(2)/25)*AA35+(1-EXP(-LN(2)/25))/(LN(2)/25)*Calculateur!V36*Calculateur!X36*VLOOKUP('Données projet'!$B$9,Paramètres!$A$1:$I$89,3,0)*0.475*44/12</f>
        <v>8.9513339560380878</v>
      </c>
      <c r="AB36" s="21">
        <f>EXP(-LN(2)/2)*AB35+(1-EXP(-LN(2)/2))/(LN(2)/2)*V36*Y36*VLOOKUP('Données projet'!$B$9,Paramètres!$A$1:$I$89,3,0)*0.475*44/12</f>
        <v>0.20253387712627832</v>
      </c>
      <c r="AC36" s="22">
        <f t="shared" si="3"/>
        <v>55.640957256999393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>
        <f>AI36*VLOOKUP('Données projet'!$B$10,Paramètres!$A$1:$I$89,3,0)*VLOOKUP('Données projet'!$B$10,Paramètres!$A$1:$I$89,5,0)</f>
        <v>0</v>
      </c>
      <c r="AK36" s="13" t="e">
        <f t="shared" si="35"/>
        <v>#NUM!</v>
      </c>
      <c r="AL36" s="20" t="e">
        <f t="shared" si="4"/>
        <v>#NUM!</v>
      </c>
      <c r="AM36" s="59" t="e">
        <f t="shared" si="5"/>
        <v>#NUM!</v>
      </c>
      <c r="AN36" s="59">
        <f ca="1">AVERAGE(OFFSET($AM$3,0,0,'Données projet'!$E$10+1,1))-AVERAGE(OFFSET($H$3,0,0,'Données projet'!$E$10+1,1))</f>
        <v>123.44750406183283</v>
      </c>
      <c r="AO36" s="59">
        <f t="shared" si="36"/>
        <v>346.72009411328929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51.33543617356014</v>
      </c>
      <c r="AV36" s="21">
        <f>EXP(-LN(2)/25)*AV35+(1-EXP(-LN(2)/25))/(LN(2)/25)*Calculateur!AQ36*Calculateur!AS36*VLOOKUP('Données projet'!$B$10,Paramètres!$A$1:$I$89,3,0)*0.475*44/12</f>
        <v>9.8849086631095435</v>
      </c>
      <c r="AW36" s="21">
        <f>EXP(-LN(2)/2)*AW35+(1-EXP(-LN(2)/2))/(LN(2)/2)*AQ36*AT36*VLOOKUP('Données projet'!$B$10,Paramètres!$A$1:$I$89,3,0)*0.475*44/12</f>
        <v>0.22365704222533811</v>
      </c>
      <c r="AX36" s="21">
        <f t="shared" si="6"/>
        <v>61.444001878895023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>
        <f>BD36*VLOOKUP('Données projet'!$B$11,Paramètres!$A$1:$I$89,3,0)*VLOOKUP('Données projet'!$B$11,Paramètres!$A$1:$I$89,5,0)</f>
        <v>0</v>
      </c>
      <c r="BF36" s="13" t="e">
        <f t="shared" si="37"/>
        <v>#NUM!</v>
      </c>
      <c r="BG36" s="20" t="e">
        <f t="shared" si="7"/>
        <v>#NUM!</v>
      </c>
      <c r="BH36" s="59" t="e">
        <f t="shared" si="8"/>
        <v>#NUM!</v>
      </c>
      <c r="BI36" s="59">
        <f ca="1">AVERAGE(OFFSET($BH$3,0,0,'Données projet'!$E$11+1,1))-AVERAGE(OFFSET($H$3,0,0,'Données projet'!$E$11+1,1))</f>
        <v>123.44750406183283</v>
      </c>
      <c r="BJ36" s="59">
        <f t="shared" si="38"/>
        <v>346.72009411328929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51.33543617356014</v>
      </c>
      <c r="BQ36" s="21">
        <f>EXP(-LN(2)/25)*BQ35+(1-EXP(-LN(2)/25))/(LN(2)/25)*Calculateur!BL36*Calculateur!BN36*VLOOKUP('Données projet'!$B$11,Paramètres!$A$1:$I$89,3,0)*0.475*44/12</f>
        <v>9.8849086631095435</v>
      </c>
      <c r="BR36" s="21">
        <f>EXP(-LN(2)/2)*BR35+(1-EXP(-LN(2)/2))/(LN(2)/2)*BL36*BO36*VLOOKUP('Données projet'!$B$11,Paramètres!$A$1:$I$89,3,0)*0.475*44/12</f>
        <v>0.22365704222533811</v>
      </c>
      <c r="BS36" s="22">
        <f t="shared" si="9"/>
        <v>61.444001878895023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7">
        <f t="shared" si="1"/>
        <v>183.33333333333334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112.82287576550925</v>
      </c>
      <c r="T37" s="59">
        <f t="shared" si="34"/>
        <v>317.78570695363294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45.575505954558416</v>
      </c>
      <c r="AA37" s="21">
        <f>EXP(-LN(2)/25)*AA36+(1-EXP(-LN(2)/25))/(LN(2)/25)*Calculateur!V37*Calculateur!X37*VLOOKUP('Données projet'!$B$9,Paramètres!$A$1:$I$89,3,0)*0.475*44/12</f>
        <v>8.7065592582800324</v>
      </c>
      <c r="AB37" s="21">
        <f>EXP(-LN(2)/2)*AB36+(1-EXP(-LN(2)/2))/(LN(2)/2)*V37*Y37*VLOOKUP('Données projet'!$B$9,Paramètres!$A$1:$I$89,3,0)*0.475*44/12</f>
        <v>0.14321307793599439</v>
      </c>
      <c r="AC37" s="22">
        <f t="shared" si="3"/>
        <v>54.425278290774443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>
        <f>AI37*VLOOKUP('Données projet'!$B$10,Paramètres!$A$1:$I$89,3,0)*VLOOKUP('Données projet'!$B$10,Paramètres!$A$1:$I$89,5,0)</f>
        <v>0</v>
      </c>
      <c r="AK37" s="13" t="e">
        <f t="shared" si="35"/>
        <v>#NUM!</v>
      </c>
      <c r="AL37" s="20" t="e">
        <f t="shared" si="4"/>
        <v>#NUM!</v>
      </c>
      <c r="AM37" s="59" t="e">
        <f t="shared" si="5"/>
        <v>#NUM!</v>
      </c>
      <c r="AN37" s="59">
        <f ca="1">AVERAGE(OFFSET($AM$3,0,0,'Données projet'!$E$10+1,1))-AVERAGE(OFFSET($H$3,0,0,'Données projet'!$E$10+1,1))</f>
        <v>123.44750406183283</v>
      </c>
      <c r="AO37" s="59">
        <f t="shared" si="36"/>
        <v>346.72009411328929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50.328779581720937</v>
      </c>
      <c r="AV37" s="21">
        <f>EXP(-LN(2)/25)*AV36+(1-EXP(-LN(2)/25))/(LN(2)/25)*Calculateur!AQ37*Calculateur!AS37*VLOOKUP('Données projet'!$B$10,Paramètres!$A$1:$I$89,3,0)*0.475*44/12</f>
        <v>9.6146053158920584</v>
      </c>
      <c r="AW37" s="21">
        <f>EXP(-LN(2)/2)*AW36+(1-EXP(-LN(2)/2))/(LN(2)/2)*AQ37*AT37*VLOOKUP('Données projet'!$B$10,Paramètres!$A$1:$I$89,3,0)*0.475*44/12</f>
        <v>0.15814941121766257</v>
      </c>
      <c r="AX37" s="21">
        <f t="shared" si="6"/>
        <v>60.101534308830658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>
        <f>BD37*VLOOKUP('Données projet'!$B$11,Paramètres!$A$1:$I$89,3,0)*VLOOKUP('Données projet'!$B$11,Paramètres!$A$1:$I$89,5,0)</f>
        <v>0</v>
      </c>
      <c r="BF37" s="13" t="e">
        <f t="shared" si="37"/>
        <v>#NUM!</v>
      </c>
      <c r="BG37" s="20" t="e">
        <f t="shared" si="7"/>
        <v>#NUM!</v>
      </c>
      <c r="BH37" s="59" t="e">
        <f t="shared" si="8"/>
        <v>#NUM!</v>
      </c>
      <c r="BI37" s="59">
        <f ca="1">AVERAGE(OFFSET($BH$3,0,0,'Données projet'!$E$11+1,1))-AVERAGE(OFFSET($H$3,0,0,'Données projet'!$E$11+1,1))</f>
        <v>123.44750406183283</v>
      </c>
      <c r="BJ37" s="59">
        <f t="shared" si="38"/>
        <v>346.72009411328929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50.328779581720937</v>
      </c>
      <c r="BQ37" s="21">
        <f>EXP(-LN(2)/25)*BQ36+(1-EXP(-LN(2)/25))/(LN(2)/25)*Calculateur!BL37*Calculateur!BN37*VLOOKUP('Données projet'!$B$11,Paramètres!$A$1:$I$89,3,0)*0.475*44/12</f>
        <v>9.6146053158920584</v>
      </c>
      <c r="BR37" s="21">
        <f>EXP(-LN(2)/2)*BR36+(1-EXP(-LN(2)/2))/(LN(2)/2)*BL37*BO37*VLOOKUP('Données projet'!$B$11,Paramètres!$A$1:$I$89,3,0)*0.475*44/12</f>
        <v>0.15814941121766257</v>
      </c>
      <c r="BS37" s="22">
        <f t="shared" si="9"/>
        <v>60.101534308830658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7">
        <f t="shared" si="1"/>
        <v>183.33333333333334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112.82287576550925</v>
      </c>
      <c r="T38" s="59">
        <f t="shared" si="34"/>
        <v>317.78570695363294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44.681798081103302</v>
      </c>
      <c r="AA38" s="21">
        <f>EXP(-LN(2)/25)*AA37+(1-EXP(-LN(2)/25))/(LN(2)/25)*Calculateur!V38*Calculateur!X38*VLOOKUP('Données projet'!$B$9,Paramètres!$A$1:$I$89,3,0)*0.475*44/12</f>
        <v>8.4684779375043124</v>
      </c>
      <c r="AB38" s="21">
        <f>EXP(-LN(2)/2)*AB37+(1-EXP(-LN(2)/2))/(LN(2)/2)*V38*Y38*VLOOKUP('Données projet'!$B$9,Paramètres!$A$1:$I$89,3,0)*0.475*44/12</f>
        <v>0.10126693856313916</v>
      </c>
      <c r="AC38" s="22">
        <f t="shared" si="3"/>
        <v>53.251542957170756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>
        <f>AI38*VLOOKUP('Données projet'!$B$10,Paramètres!$A$1:$I$89,3,0)*VLOOKUP('Données projet'!$B$10,Paramètres!$A$1:$I$89,5,0)</f>
        <v>0</v>
      </c>
      <c r="AK38" s="13" t="e">
        <f t="shared" si="35"/>
        <v>#NUM!</v>
      </c>
      <c r="AL38" s="20" t="e">
        <f t="shared" si="4"/>
        <v>#NUM!</v>
      </c>
      <c r="AM38" s="59" t="e">
        <f t="shared" si="5"/>
        <v>#NUM!</v>
      </c>
      <c r="AN38" s="59">
        <f ca="1">AVERAGE(OFFSET($AM$3,0,0,'Données projet'!$E$10+1,1))-AVERAGE(OFFSET($H$3,0,0,'Données projet'!$E$10+1,1))</f>
        <v>123.44750406183283</v>
      </c>
      <c r="AO38" s="59">
        <f t="shared" si="36"/>
        <v>346.72009411328929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49.341862911647809</v>
      </c>
      <c r="AV38" s="21">
        <f>EXP(-LN(2)/25)*AV37+(1-EXP(-LN(2)/25))/(LN(2)/25)*Calculateur!AQ38*Calculateur!AS38*VLOOKUP('Données projet'!$B$10,Paramètres!$A$1:$I$89,3,0)*0.475*44/12</f>
        <v>9.351693427918871</v>
      </c>
      <c r="AW38" s="21">
        <f>EXP(-LN(2)/2)*AW37+(1-EXP(-LN(2)/2))/(LN(2)/2)*AQ38*AT38*VLOOKUP('Données projet'!$B$10,Paramètres!$A$1:$I$89,3,0)*0.475*44/12</f>
        <v>0.11182852111266905</v>
      </c>
      <c r="AX38" s="21">
        <f t="shared" si="6"/>
        <v>58.805384860679354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>
        <f>BD38*VLOOKUP('Données projet'!$B$11,Paramètres!$A$1:$I$89,3,0)*VLOOKUP('Données projet'!$B$11,Paramètres!$A$1:$I$89,5,0)</f>
        <v>0</v>
      </c>
      <c r="BF38" s="13" t="e">
        <f t="shared" si="37"/>
        <v>#NUM!</v>
      </c>
      <c r="BG38" s="20" t="e">
        <f t="shared" si="7"/>
        <v>#NUM!</v>
      </c>
      <c r="BH38" s="59" t="e">
        <f t="shared" si="8"/>
        <v>#NUM!</v>
      </c>
      <c r="BI38" s="59">
        <f ca="1">AVERAGE(OFFSET($BH$3,0,0,'Données projet'!$E$11+1,1))-AVERAGE(OFFSET($H$3,0,0,'Données projet'!$E$11+1,1))</f>
        <v>123.44750406183283</v>
      </c>
      <c r="BJ38" s="59">
        <f t="shared" si="38"/>
        <v>346.72009411328929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49.341862911647809</v>
      </c>
      <c r="BQ38" s="21">
        <f>EXP(-LN(2)/25)*BQ37+(1-EXP(-LN(2)/25))/(LN(2)/25)*Calculateur!BL38*Calculateur!BN38*VLOOKUP('Données projet'!$B$11,Paramètres!$A$1:$I$89,3,0)*0.475*44/12</f>
        <v>9.351693427918871</v>
      </c>
      <c r="BR38" s="21">
        <f>EXP(-LN(2)/2)*BR37+(1-EXP(-LN(2)/2))/(LN(2)/2)*BL38*BO38*VLOOKUP('Données projet'!$B$11,Paramètres!$A$1:$I$89,3,0)*0.475*44/12</f>
        <v>0.11182852111266905</v>
      </c>
      <c r="BS38" s="22">
        <f t="shared" si="9"/>
        <v>58.805384860679354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7">
        <f t="shared" si="1"/>
        <v>183.33333333333334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112.82287576550925</v>
      </c>
      <c r="T39" s="59">
        <f t="shared" si="34"/>
        <v>317.78570695363294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43.805615273938663</v>
      </c>
      <c r="AA39" s="21">
        <f>EXP(-LN(2)/25)*AA38+(1-EXP(-LN(2)/25))/(LN(2)/25)*Calculateur!V39*Calculateur!X39*VLOOKUP('Données projet'!$B$9,Paramètres!$A$1:$I$89,3,0)*0.475*44/12</f>
        <v>8.2369069629653566</v>
      </c>
      <c r="AB39" s="21">
        <f>EXP(-LN(2)/2)*AB38+(1-EXP(-LN(2)/2))/(LN(2)/2)*V39*Y39*VLOOKUP('Données projet'!$B$9,Paramètres!$A$1:$I$89,3,0)*0.475*44/12</f>
        <v>7.1606538967997194E-2</v>
      </c>
      <c r="AC39" s="22">
        <f t="shared" si="3"/>
        <v>52.114128775872018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>
        <f>AI39*VLOOKUP('Données projet'!$B$10,Paramètres!$A$1:$I$89,3,0)*VLOOKUP('Données projet'!$B$10,Paramètres!$A$1:$I$89,5,0)</f>
        <v>0</v>
      </c>
      <c r="AK39" s="13" t="e">
        <f t="shared" si="35"/>
        <v>#NUM!</v>
      </c>
      <c r="AL39" s="20" t="e">
        <f t="shared" si="4"/>
        <v>#NUM!</v>
      </c>
      <c r="AM39" s="59" t="e">
        <f t="shared" si="5"/>
        <v>#NUM!</v>
      </c>
      <c r="AN39" s="59">
        <f ca="1">AVERAGE(OFFSET($AM$3,0,0,'Données projet'!$E$10+1,1))-AVERAGE(OFFSET($H$3,0,0,'Données projet'!$E$10+1,1))</f>
        <v>123.44750406183283</v>
      </c>
      <c r="AO39" s="59">
        <f t="shared" si="36"/>
        <v>346.72009411328929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48.374299075515083</v>
      </c>
      <c r="AV39" s="21">
        <f>EXP(-LN(2)/25)*AV38+(1-EXP(-LN(2)/25))/(LN(2)/25)*Calculateur!AQ39*Calculateur!AS39*VLOOKUP('Données projet'!$B$10,Paramètres!$A$1:$I$89,3,0)*0.475*44/12</f>
        <v>9.0959708793482452</v>
      </c>
      <c r="AW39" s="21">
        <f>EXP(-LN(2)/2)*AW38+(1-EXP(-LN(2)/2))/(LN(2)/2)*AQ39*AT39*VLOOKUP('Données projet'!$B$10,Paramètres!$A$1:$I$89,3,0)*0.475*44/12</f>
        <v>7.9074705608831286E-2</v>
      </c>
      <c r="AX39" s="21">
        <f t="shared" si="6"/>
        <v>57.549344660472158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>
        <f>BD39*VLOOKUP('Données projet'!$B$11,Paramètres!$A$1:$I$89,3,0)*VLOOKUP('Données projet'!$B$11,Paramètres!$A$1:$I$89,5,0)</f>
        <v>0</v>
      </c>
      <c r="BF39" s="13" t="e">
        <f t="shared" si="37"/>
        <v>#NUM!</v>
      </c>
      <c r="BG39" s="20" t="e">
        <f t="shared" si="7"/>
        <v>#NUM!</v>
      </c>
      <c r="BH39" s="59" t="e">
        <f t="shared" si="8"/>
        <v>#NUM!</v>
      </c>
      <c r="BI39" s="59">
        <f ca="1">AVERAGE(OFFSET($BH$3,0,0,'Données projet'!$E$11+1,1))-AVERAGE(OFFSET($H$3,0,0,'Données projet'!$E$11+1,1))</f>
        <v>123.44750406183283</v>
      </c>
      <c r="BJ39" s="59">
        <f t="shared" si="38"/>
        <v>346.72009411328929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48.374299075515083</v>
      </c>
      <c r="BQ39" s="21">
        <f>EXP(-LN(2)/25)*BQ38+(1-EXP(-LN(2)/25))/(LN(2)/25)*Calculateur!BL39*Calculateur!BN39*VLOOKUP('Données projet'!$B$11,Paramètres!$A$1:$I$89,3,0)*0.475*44/12</f>
        <v>9.0959708793482452</v>
      </c>
      <c r="BR39" s="21">
        <f>EXP(-LN(2)/2)*BR38+(1-EXP(-LN(2)/2))/(LN(2)/2)*BL39*BO39*VLOOKUP('Données projet'!$B$11,Paramètres!$A$1:$I$89,3,0)*0.475*44/12</f>
        <v>7.9074705608831286E-2</v>
      </c>
      <c r="BS39" s="22">
        <f t="shared" si="9"/>
        <v>57.549344660472158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7">
        <f t="shared" si="1"/>
        <v>183.33333333333334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112.82287576550925</v>
      </c>
      <c r="T40" s="59">
        <f t="shared" si="34"/>
        <v>317.78570695363294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42.946613877203781</v>
      </c>
      <c r="AA40" s="21">
        <f>EXP(-LN(2)/25)*AA39+(1-EXP(-LN(2)/25))/(LN(2)/25)*Calculateur!V40*Calculateur!X40*VLOOKUP('Données projet'!$B$9,Paramètres!$A$1:$I$89,3,0)*0.475*44/12</f>
        <v>8.0116683089029568</v>
      </c>
      <c r="AB40" s="21">
        <f>EXP(-LN(2)/2)*AB39+(1-EXP(-LN(2)/2))/(LN(2)/2)*V40*Y40*VLOOKUP('Données projet'!$B$9,Paramètres!$A$1:$I$89,3,0)*0.475*44/12</f>
        <v>5.0633469281569581E-2</v>
      </c>
      <c r="AC40" s="22">
        <f t="shared" si="3"/>
        <v>51.008915655388307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>
        <f>AI40*VLOOKUP('Données projet'!$B$10,Paramètres!$A$1:$I$89,3,0)*VLOOKUP('Données projet'!$B$10,Paramètres!$A$1:$I$89,5,0)</f>
        <v>0</v>
      </c>
      <c r="AK40" s="13" t="e">
        <f t="shared" si="35"/>
        <v>#NUM!</v>
      </c>
      <c r="AL40" s="20" t="e">
        <f t="shared" si="4"/>
        <v>#NUM!</v>
      </c>
      <c r="AM40" s="59" t="e">
        <f t="shared" si="5"/>
        <v>#NUM!</v>
      </c>
      <c r="AN40" s="59">
        <f ca="1">AVERAGE(OFFSET($AM$3,0,0,'Données projet'!$E$10+1,1))-AVERAGE(OFFSET($H$3,0,0,'Données projet'!$E$10+1,1))</f>
        <v>123.44750406183283</v>
      </c>
      <c r="AO40" s="59">
        <f t="shared" si="36"/>
        <v>346.72009411328929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47.425708576053253</v>
      </c>
      <c r="AV40" s="21">
        <f>EXP(-LN(2)/25)*AV39+(1-EXP(-LN(2)/25))/(LN(2)/25)*Calculateur!AQ40*Calculateur!AS40*VLOOKUP('Données projet'!$B$10,Paramètres!$A$1:$I$89,3,0)*0.475*44/12</f>
        <v>8.8472410773161485</v>
      </c>
      <c r="AW40" s="21">
        <f>EXP(-LN(2)/2)*AW39+(1-EXP(-LN(2)/2))/(LN(2)/2)*AQ40*AT40*VLOOKUP('Données projet'!$B$10,Paramètres!$A$1:$I$89,3,0)*0.475*44/12</f>
        <v>5.5914260556334527E-2</v>
      </c>
      <c r="AX40" s="21">
        <f t="shared" si="6"/>
        <v>56.328863913925737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>
        <f>BD40*VLOOKUP('Données projet'!$B$11,Paramètres!$A$1:$I$89,3,0)*VLOOKUP('Données projet'!$B$11,Paramètres!$A$1:$I$89,5,0)</f>
        <v>0</v>
      </c>
      <c r="BF40" s="13" t="e">
        <f t="shared" si="37"/>
        <v>#NUM!</v>
      </c>
      <c r="BG40" s="20" t="e">
        <f t="shared" si="7"/>
        <v>#NUM!</v>
      </c>
      <c r="BH40" s="59" t="e">
        <f t="shared" si="8"/>
        <v>#NUM!</v>
      </c>
      <c r="BI40" s="59">
        <f ca="1">AVERAGE(OFFSET($BH$3,0,0,'Données projet'!$E$11+1,1))-AVERAGE(OFFSET($H$3,0,0,'Données projet'!$E$11+1,1))</f>
        <v>123.44750406183283</v>
      </c>
      <c r="BJ40" s="59">
        <f t="shared" si="38"/>
        <v>346.72009411328929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47.425708576053253</v>
      </c>
      <c r="BQ40" s="21">
        <f>EXP(-LN(2)/25)*BQ39+(1-EXP(-LN(2)/25))/(LN(2)/25)*Calculateur!BL40*Calculateur!BN40*VLOOKUP('Données projet'!$B$11,Paramètres!$A$1:$I$89,3,0)*0.475*44/12</f>
        <v>8.8472410773161485</v>
      </c>
      <c r="BR40" s="21">
        <f>EXP(-LN(2)/2)*BR39+(1-EXP(-LN(2)/2))/(LN(2)/2)*BL40*BO40*VLOOKUP('Données projet'!$B$11,Paramètres!$A$1:$I$89,3,0)*0.475*44/12</f>
        <v>5.5914260556334527E-2</v>
      </c>
      <c r="BS40" s="22">
        <f t="shared" si="9"/>
        <v>56.328863913925737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7">
        <f t="shared" si="1"/>
        <v>183.33333333333334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112.82287576550925</v>
      </c>
      <c r="T41" s="59">
        <f t="shared" si="34"/>
        <v>317.78570695363294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42.104456973919753</v>
      </c>
      <c r="AA41" s="21">
        <f>EXP(-LN(2)/25)*AA40+(1-EXP(-LN(2)/25))/(LN(2)/25)*Calculateur!V41*Calculateur!X41*VLOOKUP('Données projet'!$B$9,Paramètres!$A$1:$I$89,3,0)*0.475*44/12</f>
        <v>7.7925888176806799</v>
      </c>
      <c r="AB41" s="21">
        <f>EXP(-LN(2)/2)*AB40+(1-EXP(-LN(2)/2))/(LN(2)/2)*V41*Y41*VLOOKUP('Données projet'!$B$9,Paramètres!$A$1:$I$89,3,0)*0.475*44/12</f>
        <v>3.5803269483998597E-2</v>
      </c>
      <c r="AC41" s="22">
        <f t="shared" si="3"/>
        <v>49.932849061084433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>
        <f>AI41*VLOOKUP('Données projet'!$B$10,Paramètres!$A$1:$I$89,3,0)*VLOOKUP('Données projet'!$B$10,Paramètres!$A$1:$I$89,5,0)</f>
        <v>0</v>
      </c>
      <c r="AK41" s="13" t="e">
        <f t="shared" si="35"/>
        <v>#NUM!</v>
      </c>
      <c r="AL41" s="20" t="e">
        <f t="shared" si="4"/>
        <v>#NUM!</v>
      </c>
      <c r="AM41" s="59" t="e">
        <f t="shared" si="5"/>
        <v>#NUM!</v>
      </c>
      <c r="AN41" s="59">
        <f ca="1">AVERAGE(OFFSET($AM$3,0,0,'Données projet'!$E$10+1,1))-AVERAGE(OFFSET($H$3,0,0,'Données projet'!$E$10+1,1))</f>
        <v>123.44750406183283</v>
      </c>
      <c r="AO41" s="59">
        <f t="shared" si="36"/>
        <v>346.72009411328929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46.495719357702797</v>
      </c>
      <c r="AV41" s="21">
        <f>EXP(-LN(2)/25)*AV40+(1-EXP(-LN(2)/25))/(LN(2)/25)*Calculateur!AQ41*Calculateur!AS41*VLOOKUP('Données projet'!$B$10,Paramètres!$A$1:$I$89,3,0)*0.475*44/12</f>
        <v>8.6053128048007501</v>
      </c>
      <c r="AW41" s="21">
        <f>EXP(-LN(2)/2)*AW40+(1-EXP(-LN(2)/2))/(LN(2)/2)*AQ41*AT41*VLOOKUP('Données projet'!$B$10,Paramètres!$A$1:$I$89,3,0)*0.475*44/12</f>
        <v>3.9537352804415643E-2</v>
      </c>
      <c r="AX41" s="21">
        <f t="shared" si="6"/>
        <v>55.140569515307959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>
        <f>BD41*VLOOKUP('Données projet'!$B$11,Paramètres!$A$1:$I$89,3,0)*VLOOKUP('Données projet'!$B$11,Paramètres!$A$1:$I$89,5,0)</f>
        <v>0</v>
      </c>
      <c r="BF41" s="13" t="e">
        <f t="shared" si="37"/>
        <v>#NUM!</v>
      </c>
      <c r="BG41" s="20" t="e">
        <f t="shared" si="7"/>
        <v>#NUM!</v>
      </c>
      <c r="BH41" s="59" t="e">
        <f t="shared" si="8"/>
        <v>#NUM!</v>
      </c>
      <c r="BI41" s="59">
        <f ca="1">AVERAGE(OFFSET($BH$3,0,0,'Données projet'!$E$11+1,1))-AVERAGE(OFFSET($H$3,0,0,'Données projet'!$E$11+1,1))</f>
        <v>123.44750406183283</v>
      </c>
      <c r="BJ41" s="59">
        <f t="shared" si="38"/>
        <v>346.72009411328929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46.495719357702797</v>
      </c>
      <c r="BQ41" s="21">
        <f>EXP(-LN(2)/25)*BQ40+(1-EXP(-LN(2)/25))/(LN(2)/25)*Calculateur!BL41*Calculateur!BN41*VLOOKUP('Données projet'!$B$11,Paramètres!$A$1:$I$89,3,0)*0.475*44/12</f>
        <v>8.6053128048007501</v>
      </c>
      <c r="BR41" s="21">
        <f>EXP(-LN(2)/2)*BR40+(1-EXP(-LN(2)/2))/(LN(2)/2)*BL41*BO41*VLOOKUP('Données projet'!$B$11,Paramètres!$A$1:$I$89,3,0)*0.475*44/12</f>
        <v>3.9537352804415643E-2</v>
      </c>
      <c r="BS41" s="22">
        <f t="shared" si="9"/>
        <v>55.140569515307959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7">
        <f t="shared" si="1"/>
        <v>183.33333333333334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112.82287576550925</v>
      </c>
      <c r="T42" s="59">
        <f t="shared" si="34"/>
        <v>317.78570695363294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41.278814253844132</v>
      </c>
      <c r="AA42" s="21">
        <f>EXP(-LN(2)/25)*AA41+(1-EXP(-LN(2)/25))/(LN(2)/25)*Calculateur!V42*Calculateur!X42*VLOOKUP('Données projet'!$B$9,Paramètres!$A$1:$I$89,3,0)*0.475*44/12</f>
        <v>7.5795000666667658</v>
      </c>
      <c r="AB42" s="21">
        <f>EXP(-LN(2)/2)*AB41+(1-EXP(-LN(2)/2))/(LN(2)/2)*V42*Y42*VLOOKUP('Données projet'!$B$9,Paramètres!$A$1:$I$89,3,0)*0.475*44/12</f>
        <v>2.531673464078479E-2</v>
      </c>
      <c r="AC42" s="22">
        <f t="shared" si="3"/>
        <v>48.883631055151682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>
        <f>AI42*VLOOKUP('Données projet'!$B$10,Paramètres!$A$1:$I$89,3,0)*VLOOKUP('Données projet'!$B$10,Paramètres!$A$1:$I$89,5,0)</f>
        <v>0</v>
      </c>
      <c r="AK42" s="13" t="e">
        <f t="shared" si="35"/>
        <v>#NUM!</v>
      </c>
      <c r="AL42" s="20" t="e">
        <f t="shared" si="4"/>
        <v>#NUM!</v>
      </c>
      <c r="AM42" s="59" t="e">
        <f t="shared" si="5"/>
        <v>#NUM!</v>
      </c>
      <c r="AN42" s="59">
        <f ca="1">AVERAGE(OFFSET($AM$3,0,0,'Données projet'!$E$10+1,1))-AVERAGE(OFFSET($H$3,0,0,'Données projet'!$E$10+1,1))</f>
        <v>123.44750406183283</v>
      </c>
      <c r="AO42" s="59">
        <f t="shared" si="36"/>
        <v>346.72009411328929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45.583966660686777</v>
      </c>
      <c r="AV42" s="21">
        <f>EXP(-LN(2)/25)*AV41+(1-EXP(-LN(2)/25))/(LN(2)/25)*Calculateur!AQ42*Calculateur!AS42*VLOOKUP('Données projet'!$B$10,Paramètres!$A$1:$I$89,3,0)*0.475*44/12</f>
        <v>8.3700000736197406</v>
      </c>
      <c r="AW42" s="21">
        <f>EXP(-LN(2)/2)*AW41+(1-EXP(-LN(2)/2))/(LN(2)/2)*AQ42*AT42*VLOOKUP('Données projet'!$B$10,Paramètres!$A$1:$I$89,3,0)*0.475*44/12</f>
        <v>2.7957130278167264E-2</v>
      </c>
      <c r="AX42" s="21">
        <f t="shared" si="6"/>
        <v>53.981923864584687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>
        <f>BD42*VLOOKUP('Données projet'!$B$11,Paramètres!$A$1:$I$89,3,0)*VLOOKUP('Données projet'!$B$11,Paramètres!$A$1:$I$89,5,0)</f>
        <v>0</v>
      </c>
      <c r="BF42" s="13" t="e">
        <f t="shared" si="37"/>
        <v>#NUM!</v>
      </c>
      <c r="BG42" s="20" t="e">
        <f t="shared" si="7"/>
        <v>#NUM!</v>
      </c>
      <c r="BH42" s="59" t="e">
        <f t="shared" si="8"/>
        <v>#NUM!</v>
      </c>
      <c r="BI42" s="59">
        <f ca="1">AVERAGE(OFFSET($BH$3,0,0,'Données projet'!$E$11+1,1))-AVERAGE(OFFSET($H$3,0,0,'Données projet'!$E$11+1,1))</f>
        <v>123.44750406183283</v>
      </c>
      <c r="BJ42" s="59">
        <f t="shared" si="38"/>
        <v>346.72009411328929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45.583966660686777</v>
      </c>
      <c r="BQ42" s="21">
        <f>EXP(-LN(2)/25)*BQ41+(1-EXP(-LN(2)/25))/(LN(2)/25)*Calculateur!BL42*Calculateur!BN42*VLOOKUP('Données projet'!$B$11,Paramètres!$A$1:$I$89,3,0)*0.475*44/12</f>
        <v>8.3700000736197406</v>
      </c>
      <c r="BR42" s="21">
        <f>EXP(-LN(2)/2)*BR41+(1-EXP(-LN(2)/2))/(LN(2)/2)*BL42*BO42*VLOOKUP('Données projet'!$B$11,Paramètres!$A$1:$I$89,3,0)*0.475*44/12</f>
        <v>2.7957130278167264E-2</v>
      </c>
      <c r="BS42" s="22">
        <f t="shared" si="9"/>
        <v>53.981923864584687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7">
        <f t="shared" si="1"/>
        <v>183.33333333333334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112.82287576550925</v>
      </c>
      <c r="T43" s="59">
        <f t="shared" si="34"/>
        <v>317.78570695363294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40.469361883916861</v>
      </c>
      <c r="AA43" s="21">
        <f>EXP(-LN(2)/25)*AA42+(1-EXP(-LN(2)/25))/(LN(2)/25)*Calculateur!V43*Calculateur!X43*VLOOKUP('Données projet'!$B$9,Paramètres!$A$1:$I$89,3,0)*0.475*44/12</f>
        <v>7.3722382387551777</v>
      </c>
      <c r="AB43" s="21">
        <f>EXP(-LN(2)/2)*AB42+(1-EXP(-LN(2)/2))/(LN(2)/2)*V43*Y43*VLOOKUP('Données projet'!$B$9,Paramètres!$A$1:$I$89,3,0)*0.475*44/12</f>
        <v>1.7901634741999298E-2</v>
      </c>
      <c r="AC43" s="22">
        <f t="shared" si="3"/>
        <v>47.859501757414037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>
        <f>AI43*VLOOKUP('Données projet'!$B$10,Paramètres!$A$1:$I$89,3,0)*VLOOKUP('Données projet'!$B$10,Paramètres!$A$1:$I$89,5,0)</f>
        <v>0</v>
      </c>
      <c r="AK43" s="13" t="e">
        <f t="shared" si="35"/>
        <v>#NUM!</v>
      </c>
      <c r="AL43" s="20" t="e">
        <f t="shared" si="4"/>
        <v>#NUM!</v>
      </c>
      <c r="AM43" s="59" t="e">
        <f t="shared" si="5"/>
        <v>#NUM!</v>
      </c>
      <c r="AN43" s="59">
        <f ca="1">AVERAGE(OFFSET($AM$3,0,0,'Données projet'!$E$10+1,1))-AVERAGE(OFFSET($H$3,0,0,'Données projet'!$E$10+1,1))</f>
        <v>123.44750406183283</v>
      </c>
      <c r="AO43" s="59">
        <f t="shared" si="36"/>
        <v>346.72009411328929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44.690092877945006</v>
      </c>
      <c r="AV43" s="21">
        <f>EXP(-LN(2)/25)*AV42+(1-EXP(-LN(2)/25))/(LN(2)/25)*Calculateur!AQ43*Calculateur!AS43*VLOOKUP('Données projet'!$B$10,Paramètres!$A$1:$I$89,3,0)*0.475*44/12</f>
        <v>8.1411219814474354</v>
      </c>
      <c r="AW43" s="21">
        <f>EXP(-LN(2)/2)*AW42+(1-EXP(-LN(2)/2))/(LN(2)/2)*AQ43*AT43*VLOOKUP('Données projet'!$B$10,Paramètres!$A$1:$I$89,3,0)*0.475*44/12</f>
        <v>1.9768676402207822E-2</v>
      </c>
      <c r="AX43" s="21">
        <f t="shared" si="6"/>
        <v>52.850983535794647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>
        <f>BD43*VLOOKUP('Données projet'!$B$11,Paramètres!$A$1:$I$89,3,0)*VLOOKUP('Données projet'!$B$11,Paramètres!$A$1:$I$89,5,0)</f>
        <v>0</v>
      </c>
      <c r="BF43" s="13" t="e">
        <f t="shared" si="37"/>
        <v>#NUM!</v>
      </c>
      <c r="BG43" s="20" t="e">
        <f t="shared" si="7"/>
        <v>#NUM!</v>
      </c>
      <c r="BH43" s="59" t="e">
        <f t="shared" si="8"/>
        <v>#NUM!</v>
      </c>
      <c r="BI43" s="59">
        <f ca="1">AVERAGE(OFFSET($BH$3,0,0,'Données projet'!$E$11+1,1))-AVERAGE(OFFSET($H$3,0,0,'Données projet'!$E$11+1,1))</f>
        <v>123.44750406183283</v>
      </c>
      <c r="BJ43" s="59">
        <f t="shared" si="38"/>
        <v>346.72009411328929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44.690092877945006</v>
      </c>
      <c r="BQ43" s="21">
        <f>EXP(-LN(2)/25)*BQ42+(1-EXP(-LN(2)/25))/(LN(2)/25)*Calculateur!BL43*Calculateur!BN43*VLOOKUP('Données projet'!$B$11,Paramètres!$A$1:$I$89,3,0)*0.475*44/12</f>
        <v>8.1411219814474354</v>
      </c>
      <c r="BR43" s="21">
        <f>EXP(-LN(2)/2)*BR42+(1-EXP(-LN(2)/2))/(LN(2)/2)*BL43*BO43*VLOOKUP('Données projet'!$B$11,Paramètres!$A$1:$I$89,3,0)*0.475*44/12</f>
        <v>1.9768676402207822E-2</v>
      </c>
      <c r="BS43" s="22">
        <f t="shared" si="9"/>
        <v>52.850983535794647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7">
        <f t="shared" si="1"/>
        <v>183.33333333333334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112.82287576550925</v>
      </c>
      <c r="T44" s="59">
        <f t="shared" si="34"/>
        <v>317.78570695363294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39.67578238124667</v>
      </c>
      <c r="AA44" s="21">
        <f>EXP(-LN(2)/25)*AA43+(1-EXP(-LN(2)/25))/(LN(2)/25)*Calculateur!V44*Calculateur!X44*VLOOKUP('Données projet'!$B$9,Paramètres!$A$1:$I$89,3,0)*0.475*44/12</f>
        <v>7.1706439964272581</v>
      </c>
      <c r="AB44" s="21">
        <f>EXP(-LN(2)/2)*AB43+(1-EXP(-LN(2)/2))/(LN(2)/2)*V44*Y44*VLOOKUP('Données projet'!$B$9,Paramètres!$A$1:$I$89,3,0)*0.475*44/12</f>
        <v>1.2658367320392395E-2</v>
      </c>
      <c r="AC44" s="22">
        <f t="shared" si="3"/>
        <v>46.85908474499432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>
        <f>AI44*VLOOKUP('Données projet'!$B$10,Paramètres!$A$1:$I$89,3,0)*VLOOKUP('Données projet'!$B$10,Paramètres!$A$1:$I$89,5,0)</f>
        <v>0</v>
      </c>
      <c r="AK44" s="13" t="e">
        <f t="shared" si="35"/>
        <v>#NUM!</v>
      </c>
      <c r="AL44" s="20" t="e">
        <f t="shared" si="4"/>
        <v>#NUM!</v>
      </c>
      <c r="AM44" s="59" t="e">
        <f t="shared" si="5"/>
        <v>#NUM!</v>
      </c>
      <c r="AN44" s="59">
        <f ca="1">AVERAGE(OFFSET($AM$3,0,0,'Données projet'!$E$10+1,1))-AVERAGE(OFFSET($H$3,0,0,'Données projet'!$E$10+1,1))</f>
        <v>123.44750406183283</v>
      </c>
      <c r="AO44" s="59">
        <f t="shared" si="36"/>
        <v>346.72009411328929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43.813747414873632</v>
      </c>
      <c r="AV44" s="21">
        <f>EXP(-LN(2)/25)*AV43+(1-EXP(-LN(2)/25))/(LN(2)/25)*Calculateur!AQ44*Calculateur!AS44*VLOOKUP('Données projet'!$B$10,Paramètres!$A$1:$I$89,3,0)*0.475*44/12</f>
        <v>7.9185025727417573</v>
      </c>
      <c r="AW44" s="21">
        <f>EXP(-LN(2)/2)*AW43+(1-EXP(-LN(2)/2))/(LN(2)/2)*AQ44*AT44*VLOOKUP('Données projet'!$B$10,Paramètres!$A$1:$I$89,3,0)*0.475*44/12</f>
        <v>1.3978565139083632E-2</v>
      </c>
      <c r="AX44" s="21">
        <f t="shared" si="6"/>
        <v>51.746228552754474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>
        <f>BD44*VLOOKUP('Données projet'!$B$11,Paramètres!$A$1:$I$89,3,0)*VLOOKUP('Données projet'!$B$11,Paramètres!$A$1:$I$89,5,0)</f>
        <v>0</v>
      </c>
      <c r="BF44" s="13" t="e">
        <f t="shared" si="37"/>
        <v>#NUM!</v>
      </c>
      <c r="BG44" s="20" t="e">
        <f t="shared" si="7"/>
        <v>#NUM!</v>
      </c>
      <c r="BH44" s="59" t="e">
        <f t="shared" si="8"/>
        <v>#NUM!</v>
      </c>
      <c r="BI44" s="59">
        <f ca="1">AVERAGE(OFFSET($BH$3,0,0,'Données projet'!$E$11+1,1))-AVERAGE(OFFSET($H$3,0,0,'Données projet'!$E$11+1,1))</f>
        <v>123.44750406183283</v>
      </c>
      <c r="BJ44" s="59">
        <f t="shared" si="38"/>
        <v>346.72009411328929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43.813747414873632</v>
      </c>
      <c r="BQ44" s="21">
        <f>EXP(-LN(2)/25)*BQ43+(1-EXP(-LN(2)/25))/(LN(2)/25)*Calculateur!BL44*Calculateur!BN44*VLOOKUP('Données projet'!$B$11,Paramètres!$A$1:$I$89,3,0)*0.475*44/12</f>
        <v>7.9185025727417573</v>
      </c>
      <c r="BR44" s="21">
        <f>EXP(-LN(2)/2)*BR43+(1-EXP(-LN(2)/2))/(LN(2)/2)*BL44*BO44*VLOOKUP('Données projet'!$B$11,Paramètres!$A$1:$I$89,3,0)*0.475*44/12</f>
        <v>1.3978565139083632E-2</v>
      </c>
      <c r="BS44" s="22">
        <f t="shared" si="9"/>
        <v>51.746228552754474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7">
        <f t="shared" si="1"/>
        <v>183.33333333333334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112.82287576550925</v>
      </c>
      <c r="T45" s="59">
        <f t="shared" si="34"/>
        <v>317.78570695363294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38.897764488588138</v>
      </c>
      <c r="AA45" s="21">
        <f>EXP(-LN(2)/25)*AA44+(1-EXP(-LN(2)/25))/(LN(2)/25)*Calculateur!V45*Calculateur!X45*VLOOKUP('Données projet'!$B$9,Paramètres!$A$1:$I$89,3,0)*0.475*44/12</f>
        <v>6.9745623592571757</v>
      </c>
      <c r="AB45" s="21">
        <f>EXP(-LN(2)/2)*AB44+(1-EXP(-LN(2)/2))/(LN(2)/2)*V45*Y45*VLOOKUP('Données projet'!$B$9,Paramètres!$A$1:$I$89,3,0)*0.475*44/12</f>
        <v>8.9508173709996492E-3</v>
      </c>
      <c r="AC45" s="22">
        <f t="shared" si="3"/>
        <v>45.881277665216317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>
        <f>AI45*VLOOKUP('Données projet'!$B$10,Paramètres!$A$1:$I$89,3,0)*VLOOKUP('Données projet'!$B$10,Paramètres!$A$1:$I$89,5,0)</f>
        <v>0</v>
      </c>
      <c r="AK45" s="13" t="e">
        <f t="shared" si="35"/>
        <v>#NUM!</v>
      </c>
      <c r="AL45" s="20" t="e">
        <f t="shared" si="4"/>
        <v>#NUM!</v>
      </c>
      <c r="AM45" s="59" t="e">
        <f t="shared" si="5"/>
        <v>#NUM!</v>
      </c>
      <c r="AN45" s="59">
        <f ca="1">AVERAGE(OFFSET($AM$3,0,0,'Données projet'!$E$10+1,1))-AVERAGE(OFFSET($H$3,0,0,'Données projet'!$E$10+1,1))</f>
        <v>123.44750406183283</v>
      </c>
      <c r="AO45" s="59">
        <f t="shared" si="36"/>
        <v>346.72009411328929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42.954586551815133</v>
      </c>
      <c r="AV45" s="21">
        <f>EXP(-LN(2)/25)*AV44+(1-EXP(-LN(2)/25))/(LN(2)/25)*Calculateur!AQ45*Calculateur!AS45*VLOOKUP('Données projet'!$B$10,Paramètres!$A$1:$I$89,3,0)*0.475*44/12</f>
        <v>7.7019707034741813</v>
      </c>
      <c r="AW45" s="21">
        <f>EXP(-LN(2)/2)*AW44+(1-EXP(-LN(2)/2))/(LN(2)/2)*AQ45*AT45*VLOOKUP('Données projet'!$B$10,Paramètres!$A$1:$I$89,3,0)*0.475*44/12</f>
        <v>9.8843382011039108E-3</v>
      </c>
      <c r="AX45" s="21">
        <f t="shared" si="6"/>
        <v>50.666441593490418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>
        <f>BD45*VLOOKUP('Données projet'!$B$11,Paramètres!$A$1:$I$89,3,0)*VLOOKUP('Données projet'!$B$11,Paramètres!$A$1:$I$89,5,0)</f>
        <v>0</v>
      </c>
      <c r="BF45" s="13" t="e">
        <f t="shared" si="37"/>
        <v>#NUM!</v>
      </c>
      <c r="BG45" s="20" t="e">
        <f t="shared" si="7"/>
        <v>#NUM!</v>
      </c>
      <c r="BH45" s="59" t="e">
        <f t="shared" si="8"/>
        <v>#NUM!</v>
      </c>
      <c r="BI45" s="59">
        <f ca="1">AVERAGE(OFFSET($BH$3,0,0,'Données projet'!$E$11+1,1))-AVERAGE(OFFSET($H$3,0,0,'Données projet'!$E$11+1,1))</f>
        <v>123.44750406183283</v>
      </c>
      <c r="BJ45" s="59">
        <f t="shared" si="38"/>
        <v>346.72009411328929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42.954586551815133</v>
      </c>
      <c r="BQ45" s="21">
        <f>EXP(-LN(2)/25)*BQ44+(1-EXP(-LN(2)/25))/(LN(2)/25)*Calculateur!BL45*Calculateur!BN45*VLOOKUP('Données projet'!$B$11,Paramètres!$A$1:$I$89,3,0)*0.475*44/12</f>
        <v>7.7019707034741813</v>
      </c>
      <c r="BR45" s="21">
        <f>EXP(-LN(2)/2)*BR44+(1-EXP(-LN(2)/2))/(LN(2)/2)*BL45*BO45*VLOOKUP('Données projet'!$B$11,Paramètres!$A$1:$I$89,3,0)*0.475*44/12</f>
        <v>9.8843382011039108E-3</v>
      </c>
      <c r="BS45" s="22">
        <f t="shared" si="9"/>
        <v>50.666441593490418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7">
        <f t="shared" si="1"/>
        <v>183.33333333333334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112.82287576550925</v>
      </c>
      <c r="T46" s="59">
        <f t="shared" si="34"/>
        <v>317.78570695363294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38.135003052260586</v>
      </c>
      <c r="AA46" s="21">
        <f>EXP(-LN(2)/25)*AA45+(1-EXP(-LN(2)/25))/(LN(2)/25)*Calculateur!V46*Calculateur!X46*VLOOKUP('Données projet'!$B$9,Paramètres!$A$1:$I$89,3,0)*0.475*44/12</f>
        <v>6.7838425847669948</v>
      </c>
      <c r="AB46" s="21">
        <f>EXP(-LN(2)/2)*AB45+(1-EXP(-LN(2)/2))/(LN(2)/2)*V46*Y46*VLOOKUP('Données projet'!$B$9,Paramètres!$A$1:$I$89,3,0)*0.475*44/12</f>
        <v>6.3291836601961976E-3</v>
      </c>
      <c r="AC46" s="22">
        <f t="shared" si="3"/>
        <v>44.925174820687779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>
        <f>AI46*VLOOKUP('Données projet'!$B$10,Paramètres!$A$1:$I$89,3,0)*VLOOKUP('Données projet'!$B$10,Paramètres!$A$1:$I$89,5,0)</f>
        <v>0</v>
      </c>
      <c r="AK46" s="13" t="e">
        <f t="shared" si="35"/>
        <v>#NUM!</v>
      </c>
      <c r="AL46" s="20" t="e">
        <f t="shared" si="4"/>
        <v>#NUM!</v>
      </c>
      <c r="AM46" s="59" t="e">
        <f t="shared" si="5"/>
        <v>#NUM!</v>
      </c>
      <c r="AN46" s="59">
        <f ca="1">AVERAGE(OFFSET($AM$3,0,0,'Données projet'!$E$10+1,1))-AVERAGE(OFFSET($H$3,0,0,'Données projet'!$E$10+1,1))</f>
        <v>123.44750406183283</v>
      </c>
      <c r="AO46" s="59">
        <f t="shared" si="36"/>
        <v>346.72009411328929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42.112273309244827</v>
      </c>
      <c r="AV46" s="21">
        <f>EXP(-LN(2)/25)*AV45+(1-EXP(-LN(2)/25))/(LN(2)/25)*Calculateur!AQ46*Calculateur!AS46*VLOOKUP('Données projet'!$B$10,Paramètres!$A$1:$I$89,3,0)*0.475*44/12</f>
        <v>7.4913599095586436</v>
      </c>
      <c r="AW46" s="21">
        <f>EXP(-LN(2)/2)*AW45+(1-EXP(-LN(2)/2))/(LN(2)/2)*AQ46*AT46*VLOOKUP('Données projet'!$B$10,Paramètres!$A$1:$I$89,3,0)*0.475*44/12</f>
        <v>6.9892825695418159E-3</v>
      </c>
      <c r="AX46" s="21">
        <f t="shared" si="6"/>
        <v>49.610622501373015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>
        <f>BD46*VLOOKUP('Données projet'!$B$11,Paramètres!$A$1:$I$89,3,0)*VLOOKUP('Données projet'!$B$11,Paramètres!$A$1:$I$89,5,0)</f>
        <v>0</v>
      </c>
      <c r="BF46" s="13" t="e">
        <f t="shared" si="37"/>
        <v>#NUM!</v>
      </c>
      <c r="BG46" s="20" t="e">
        <f t="shared" si="7"/>
        <v>#NUM!</v>
      </c>
      <c r="BH46" s="59" t="e">
        <f t="shared" si="8"/>
        <v>#NUM!</v>
      </c>
      <c r="BI46" s="59">
        <f ca="1">AVERAGE(OFFSET($BH$3,0,0,'Données projet'!$E$11+1,1))-AVERAGE(OFFSET($H$3,0,0,'Données projet'!$E$11+1,1))</f>
        <v>123.44750406183283</v>
      </c>
      <c r="BJ46" s="59">
        <f t="shared" si="38"/>
        <v>346.72009411328929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42.112273309244827</v>
      </c>
      <c r="BQ46" s="21">
        <f>EXP(-LN(2)/25)*BQ45+(1-EXP(-LN(2)/25))/(LN(2)/25)*Calculateur!BL46*Calculateur!BN46*VLOOKUP('Données projet'!$B$11,Paramètres!$A$1:$I$89,3,0)*0.475*44/12</f>
        <v>7.4913599095586436</v>
      </c>
      <c r="BR46" s="21">
        <f>EXP(-LN(2)/2)*BR45+(1-EXP(-LN(2)/2))/(LN(2)/2)*BL46*BO46*VLOOKUP('Données projet'!$B$11,Paramètres!$A$1:$I$89,3,0)*0.475*44/12</f>
        <v>6.9892825695418159E-3</v>
      </c>
      <c r="BS46" s="22">
        <f t="shared" si="9"/>
        <v>49.610622501373015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7">
        <f t="shared" si="1"/>
        <v>183.33333333333334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112.82287576550925</v>
      </c>
      <c r="T47" s="59">
        <f t="shared" si="34"/>
        <v>317.78570695363294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37.387198902460881</v>
      </c>
      <c r="AA47" s="21">
        <f>EXP(-LN(2)/25)*AA46+(1-EXP(-LN(2)/25))/(LN(2)/25)*Calculateur!V47*Calculateur!X47*VLOOKUP('Données projet'!$B$9,Paramètres!$A$1:$I$89,3,0)*0.475*44/12</f>
        <v>6.5983380525397646</v>
      </c>
      <c r="AB47" s="21">
        <f>EXP(-LN(2)/2)*AB46+(1-EXP(-LN(2)/2))/(LN(2)/2)*V47*Y47*VLOOKUP('Données projet'!$B$9,Paramètres!$A$1:$I$89,3,0)*0.475*44/12</f>
        <v>4.4754086854998246E-3</v>
      </c>
      <c r="AC47" s="22">
        <f t="shared" si="3"/>
        <v>43.990012363686148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>
        <f>AI47*VLOOKUP('Données projet'!$B$10,Paramètres!$A$1:$I$89,3,0)*VLOOKUP('Données projet'!$B$10,Paramètres!$A$1:$I$89,5,0)</f>
        <v>0</v>
      </c>
      <c r="AK47" s="13" t="e">
        <f t="shared" si="35"/>
        <v>#NUM!</v>
      </c>
      <c r="AL47" s="20" t="e">
        <f t="shared" si="4"/>
        <v>#NUM!</v>
      </c>
      <c r="AM47" s="59" t="e">
        <f t="shared" si="5"/>
        <v>#NUM!</v>
      </c>
      <c r="AN47" s="59">
        <f ca="1">AVERAGE(OFFSET($AM$3,0,0,'Données projet'!$E$10+1,1))-AVERAGE(OFFSET($H$3,0,0,'Données projet'!$E$10+1,1))</f>
        <v>123.44750406183283</v>
      </c>
      <c r="AO47" s="59">
        <f t="shared" si="36"/>
        <v>346.72009411328929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41.286477315600976</v>
      </c>
      <c r="AV47" s="21">
        <f>EXP(-LN(2)/25)*AV46+(1-EXP(-LN(2)/25))/(LN(2)/25)*Calculateur!AQ47*Calculateur!AS47*VLOOKUP('Données projet'!$B$10,Paramètres!$A$1:$I$89,3,0)*0.475*44/12</f>
        <v>7.2865082788782667</v>
      </c>
      <c r="AW47" s="21">
        <f>EXP(-LN(2)/2)*AW46+(1-EXP(-LN(2)/2))/(LN(2)/2)*AQ47*AT47*VLOOKUP('Données projet'!$B$10,Paramètres!$A$1:$I$89,3,0)*0.475*44/12</f>
        <v>4.9421691005519554E-3</v>
      </c>
      <c r="AX47" s="21">
        <f t="shared" si="6"/>
        <v>48.577927763579794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>
        <f>BD47*VLOOKUP('Données projet'!$B$11,Paramètres!$A$1:$I$89,3,0)*VLOOKUP('Données projet'!$B$11,Paramètres!$A$1:$I$89,5,0)</f>
        <v>0</v>
      </c>
      <c r="BF47" s="13" t="e">
        <f t="shared" si="37"/>
        <v>#NUM!</v>
      </c>
      <c r="BG47" s="20" t="e">
        <f t="shared" si="7"/>
        <v>#NUM!</v>
      </c>
      <c r="BH47" s="59" t="e">
        <f t="shared" si="8"/>
        <v>#NUM!</v>
      </c>
      <c r="BI47" s="59">
        <f ca="1">AVERAGE(OFFSET($BH$3,0,0,'Données projet'!$E$11+1,1))-AVERAGE(OFFSET($H$3,0,0,'Données projet'!$E$11+1,1))</f>
        <v>123.44750406183283</v>
      </c>
      <c r="BJ47" s="59">
        <f t="shared" si="38"/>
        <v>346.72009411328929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41.286477315600976</v>
      </c>
      <c r="BQ47" s="21">
        <f>EXP(-LN(2)/25)*BQ46+(1-EXP(-LN(2)/25))/(LN(2)/25)*Calculateur!BL47*Calculateur!BN47*VLOOKUP('Données projet'!$B$11,Paramètres!$A$1:$I$89,3,0)*0.475*44/12</f>
        <v>7.2865082788782667</v>
      </c>
      <c r="BR47" s="21">
        <f>EXP(-LN(2)/2)*BR46+(1-EXP(-LN(2)/2))/(LN(2)/2)*BL47*BO47*VLOOKUP('Données projet'!$B$11,Paramètres!$A$1:$I$89,3,0)*0.475*44/12</f>
        <v>4.9421691005519554E-3</v>
      </c>
      <c r="BS47" s="22">
        <f t="shared" si="9"/>
        <v>48.577927763579794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7">
        <f t="shared" si="1"/>
        <v>183.33333333333334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112.82287576550925</v>
      </c>
      <c r="T48" s="59">
        <f t="shared" si="34"/>
        <v>317.78570695363294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36.65405873592325</v>
      </c>
      <c r="AA48" s="21">
        <f>EXP(-LN(2)/25)*AA47+(1-EXP(-LN(2)/25))/(LN(2)/25)*Calculateur!V48*Calculateur!X48*VLOOKUP('Données projet'!$B$9,Paramètres!$A$1:$I$89,3,0)*0.475*44/12</f>
        <v>6.4179061515015476</v>
      </c>
      <c r="AB48" s="21">
        <f>EXP(-LN(2)/2)*AB47+(1-EXP(-LN(2)/2))/(LN(2)/2)*V48*Y48*VLOOKUP('Données projet'!$B$9,Paramètres!$A$1:$I$89,3,0)*0.475*44/12</f>
        <v>3.1645918300980988E-3</v>
      </c>
      <c r="AC48" s="22">
        <f t="shared" si="3"/>
        <v>43.075129479254898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>
        <f>AI48*VLOOKUP('Données projet'!$B$10,Paramètres!$A$1:$I$89,3,0)*VLOOKUP('Données projet'!$B$10,Paramètres!$A$1:$I$89,5,0)</f>
        <v>0</v>
      </c>
      <c r="AK48" s="13" t="e">
        <f t="shared" si="35"/>
        <v>#NUM!</v>
      </c>
      <c r="AL48" s="20" t="e">
        <f t="shared" si="4"/>
        <v>#NUM!</v>
      </c>
      <c r="AM48" s="59" t="e">
        <f t="shared" si="5"/>
        <v>#NUM!</v>
      </c>
      <c r="AN48" s="59">
        <f ca="1">AVERAGE(OFFSET($AM$3,0,0,'Données projet'!$E$10+1,1))-AVERAGE(OFFSET($H$3,0,0,'Données projet'!$E$10+1,1))</f>
        <v>123.44750406183283</v>
      </c>
      <c r="AO48" s="59">
        <f t="shared" si="36"/>
        <v>346.72009411328929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40.476874677706661</v>
      </c>
      <c r="AV48" s="21">
        <f>EXP(-LN(2)/25)*AV47+(1-EXP(-LN(2)/25))/(LN(2)/25)*Calculateur!AQ48*Calculateur!AS48*VLOOKUP('Données projet'!$B$10,Paramètres!$A$1:$I$89,3,0)*0.475*44/12</f>
        <v>7.0872583268115239</v>
      </c>
      <c r="AW48" s="21">
        <f>EXP(-LN(2)/2)*AW47+(1-EXP(-LN(2)/2))/(LN(2)/2)*AQ48*AT48*VLOOKUP('Données projet'!$B$10,Paramètres!$A$1:$I$89,3,0)*0.475*44/12</f>
        <v>3.494641284770908E-3</v>
      </c>
      <c r="AX48" s="21">
        <f t="shared" si="6"/>
        <v>47.567627645802951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>
        <f>BD48*VLOOKUP('Données projet'!$B$11,Paramètres!$A$1:$I$89,3,0)*VLOOKUP('Données projet'!$B$11,Paramètres!$A$1:$I$89,5,0)</f>
        <v>0</v>
      </c>
      <c r="BF48" s="13" t="e">
        <f t="shared" si="37"/>
        <v>#NUM!</v>
      </c>
      <c r="BG48" s="20" t="e">
        <f t="shared" si="7"/>
        <v>#NUM!</v>
      </c>
      <c r="BH48" s="59" t="e">
        <f t="shared" si="8"/>
        <v>#NUM!</v>
      </c>
      <c r="BI48" s="59">
        <f ca="1">AVERAGE(OFFSET($BH$3,0,0,'Données projet'!$E$11+1,1))-AVERAGE(OFFSET($H$3,0,0,'Données projet'!$E$11+1,1))</f>
        <v>123.44750406183283</v>
      </c>
      <c r="BJ48" s="59">
        <f t="shared" si="38"/>
        <v>346.72009411328929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40.476874677706661</v>
      </c>
      <c r="BQ48" s="21">
        <f>EXP(-LN(2)/25)*BQ47+(1-EXP(-LN(2)/25))/(LN(2)/25)*Calculateur!BL48*Calculateur!BN48*VLOOKUP('Données projet'!$B$11,Paramètres!$A$1:$I$89,3,0)*0.475*44/12</f>
        <v>7.0872583268115239</v>
      </c>
      <c r="BR48" s="21">
        <f>EXP(-LN(2)/2)*BR47+(1-EXP(-LN(2)/2))/(LN(2)/2)*BL48*BO48*VLOOKUP('Données projet'!$B$11,Paramètres!$A$1:$I$89,3,0)*0.475*44/12</f>
        <v>3.494641284770908E-3</v>
      </c>
      <c r="BS48" s="22">
        <f t="shared" si="9"/>
        <v>47.567627645802951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7">
        <f t="shared" si="1"/>
        <v>183.33333333333334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112.82287576550925</v>
      </c>
      <c r="T49" s="59">
        <f t="shared" si="34"/>
        <v>317.78570695363294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35.935295000880075</v>
      </c>
      <c r="AA49" s="21">
        <f>EXP(-LN(2)/25)*AA48+(1-EXP(-LN(2)/25))/(LN(2)/25)*Calculateur!V49*Calculateur!X49*VLOOKUP('Données projet'!$B$9,Paramètres!$A$1:$I$89,3,0)*0.475*44/12</f>
        <v>6.2424081702857217</v>
      </c>
      <c r="AB49" s="21">
        <f>EXP(-LN(2)/2)*AB48+(1-EXP(-LN(2)/2))/(LN(2)/2)*V49*Y49*VLOOKUP('Données projet'!$B$9,Paramètres!$A$1:$I$89,3,0)*0.475*44/12</f>
        <v>2.2377043427499123E-3</v>
      </c>
      <c r="AC49" s="22">
        <f t="shared" si="3"/>
        <v>42.179940875508542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>
        <f>AI49*VLOOKUP('Données projet'!$B$10,Paramètres!$A$1:$I$89,3,0)*VLOOKUP('Données projet'!$B$10,Paramètres!$A$1:$I$89,5,0)</f>
        <v>0</v>
      </c>
      <c r="AK49" s="13" t="e">
        <f t="shared" si="35"/>
        <v>#NUM!</v>
      </c>
      <c r="AL49" s="20" t="e">
        <f t="shared" si="4"/>
        <v>#NUM!</v>
      </c>
      <c r="AM49" s="59" t="e">
        <f t="shared" si="5"/>
        <v>#NUM!</v>
      </c>
      <c r="AN49" s="59">
        <f ca="1">AVERAGE(OFFSET($AM$3,0,0,'Données projet'!$E$10+1,1))-AVERAGE(OFFSET($H$3,0,0,'Données projet'!$E$10+1,1))</f>
        <v>123.44750406183283</v>
      </c>
      <c r="AO49" s="59">
        <f t="shared" si="36"/>
        <v>346.72009411328929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39.683147853732606</v>
      </c>
      <c r="AV49" s="21">
        <f>EXP(-LN(2)/25)*AV48+(1-EXP(-LN(2)/25))/(LN(2)/25)*Calculateur!AQ49*Calculateur!AS49*VLOOKUP('Données projet'!$B$10,Paramètres!$A$1:$I$89,3,0)*0.475*44/12</f>
        <v>6.8934568751621459</v>
      </c>
      <c r="AW49" s="21">
        <f>EXP(-LN(2)/2)*AW48+(1-EXP(-LN(2)/2))/(LN(2)/2)*AQ49*AT49*VLOOKUP('Données projet'!$B$10,Paramètres!$A$1:$I$89,3,0)*0.475*44/12</f>
        <v>2.4710845502759777E-3</v>
      </c>
      <c r="AX49" s="21">
        <f t="shared" si="6"/>
        <v>46.579075813445023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>
        <f>BD49*VLOOKUP('Données projet'!$B$11,Paramètres!$A$1:$I$89,3,0)*VLOOKUP('Données projet'!$B$11,Paramètres!$A$1:$I$89,5,0)</f>
        <v>0</v>
      </c>
      <c r="BF49" s="13" t="e">
        <f t="shared" si="37"/>
        <v>#NUM!</v>
      </c>
      <c r="BG49" s="20" t="e">
        <f t="shared" si="7"/>
        <v>#NUM!</v>
      </c>
      <c r="BH49" s="59" t="e">
        <f t="shared" si="8"/>
        <v>#NUM!</v>
      </c>
      <c r="BI49" s="59">
        <f ca="1">AVERAGE(OFFSET($BH$3,0,0,'Données projet'!$E$11+1,1))-AVERAGE(OFFSET($H$3,0,0,'Données projet'!$E$11+1,1))</f>
        <v>123.44750406183283</v>
      </c>
      <c r="BJ49" s="59">
        <f t="shared" si="38"/>
        <v>346.72009411328929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39.683147853732606</v>
      </c>
      <c r="BQ49" s="21">
        <f>EXP(-LN(2)/25)*BQ48+(1-EXP(-LN(2)/25))/(LN(2)/25)*Calculateur!BL49*Calculateur!BN49*VLOOKUP('Données projet'!$B$11,Paramètres!$A$1:$I$89,3,0)*0.475*44/12</f>
        <v>6.8934568751621459</v>
      </c>
      <c r="BR49" s="21">
        <f>EXP(-LN(2)/2)*BR48+(1-EXP(-LN(2)/2))/(LN(2)/2)*BL49*BO49*VLOOKUP('Données projet'!$B$11,Paramètres!$A$1:$I$89,3,0)*0.475*44/12</f>
        <v>2.4710845502759777E-3</v>
      </c>
      <c r="BS49" s="22">
        <f t="shared" si="9"/>
        <v>46.579075813445023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7">
        <f t="shared" si="1"/>
        <v>183.33333333333334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112.82287576550925</v>
      </c>
      <c r="T50" s="59">
        <f t="shared" si="34"/>
        <v>317.78570695363294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35.230625784278509</v>
      </c>
      <c r="AA50" s="21">
        <f>EXP(-LN(2)/25)*AA49+(1-EXP(-LN(2)/25))/(LN(2)/25)*Calculateur!V50*Calculateur!X50*VLOOKUP('Données projet'!$B$9,Paramètres!$A$1:$I$89,3,0)*0.475*44/12</f>
        <v>6.0717091905952802</v>
      </c>
      <c r="AB50" s="21">
        <f>EXP(-LN(2)/2)*AB49+(1-EXP(-LN(2)/2))/(LN(2)/2)*V50*Y50*VLOOKUP('Données projet'!$B$9,Paramètres!$A$1:$I$89,3,0)*0.475*44/12</f>
        <v>1.5822959150490494E-3</v>
      </c>
      <c r="AC50" s="22">
        <f t="shared" si="3"/>
        <v>41.303917270788837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>
        <f>AI50*VLOOKUP('Données projet'!$B$10,Paramètres!$A$1:$I$89,3,0)*VLOOKUP('Données projet'!$B$10,Paramètres!$A$1:$I$89,5,0)</f>
        <v>0</v>
      </c>
      <c r="AK50" s="13" t="e">
        <f t="shared" si="35"/>
        <v>#NUM!</v>
      </c>
      <c r="AL50" s="20" t="e">
        <f t="shared" si="4"/>
        <v>#NUM!</v>
      </c>
      <c r="AM50" s="59" t="e">
        <f t="shared" si="5"/>
        <v>#NUM!</v>
      </c>
      <c r="AN50" s="59">
        <f ca="1">AVERAGE(OFFSET($AM$3,0,0,'Données projet'!$E$10+1,1))-AVERAGE(OFFSET($H$3,0,0,'Données projet'!$E$10+1,1))</f>
        <v>123.44750406183283</v>
      </c>
      <c r="AO50" s="59">
        <f t="shared" si="36"/>
        <v>346.72009411328929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38.904985528651125</v>
      </c>
      <c r="AV50" s="21">
        <f>EXP(-LN(2)/25)*AV49+(1-EXP(-LN(2)/25))/(LN(2)/25)*Calculateur!AQ50*Calculateur!AS50*VLOOKUP('Données projet'!$B$10,Paramètres!$A$1:$I$89,3,0)*0.475*44/12</f>
        <v>6.7049549343996953</v>
      </c>
      <c r="AW50" s="21">
        <f>EXP(-LN(2)/2)*AW49+(1-EXP(-LN(2)/2))/(LN(2)/2)*AQ50*AT50*VLOOKUP('Données projet'!$B$10,Paramètres!$A$1:$I$89,3,0)*0.475*44/12</f>
        <v>1.747320642385454E-3</v>
      </c>
      <c r="AX50" s="21">
        <f t="shared" si="6"/>
        <v>45.611687783693206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>
        <f>BD50*VLOOKUP('Données projet'!$B$11,Paramètres!$A$1:$I$89,3,0)*VLOOKUP('Données projet'!$B$11,Paramètres!$A$1:$I$89,5,0)</f>
        <v>0</v>
      </c>
      <c r="BF50" s="13" t="e">
        <f t="shared" si="37"/>
        <v>#NUM!</v>
      </c>
      <c r="BG50" s="20" t="e">
        <f t="shared" si="7"/>
        <v>#NUM!</v>
      </c>
      <c r="BH50" s="59" t="e">
        <f t="shared" si="8"/>
        <v>#NUM!</v>
      </c>
      <c r="BI50" s="59">
        <f ca="1">AVERAGE(OFFSET($BH$3,0,0,'Données projet'!$E$11+1,1))-AVERAGE(OFFSET($H$3,0,0,'Données projet'!$E$11+1,1))</f>
        <v>123.44750406183283</v>
      </c>
      <c r="BJ50" s="59">
        <f t="shared" si="38"/>
        <v>346.72009411328929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38.904985528651125</v>
      </c>
      <c r="BQ50" s="21">
        <f>EXP(-LN(2)/25)*BQ49+(1-EXP(-LN(2)/25))/(LN(2)/25)*Calculateur!BL50*Calculateur!BN50*VLOOKUP('Données projet'!$B$11,Paramètres!$A$1:$I$89,3,0)*0.475*44/12</f>
        <v>6.7049549343996953</v>
      </c>
      <c r="BR50" s="21">
        <f>EXP(-LN(2)/2)*BR49+(1-EXP(-LN(2)/2))/(LN(2)/2)*BL50*BO50*VLOOKUP('Données projet'!$B$11,Paramètres!$A$1:$I$89,3,0)*0.475*44/12</f>
        <v>1.747320642385454E-3</v>
      </c>
      <c r="BS50" s="22">
        <f t="shared" si="9"/>
        <v>45.611687783693206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7">
        <f t="shared" si="1"/>
        <v>183.33333333333334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112.82287576550925</v>
      </c>
      <c r="T51" s="59">
        <f t="shared" si="34"/>
        <v>317.78570695363294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34.539774701208714</v>
      </c>
      <c r="AA51" s="21">
        <f>EXP(-LN(2)/25)*AA50+(1-EXP(-LN(2)/25))/(LN(2)/25)*Calculateur!V51*Calculateur!X51*VLOOKUP('Données projet'!$B$9,Paramètres!$A$1:$I$89,3,0)*0.475*44/12</f>
        <v>5.9056779834811435</v>
      </c>
      <c r="AB51" s="21">
        <f>EXP(-LN(2)/2)*AB50+(1-EXP(-LN(2)/2))/(LN(2)/2)*V51*Y51*VLOOKUP('Données projet'!$B$9,Paramètres!$A$1:$I$89,3,0)*0.475*44/12</f>
        <v>1.1188521713749562E-3</v>
      </c>
      <c r="AC51" s="22">
        <f t="shared" si="3"/>
        <v>40.446571536861228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>
        <f>AI51*VLOOKUP('Données projet'!$B$10,Paramètres!$A$1:$I$89,3,0)*VLOOKUP('Données projet'!$B$10,Paramètres!$A$1:$I$89,5,0)</f>
        <v>0</v>
      </c>
      <c r="AK51" s="13" t="e">
        <f t="shared" si="35"/>
        <v>#NUM!</v>
      </c>
      <c r="AL51" s="20" t="e">
        <f t="shared" si="4"/>
        <v>#NUM!</v>
      </c>
      <c r="AM51" s="59" t="e">
        <f t="shared" si="5"/>
        <v>#NUM!</v>
      </c>
      <c r="AN51" s="59">
        <f ca="1">AVERAGE(OFFSET($AM$3,0,0,'Données projet'!$E$10+1,1))-AVERAGE(OFFSET($H$3,0,0,'Données projet'!$E$10+1,1))</f>
        <v>123.44750406183283</v>
      </c>
      <c r="AO51" s="59">
        <f t="shared" si="36"/>
        <v>346.72009411328929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38.142082492132339</v>
      </c>
      <c r="AV51" s="21">
        <f>EXP(-LN(2)/25)*AV50+(1-EXP(-LN(2)/25))/(LN(2)/25)*Calculateur!AQ51*Calculateur!AS51*VLOOKUP('Données projet'!$B$10,Paramètres!$A$1:$I$89,3,0)*0.475*44/12</f>
        <v>6.52160758912028</v>
      </c>
      <c r="AW51" s="21">
        <f>EXP(-LN(2)/2)*AW50+(1-EXP(-LN(2)/2))/(LN(2)/2)*AQ51*AT51*VLOOKUP('Données projet'!$B$10,Paramètres!$A$1:$I$89,3,0)*0.475*44/12</f>
        <v>1.2355422751379888E-3</v>
      </c>
      <c r="AX51" s="21">
        <f t="shared" si="6"/>
        <v>44.664925623527758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>
        <f>BD51*VLOOKUP('Données projet'!$B$11,Paramètres!$A$1:$I$89,3,0)*VLOOKUP('Données projet'!$B$11,Paramètres!$A$1:$I$89,5,0)</f>
        <v>0</v>
      </c>
      <c r="BF51" s="13" t="e">
        <f t="shared" si="37"/>
        <v>#NUM!</v>
      </c>
      <c r="BG51" s="20" t="e">
        <f t="shared" si="7"/>
        <v>#NUM!</v>
      </c>
      <c r="BH51" s="59" t="e">
        <f t="shared" si="8"/>
        <v>#NUM!</v>
      </c>
      <c r="BI51" s="59">
        <f ca="1">AVERAGE(OFFSET($BH$3,0,0,'Données projet'!$E$11+1,1))-AVERAGE(OFFSET($H$3,0,0,'Données projet'!$E$11+1,1))</f>
        <v>123.44750406183283</v>
      </c>
      <c r="BJ51" s="59">
        <f t="shared" si="38"/>
        <v>346.72009411328929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38.142082492132339</v>
      </c>
      <c r="BQ51" s="21">
        <f>EXP(-LN(2)/25)*BQ50+(1-EXP(-LN(2)/25))/(LN(2)/25)*Calculateur!BL51*Calculateur!BN51*VLOOKUP('Données projet'!$B$11,Paramètres!$A$1:$I$89,3,0)*0.475*44/12</f>
        <v>6.52160758912028</v>
      </c>
      <c r="BR51" s="21">
        <f>EXP(-LN(2)/2)*BR50+(1-EXP(-LN(2)/2))/(LN(2)/2)*BL51*BO51*VLOOKUP('Données projet'!$B$11,Paramètres!$A$1:$I$89,3,0)*0.475*44/12</f>
        <v>1.2355422751379888E-3</v>
      </c>
      <c r="BS51" s="22">
        <f t="shared" si="9"/>
        <v>44.664925623527758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7">
        <f t="shared" si="1"/>
        <v>183.33333333333334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112.82287576550925</v>
      </c>
      <c r="T52" s="59">
        <f t="shared" si="34"/>
        <v>317.78570695363294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33.862470786500367</v>
      </c>
      <c r="AA52" s="21">
        <f>EXP(-LN(2)/25)*AA51+(1-EXP(-LN(2)/25))/(LN(2)/25)*Calculateur!V52*Calculateur!X52*VLOOKUP('Données projet'!$B$9,Paramètres!$A$1:$I$89,3,0)*0.475*44/12</f>
        <v>5.7441869084567445</v>
      </c>
      <c r="AB52" s="21">
        <f>EXP(-LN(2)/2)*AB51+(1-EXP(-LN(2)/2))/(LN(2)/2)*V52*Y52*VLOOKUP('Données projet'!$B$9,Paramètres!$A$1:$I$89,3,0)*0.475*44/12</f>
        <v>7.911479575245247E-4</v>
      </c>
      <c r="AC52" s="22">
        <f t="shared" si="3"/>
        <v>39.607448842914636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>
        <f>AI52*VLOOKUP('Données projet'!$B$10,Paramètres!$A$1:$I$89,3,0)*VLOOKUP('Données projet'!$B$10,Paramètres!$A$1:$I$89,5,0)</f>
        <v>0</v>
      </c>
      <c r="AK52" s="13" t="e">
        <f t="shared" si="35"/>
        <v>#NUM!</v>
      </c>
      <c r="AL52" s="20" t="e">
        <f t="shared" si="4"/>
        <v>#NUM!</v>
      </c>
      <c r="AM52" s="59" t="e">
        <f t="shared" si="5"/>
        <v>#NUM!</v>
      </c>
      <c r="AN52" s="59">
        <f ca="1">AVERAGE(OFFSET($AM$3,0,0,'Données projet'!$E$10+1,1))-AVERAGE(OFFSET($H$3,0,0,'Données projet'!$E$10+1,1))</f>
        <v>123.44750406183283</v>
      </c>
      <c r="AO52" s="59">
        <f t="shared" si="36"/>
        <v>346.72009411328929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37.394139518834777</v>
      </c>
      <c r="AV52" s="21">
        <f>EXP(-LN(2)/25)*AV51+(1-EXP(-LN(2)/25))/(LN(2)/25)*Calculateur!AQ52*Calculateur!AS52*VLOOKUP('Données projet'!$B$10,Paramètres!$A$1:$I$89,3,0)*0.475*44/12</f>
        <v>6.3432738866393485</v>
      </c>
      <c r="AW52" s="21">
        <f>EXP(-LN(2)/2)*AW51+(1-EXP(-LN(2)/2))/(LN(2)/2)*AQ52*AT52*VLOOKUP('Données projet'!$B$10,Paramètres!$A$1:$I$89,3,0)*0.475*44/12</f>
        <v>8.7366032119272699E-4</v>
      </c>
      <c r="AX52" s="21">
        <f t="shared" si="6"/>
        <v>43.738287065795319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>
        <f>BD52*VLOOKUP('Données projet'!$B$11,Paramètres!$A$1:$I$89,3,0)*VLOOKUP('Données projet'!$B$11,Paramètres!$A$1:$I$89,5,0)</f>
        <v>0</v>
      </c>
      <c r="BF52" s="13" t="e">
        <f t="shared" si="37"/>
        <v>#NUM!</v>
      </c>
      <c r="BG52" s="20" t="e">
        <f t="shared" si="7"/>
        <v>#NUM!</v>
      </c>
      <c r="BH52" s="59" t="e">
        <f t="shared" si="8"/>
        <v>#NUM!</v>
      </c>
      <c r="BI52" s="59">
        <f ca="1">AVERAGE(OFFSET($BH$3,0,0,'Données projet'!$E$11+1,1))-AVERAGE(OFFSET($H$3,0,0,'Données projet'!$E$11+1,1))</f>
        <v>123.44750406183283</v>
      </c>
      <c r="BJ52" s="59">
        <f t="shared" si="38"/>
        <v>346.72009411328929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37.394139518834777</v>
      </c>
      <c r="BQ52" s="21">
        <f>EXP(-LN(2)/25)*BQ51+(1-EXP(-LN(2)/25))/(LN(2)/25)*Calculateur!BL52*Calculateur!BN52*VLOOKUP('Données projet'!$B$11,Paramètres!$A$1:$I$89,3,0)*0.475*44/12</f>
        <v>6.3432738866393485</v>
      </c>
      <c r="BR52" s="21">
        <f>EXP(-LN(2)/2)*BR51+(1-EXP(-LN(2)/2))/(LN(2)/2)*BL52*BO52*VLOOKUP('Données projet'!$B$11,Paramètres!$A$1:$I$89,3,0)*0.475*44/12</f>
        <v>8.7366032119272699E-4</v>
      </c>
      <c r="BS52" s="22">
        <f t="shared" si="9"/>
        <v>43.738287065795319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7">
        <f t="shared" si="1"/>
        <v>183.33333333333334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112.82287576550925</v>
      </c>
      <c r="T53" s="59">
        <f t="shared" si="34"/>
        <v>317.78570695363294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33.198448388444852</v>
      </c>
      <c r="AA53" s="21">
        <f>EXP(-LN(2)/25)*AA52+(1-EXP(-LN(2)/25))/(LN(2)/25)*Calculateur!V53*Calculateur!X53*VLOOKUP('Données projet'!$B$9,Paramètres!$A$1:$I$89,3,0)*0.475*44/12</f>
        <v>5.5871118153713342</v>
      </c>
      <c r="AB53" s="21">
        <f>EXP(-LN(2)/2)*AB52+(1-EXP(-LN(2)/2))/(LN(2)/2)*V53*Y53*VLOOKUP('Données projet'!$B$9,Paramètres!$A$1:$I$89,3,0)*0.475*44/12</f>
        <v>5.5942608568747808E-4</v>
      </c>
      <c r="AC53" s="22">
        <f t="shared" si="3"/>
        <v>38.786119629901876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>
        <f>AI53*VLOOKUP('Données projet'!$B$10,Paramètres!$A$1:$I$89,3,0)*VLOOKUP('Données projet'!$B$10,Paramètres!$A$1:$I$89,5,0)</f>
        <v>0</v>
      </c>
      <c r="AK53" s="13" t="e">
        <f t="shared" si="35"/>
        <v>#NUM!</v>
      </c>
      <c r="AL53" s="20" t="e">
        <f t="shared" si="4"/>
        <v>#NUM!</v>
      </c>
      <c r="AM53" s="59" t="e">
        <f t="shared" si="5"/>
        <v>#NUM!</v>
      </c>
      <c r="AN53" s="59">
        <f ca="1">AVERAGE(OFFSET($AM$3,0,0,'Données projet'!$E$10+1,1))-AVERAGE(OFFSET($H$3,0,0,'Données projet'!$E$10+1,1))</f>
        <v>123.44750406183283</v>
      </c>
      <c r="AO53" s="59">
        <f t="shared" si="36"/>
        <v>346.72009411328929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36.660863251043416</v>
      </c>
      <c r="AV53" s="21">
        <f>EXP(-LN(2)/25)*AV52+(1-EXP(-LN(2)/25))/(LN(2)/25)*Calculateur!AQ53*Calculateur!AS53*VLOOKUP('Données projet'!$B$10,Paramètres!$A$1:$I$89,3,0)*0.475*44/12</f>
        <v>6.16981672863092</v>
      </c>
      <c r="AW53" s="21">
        <f>EXP(-LN(2)/2)*AW52+(1-EXP(-LN(2)/2))/(LN(2)/2)*AQ53*AT53*VLOOKUP('Données projet'!$B$10,Paramètres!$A$1:$I$89,3,0)*0.475*44/12</f>
        <v>6.1777113756899442E-4</v>
      </c>
      <c r="AX53" s="21">
        <f t="shared" si="6"/>
        <v>42.831297750811906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>
        <f>BD53*VLOOKUP('Données projet'!$B$11,Paramètres!$A$1:$I$89,3,0)*VLOOKUP('Données projet'!$B$11,Paramètres!$A$1:$I$89,5,0)</f>
        <v>0</v>
      </c>
      <c r="BF53" s="13" t="e">
        <f t="shared" si="37"/>
        <v>#NUM!</v>
      </c>
      <c r="BG53" s="20" t="e">
        <f t="shared" si="7"/>
        <v>#NUM!</v>
      </c>
      <c r="BH53" s="59" t="e">
        <f t="shared" si="8"/>
        <v>#NUM!</v>
      </c>
      <c r="BI53" s="59">
        <f ca="1">AVERAGE(OFFSET($BH$3,0,0,'Données projet'!$E$11+1,1))-AVERAGE(OFFSET($H$3,0,0,'Données projet'!$E$11+1,1))</f>
        <v>123.44750406183283</v>
      </c>
      <c r="BJ53" s="59">
        <f t="shared" si="38"/>
        <v>346.72009411328929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36.660863251043416</v>
      </c>
      <c r="BQ53" s="21">
        <f>EXP(-LN(2)/25)*BQ52+(1-EXP(-LN(2)/25))/(LN(2)/25)*Calculateur!BL53*Calculateur!BN53*VLOOKUP('Données projet'!$B$11,Paramètres!$A$1:$I$89,3,0)*0.475*44/12</f>
        <v>6.16981672863092</v>
      </c>
      <c r="BR53" s="21">
        <f>EXP(-LN(2)/2)*BR52+(1-EXP(-LN(2)/2))/(LN(2)/2)*BL53*BO53*VLOOKUP('Données projet'!$B$11,Paramètres!$A$1:$I$89,3,0)*0.475*44/12</f>
        <v>6.1777113756899442E-4</v>
      </c>
      <c r="BS53" s="22">
        <f t="shared" si="9"/>
        <v>42.831297750811906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7">
        <f t="shared" si="1"/>
        <v>183.33333333333334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112.82287576550925</v>
      </c>
      <c r="T54" s="59">
        <f t="shared" si="34"/>
        <v>317.78570695363294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32.547447064601535</v>
      </c>
      <c r="AA54" s="21">
        <f>EXP(-LN(2)/25)*AA53+(1-EXP(-LN(2)/25))/(LN(2)/25)*Calculateur!V54*Calculateur!X54*VLOOKUP('Données projet'!$B$9,Paramètres!$A$1:$I$89,3,0)*0.475*44/12</f>
        <v>5.4343319489665642</v>
      </c>
      <c r="AB54" s="21">
        <f>EXP(-LN(2)/2)*AB53+(1-EXP(-LN(2)/2))/(LN(2)/2)*V54*Y54*VLOOKUP('Données projet'!$B$9,Paramètres!$A$1:$I$89,3,0)*0.475*44/12</f>
        <v>3.9557397876226235E-4</v>
      </c>
      <c r="AC54" s="22">
        <f t="shared" si="3"/>
        <v>37.982174587546865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>
        <f>AI54*VLOOKUP('Données projet'!$B$10,Paramètres!$A$1:$I$89,3,0)*VLOOKUP('Données projet'!$B$10,Paramètres!$A$1:$I$89,5,0)</f>
        <v>0</v>
      </c>
      <c r="AK54" s="13" t="e">
        <f t="shared" si="35"/>
        <v>#NUM!</v>
      </c>
      <c r="AL54" s="20" t="e">
        <f t="shared" si="4"/>
        <v>#NUM!</v>
      </c>
      <c r="AM54" s="59" t="e">
        <f t="shared" si="5"/>
        <v>#NUM!</v>
      </c>
      <c r="AN54" s="59">
        <f ca="1">AVERAGE(OFFSET($AM$3,0,0,'Données projet'!$E$10+1,1))-AVERAGE(OFFSET($H$3,0,0,'Données projet'!$E$10+1,1))</f>
        <v>123.44750406183283</v>
      </c>
      <c r="AO54" s="59">
        <f t="shared" si="36"/>
        <v>346.72009411328929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35.941966083609081</v>
      </c>
      <c r="AV54" s="21">
        <f>EXP(-LN(2)/25)*AV53+(1-EXP(-LN(2)/25))/(LN(2)/25)*Calculateur!AQ54*Calculateur!AS54*VLOOKUP('Données projet'!$B$10,Paramètres!$A$1:$I$89,3,0)*0.475*44/12</f>
        <v>6.0011027657299474</v>
      </c>
      <c r="AW54" s="21">
        <f>EXP(-LN(2)/2)*AW53+(1-EXP(-LN(2)/2))/(LN(2)/2)*AQ54*AT54*VLOOKUP('Données projet'!$B$10,Paramètres!$A$1:$I$89,3,0)*0.475*44/12</f>
        <v>4.368301605963635E-4</v>
      </c>
      <c r="AX54" s="21">
        <f t="shared" si="6"/>
        <v>41.943505679499623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>
        <f>BD54*VLOOKUP('Données projet'!$B$11,Paramètres!$A$1:$I$89,3,0)*VLOOKUP('Données projet'!$B$11,Paramètres!$A$1:$I$89,5,0)</f>
        <v>0</v>
      </c>
      <c r="BF54" s="13" t="e">
        <f t="shared" si="37"/>
        <v>#NUM!</v>
      </c>
      <c r="BG54" s="20" t="e">
        <f t="shared" si="7"/>
        <v>#NUM!</v>
      </c>
      <c r="BH54" s="59" t="e">
        <f t="shared" si="8"/>
        <v>#NUM!</v>
      </c>
      <c r="BI54" s="59">
        <f ca="1">AVERAGE(OFFSET($BH$3,0,0,'Données projet'!$E$11+1,1))-AVERAGE(OFFSET($H$3,0,0,'Données projet'!$E$11+1,1))</f>
        <v>123.44750406183283</v>
      </c>
      <c r="BJ54" s="59">
        <f t="shared" si="38"/>
        <v>346.72009411328929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35.941966083609081</v>
      </c>
      <c r="BQ54" s="21">
        <f>EXP(-LN(2)/25)*BQ53+(1-EXP(-LN(2)/25))/(LN(2)/25)*Calculateur!BL54*Calculateur!BN54*VLOOKUP('Données projet'!$B$11,Paramètres!$A$1:$I$89,3,0)*0.475*44/12</f>
        <v>6.0011027657299474</v>
      </c>
      <c r="BR54" s="21">
        <f>EXP(-LN(2)/2)*BR53+(1-EXP(-LN(2)/2))/(LN(2)/2)*BL54*BO54*VLOOKUP('Données projet'!$B$11,Paramètres!$A$1:$I$89,3,0)*0.475*44/12</f>
        <v>4.368301605963635E-4</v>
      </c>
      <c r="BS54" s="22">
        <f t="shared" si="9"/>
        <v>41.943505679499623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7">
        <f t="shared" si="1"/>
        <v>183.33333333333334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112.82287576550925</v>
      </c>
      <c r="T55" s="59">
        <f t="shared" si="34"/>
        <v>317.78570695363294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31.909211479647187</v>
      </c>
      <c r="AA55" s="21">
        <f>EXP(-LN(2)/25)*AA54+(1-EXP(-LN(2)/25))/(LN(2)/25)*Calculateur!V55*Calculateur!X55*VLOOKUP('Données projet'!$B$9,Paramètres!$A$1:$I$89,3,0)*0.475*44/12</f>
        <v>5.2857298560429768</v>
      </c>
      <c r="AB55" s="21">
        <f>EXP(-LN(2)/2)*AB54+(1-EXP(-LN(2)/2))/(LN(2)/2)*V55*Y55*VLOOKUP('Données projet'!$B$9,Paramètres!$A$1:$I$89,3,0)*0.475*44/12</f>
        <v>2.7971304284373904E-4</v>
      </c>
      <c r="AC55" s="22">
        <f t="shared" si="3"/>
        <v>37.195221048733003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>
        <f>AI55*VLOOKUP('Données projet'!$B$10,Paramètres!$A$1:$I$89,3,0)*VLOOKUP('Données projet'!$B$10,Paramètres!$A$1:$I$89,5,0)</f>
        <v>0</v>
      </c>
      <c r="AK55" s="13" t="e">
        <f t="shared" si="35"/>
        <v>#NUM!</v>
      </c>
      <c r="AL55" s="20" t="e">
        <f t="shared" si="4"/>
        <v>#NUM!</v>
      </c>
      <c r="AM55" s="59" t="e">
        <f t="shared" si="5"/>
        <v>#NUM!</v>
      </c>
      <c r="AN55" s="59">
        <f ca="1">AVERAGE(OFFSET($AM$3,0,0,'Données projet'!$E$10+1,1))-AVERAGE(OFFSET($H$3,0,0,'Données projet'!$E$10+1,1))</f>
        <v>123.44750406183283</v>
      </c>
      <c r="AO55" s="59">
        <f t="shared" si="36"/>
        <v>346.72009411328929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35.237166051144158</v>
      </c>
      <c r="AV55" s="21">
        <f>EXP(-LN(2)/25)*AV54+(1-EXP(-LN(2)/25))/(LN(2)/25)*Calculateur!AQ55*Calculateur!AS55*VLOOKUP('Données projet'!$B$10,Paramètres!$A$1:$I$89,3,0)*0.475*44/12</f>
        <v>5.8370022950167835</v>
      </c>
      <c r="AW55" s="21">
        <f>EXP(-LN(2)/2)*AW54+(1-EXP(-LN(2)/2))/(LN(2)/2)*AQ55*AT55*VLOOKUP('Données projet'!$B$10,Paramètres!$A$1:$I$89,3,0)*0.475*44/12</f>
        <v>3.0888556878449721E-4</v>
      </c>
      <c r="AX55" s="21">
        <f t="shared" si="6"/>
        <v>41.074477231729723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>
        <f>BD55*VLOOKUP('Données projet'!$B$11,Paramètres!$A$1:$I$89,3,0)*VLOOKUP('Données projet'!$B$11,Paramètres!$A$1:$I$89,5,0)</f>
        <v>0</v>
      </c>
      <c r="BF55" s="13" t="e">
        <f t="shared" si="37"/>
        <v>#NUM!</v>
      </c>
      <c r="BG55" s="20" t="e">
        <f t="shared" si="7"/>
        <v>#NUM!</v>
      </c>
      <c r="BH55" s="59" t="e">
        <f t="shared" si="8"/>
        <v>#NUM!</v>
      </c>
      <c r="BI55" s="59">
        <f ca="1">AVERAGE(OFFSET($BH$3,0,0,'Données projet'!$E$11+1,1))-AVERAGE(OFFSET($H$3,0,0,'Données projet'!$E$11+1,1))</f>
        <v>123.44750406183283</v>
      </c>
      <c r="BJ55" s="59">
        <f t="shared" si="38"/>
        <v>346.72009411328929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35.237166051144158</v>
      </c>
      <c r="BQ55" s="21">
        <f>EXP(-LN(2)/25)*BQ54+(1-EXP(-LN(2)/25))/(LN(2)/25)*Calculateur!BL55*Calculateur!BN55*VLOOKUP('Données projet'!$B$11,Paramètres!$A$1:$I$89,3,0)*0.475*44/12</f>
        <v>5.8370022950167835</v>
      </c>
      <c r="BR55" s="21">
        <f>EXP(-LN(2)/2)*BR54+(1-EXP(-LN(2)/2))/(LN(2)/2)*BL55*BO55*VLOOKUP('Données projet'!$B$11,Paramètres!$A$1:$I$89,3,0)*0.475*44/12</f>
        <v>3.0888556878449721E-4</v>
      </c>
      <c r="BS55" s="22">
        <f t="shared" si="9"/>
        <v>41.074477231729723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7">
        <f t="shared" si="1"/>
        <v>183.33333333333334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112.82287576550925</v>
      </c>
      <c r="T56" s="59">
        <f t="shared" si="34"/>
        <v>317.78570695363294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31.283491305228527</v>
      </c>
      <c r="AA56" s="21">
        <f>EXP(-LN(2)/25)*AA55+(1-EXP(-LN(2)/25))/(LN(2)/25)*Calculateur!V56*Calculateur!X56*VLOOKUP('Données projet'!$B$9,Paramètres!$A$1:$I$89,3,0)*0.475*44/12</f>
        <v>5.1411912951650294</v>
      </c>
      <c r="AB56" s="21">
        <f>EXP(-LN(2)/2)*AB55+(1-EXP(-LN(2)/2))/(LN(2)/2)*V56*Y56*VLOOKUP('Données projet'!$B$9,Paramètres!$A$1:$I$89,3,0)*0.475*44/12</f>
        <v>1.9778698938113117E-4</v>
      </c>
      <c r="AC56" s="22">
        <f t="shared" si="3"/>
        <v>36.424880387382935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>
        <f>AI56*VLOOKUP('Données projet'!$B$10,Paramètres!$A$1:$I$89,3,0)*VLOOKUP('Données projet'!$B$10,Paramètres!$A$1:$I$89,5,0)</f>
        <v>0</v>
      </c>
      <c r="AK56" s="13" t="e">
        <f t="shared" si="35"/>
        <v>#NUM!</v>
      </c>
      <c r="AL56" s="20" t="e">
        <f t="shared" si="4"/>
        <v>#NUM!</v>
      </c>
      <c r="AM56" s="59" t="e">
        <f t="shared" si="5"/>
        <v>#NUM!</v>
      </c>
      <c r="AN56" s="59">
        <f ca="1">AVERAGE(OFFSET($AM$3,0,0,'Données projet'!$E$10+1,1))-AVERAGE(OFFSET($H$3,0,0,'Données projet'!$E$10+1,1))</f>
        <v>123.44750406183283</v>
      </c>
      <c r="AO56" s="59">
        <f t="shared" si="36"/>
        <v>346.72009411328929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34.546186717430302</v>
      </c>
      <c r="AV56" s="21">
        <f>EXP(-LN(2)/25)*AV55+(1-EXP(-LN(2)/25))/(LN(2)/25)*Calculateur!AQ56*Calculateur!AS56*VLOOKUP('Données projet'!$B$10,Paramètres!$A$1:$I$89,3,0)*0.475*44/12</f>
        <v>5.6773891603049398</v>
      </c>
      <c r="AW56" s="21">
        <f>EXP(-LN(2)/2)*AW55+(1-EXP(-LN(2)/2))/(LN(2)/2)*AQ56*AT56*VLOOKUP('Données projet'!$B$10,Paramètres!$A$1:$I$89,3,0)*0.475*44/12</f>
        <v>2.1841508029818175E-4</v>
      </c>
      <c r="AX56" s="21">
        <f t="shared" si="6"/>
        <v>40.223794292815541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>
        <f>BD56*VLOOKUP('Données projet'!$B$11,Paramètres!$A$1:$I$89,3,0)*VLOOKUP('Données projet'!$B$11,Paramètres!$A$1:$I$89,5,0)</f>
        <v>0</v>
      </c>
      <c r="BF56" s="13" t="e">
        <f t="shared" si="37"/>
        <v>#NUM!</v>
      </c>
      <c r="BG56" s="20" t="e">
        <f t="shared" si="7"/>
        <v>#NUM!</v>
      </c>
      <c r="BH56" s="59" t="e">
        <f t="shared" si="8"/>
        <v>#NUM!</v>
      </c>
      <c r="BI56" s="59">
        <f ca="1">AVERAGE(OFFSET($BH$3,0,0,'Données projet'!$E$11+1,1))-AVERAGE(OFFSET($H$3,0,0,'Données projet'!$E$11+1,1))</f>
        <v>123.44750406183283</v>
      </c>
      <c r="BJ56" s="59">
        <f t="shared" si="38"/>
        <v>346.72009411328929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34.546186717430302</v>
      </c>
      <c r="BQ56" s="21">
        <f>EXP(-LN(2)/25)*BQ55+(1-EXP(-LN(2)/25))/(LN(2)/25)*Calculateur!BL56*Calculateur!BN56*VLOOKUP('Données projet'!$B$11,Paramètres!$A$1:$I$89,3,0)*0.475*44/12</f>
        <v>5.6773891603049398</v>
      </c>
      <c r="BR56" s="21">
        <f>EXP(-LN(2)/2)*BR55+(1-EXP(-LN(2)/2))/(LN(2)/2)*BL56*BO56*VLOOKUP('Données projet'!$B$11,Paramètres!$A$1:$I$89,3,0)*0.475*44/12</f>
        <v>2.1841508029818175E-4</v>
      </c>
      <c r="BS56" s="22">
        <f t="shared" si="9"/>
        <v>40.223794292815541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7">
        <f t="shared" si="1"/>
        <v>183.33333333333334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112.82287576550925</v>
      </c>
      <c r="T57" s="59">
        <f t="shared" si="34"/>
        <v>317.78570695363294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30.670041121778596</v>
      </c>
      <c r="AA57" s="21">
        <f>EXP(-LN(2)/25)*AA56+(1-EXP(-LN(2)/25))/(LN(2)/25)*Calculateur!V57*Calculateur!X57*VLOOKUP('Données projet'!$B$9,Paramètres!$A$1:$I$89,3,0)*0.475*44/12</f>
        <v>5.0006051488352421</v>
      </c>
      <c r="AB57" s="21">
        <f>EXP(-LN(2)/2)*AB56+(1-EXP(-LN(2)/2))/(LN(2)/2)*V57*Y57*VLOOKUP('Données projet'!$B$9,Paramètres!$A$1:$I$89,3,0)*0.475*44/12</f>
        <v>1.3985652142186952E-4</v>
      </c>
      <c r="AC57" s="22">
        <f t="shared" si="3"/>
        <v>35.670786127135258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>
        <f>AI57*VLOOKUP('Données projet'!$B$10,Paramètres!$A$1:$I$89,3,0)*VLOOKUP('Données projet'!$B$10,Paramètres!$A$1:$I$89,5,0)</f>
        <v>0</v>
      </c>
      <c r="AK57" s="13" t="e">
        <f t="shared" si="35"/>
        <v>#NUM!</v>
      </c>
      <c r="AL57" s="20" t="e">
        <f t="shared" si="4"/>
        <v>#NUM!</v>
      </c>
      <c r="AM57" s="59" t="e">
        <f t="shared" si="5"/>
        <v>#NUM!</v>
      </c>
      <c r="AN57" s="59">
        <f ca="1">AVERAGE(OFFSET($AM$3,0,0,'Données projet'!$E$10+1,1))-AVERAGE(OFFSET($H$3,0,0,'Données projet'!$E$10+1,1))</f>
        <v>123.44750406183283</v>
      </c>
      <c r="AO57" s="59">
        <f t="shared" si="36"/>
        <v>346.72009411328929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33.868757066994796</v>
      </c>
      <c r="AV57" s="21">
        <f>EXP(-LN(2)/25)*AV56+(1-EXP(-LN(2)/25))/(LN(2)/25)*Calculateur!AQ57*Calculateur!AS57*VLOOKUP('Données projet'!$B$10,Paramètres!$A$1:$I$89,3,0)*0.475*44/12</f>
        <v>5.5221406551554812</v>
      </c>
      <c r="AW57" s="21">
        <f>EXP(-LN(2)/2)*AW56+(1-EXP(-LN(2)/2))/(LN(2)/2)*AQ57*AT57*VLOOKUP('Données projet'!$B$10,Paramètres!$A$1:$I$89,3,0)*0.475*44/12</f>
        <v>1.5444278439224861E-4</v>
      </c>
      <c r="AX57" s="21">
        <f t="shared" si="6"/>
        <v>39.391052164934671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>
        <f>BD57*VLOOKUP('Données projet'!$B$11,Paramètres!$A$1:$I$89,3,0)*VLOOKUP('Données projet'!$B$11,Paramètres!$A$1:$I$89,5,0)</f>
        <v>0</v>
      </c>
      <c r="BF57" s="13" t="e">
        <f t="shared" si="37"/>
        <v>#NUM!</v>
      </c>
      <c r="BG57" s="20" t="e">
        <f t="shared" si="7"/>
        <v>#NUM!</v>
      </c>
      <c r="BH57" s="59" t="e">
        <f t="shared" si="8"/>
        <v>#NUM!</v>
      </c>
      <c r="BI57" s="59">
        <f ca="1">AVERAGE(OFFSET($BH$3,0,0,'Données projet'!$E$11+1,1))-AVERAGE(OFFSET($H$3,0,0,'Données projet'!$E$11+1,1))</f>
        <v>123.44750406183283</v>
      </c>
      <c r="BJ57" s="59">
        <f t="shared" si="38"/>
        <v>346.72009411328929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33.868757066994796</v>
      </c>
      <c r="BQ57" s="21">
        <f>EXP(-LN(2)/25)*BQ56+(1-EXP(-LN(2)/25))/(LN(2)/25)*Calculateur!BL57*Calculateur!BN57*VLOOKUP('Données projet'!$B$11,Paramètres!$A$1:$I$89,3,0)*0.475*44/12</f>
        <v>5.5221406551554812</v>
      </c>
      <c r="BR57" s="21">
        <f>EXP(-LN(2)/2)*BR56+(1-EXP(-LN(2)/2))/(LN(2)/2)*BL57*BO57*VLOOKUP('Données projet'!$B$11,Paramètres!$A$1:$I$89,3,0)*0.475*44/12</f>
        <v>1.5444278439224861E-4</v>
      </c>
      <c r="BS57" s="22">
        <f t="shared" si="9"/>
        <v>39.391052164934671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7">
        <f t="shared" si="1"/>
        <v>183.33333333333334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112.82287576550925</v>
      </c>
      <c r="T58" s="59">
        <f t="shared" si="34"/>
        <v>317.78570695363294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30.06862032225845</v>
      </c>
      <c r="AA58" s="21">
        <f>EXP(-LN(2)/25)*AA57+(1-EXP(-LN(2)/25))/(LN(2)/25)*Calculateur!V58*Calculateur!X58*VLOOKUP('Données projet'!$B$9,Paramètres!$A$1:$I$89,3,0)*0.475*44/12</f>
        <v>4.8638633380699465</v>
      </c>
      <c r="AB58" s="21">
        <f>EXP(-LN(2)/2)*AB57+(1-EXP(-LN(2)/2))/(LN(2)/2)*V58*Y58*VLOOKUP('Données projet'!$B$9,Paramètres!$A$1:$I$89,3,0)*0.475*44/12</f>
        <v>9.8893494690565587E-5</v>
      </c>
      <c r="AC58" s="22">
        <f t="shared" si="3"/>
        <v>34.932582553823082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>
        <f>AI58*VLOOKUP('Données projet'!$B$10,Paramètres!$A$1:$I$89,3,0)*VLOOKUP('Données projet'!$B$10,Paramètres!$A$1:$I$89,5,0)</f>
        <v>0</v>
      </c>
      <c r="AK58" s="13" t="e">
        <f t="shared" si="35"/>
        <v>#NUM!</v>
      </c>
      <c r="AL58" s="20" t="e">
        <f t="shared" si="4"/>
        <v>#NUM!</v>
      </c>
      <c r="AM58" s="59" t="e">
        <f t="shared" si="5"/>
        <v>#NUM!</v>
      </c>
      <c r="AN58" s="59">
        <f ca="1">AVERAGE(OFFSET($AM$3,0,0,'Données projet'!$E$10+1,1))-AVERAGE(OFFSET($H$3,0,0,'Données projet'!$E$10+1,1))</f>
        <v>123.44750406183283</v>
      </c>
      <c r="AO58" s="59">
        <f t="shared" si="36"/>
        <v>346.72009411328929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33.204611398813043</v>
      </c>
      <c r="AV58" s="21">
        <f>EXP(-LN(2)/25)*AV57+(1-EXP(-LN(2)/25))/(LN(2)/25)*Calculateur!AQ58*Calculateur!AS58*VLOOKUP('Données projet'!$B$10,Paramètres!$A$1:$I$89,3,0)*0.475*44/12</f>
        <v>5.3711374285434985</v>
      </c>
      <c r="AW58" s="21">
        <f>EXP(-LN(2)/2)*AW57+(1-EXP(-LN(2)/2))/(LN(2)/2)*AQ58*AT58*VLOOKUP('Données projet'!$B$10,Paramètres!$A$1:$I$89,3,0)*0.475*44/12</f>
        <v>1.0920754014909087E-4</v>
      </c>
      <c r="AX58" s="21">
        <f t="shared" si="6"/>
        <v>38.57585803489669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>
        <f>BD58*VLOOKUP('Données projet'!$B$11,Paramètres!$A$1:$I$89,3,0)*VLOOKUP('Données projet'!$B$11,Paramètres!$A$1:$I$89,5,0)</f>
        <v>0</v>
      </c>
      <c r="BF58" s="13" t="e">
        <f t="shared" si="37"/>
        <v>#NUM!</v>
      </c>
      <c r="BG58" s="20" t="e">
        <f t="shared" si="7"/>
        <v>#NUM!</v>
      </c>
      <c r="BH58" s="59" t="e">
        <f t="shared" si="8"/>
        <v>#NUM!</v>
      </c>
      <c r="BI58" s="59">
        <f ca="1">AVERAGE(OFFSET($BH$3,0,0,'Données projet'!$E$11+1,1))-AVERAGE(OFFSET($H$3,0,0,'Données projet'!$E$11+1,1))</f>
        <v>123.44750406183283</v>
      </c>
      <c r="BJ58" s="59">
        <f t="shared" si="38"/>
        <v>346.72009411328929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33.204611398813043</v>
      </c>
      <c r="BQ58" s="21">
        <f>EXP(-LN(2)/25)*BQ57+(1-EXP(-LN(2)/25))/(LN(2)/25)*Calculateur!BL58*Calculateur!BN58*VLOOKUP('Données projet'!$B$11,Paramètres!$A$1:$I$89,3,0)*0.475*44/12</f>
        <v>5.3711374285434985</v>
      </c>
      <c r="BR58" s="21">
        <f>EXP(-LN(2)/2)*BR57+(1-EXP(-LN(2)/2))/(LN(2)/2)*BL58*BO58*VLOOKUP('Données projet'!$B$11,Paramètres!$A$1:$I$89,3,0)*0.475*44/12</f>
        <v>1.0920754014909087E-4</v>
      </c>
      <c r="BS58" s="22">
        <f t="shared" si="9"/>
        <v>38.57585803489669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7">
        <f t="shared" si="1"/>
        <v>183.33333333333334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112.82287576550925</v>
      </c>
      <c r="T59" s="59">
        <f t="shared" si="34"/>
        <v>317.78570695363294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29.478993017786429</v>
      </c>
      <c r="AA59" s="21">
        <f>EXP(-LN(2)/25)*AA58+(1-EXP(-LN(2)/25))/(LN(2)/25)*Calculateur!V59*Calculateur!X59*VLOOKUP('Données projet'!$B$9,Paramètres!$A$1:$I$89,3,0)*0.475*44/12</f>
        <v>4.7308607393109678</v>
      </c>
      <c r="AB59" s="21">
        <f>EXP(-LN(2)/2)*AB58+(1-EXP(-LN(2)/2))/(LN(2)/2)*V59*Y59*VLOOKUP('Données projet'!$B$9,Paramètres!$A$1:$I$89,3,0)*0.475*44/12</f>
        <v>6.9928260710934759E-5</v>
      </c>
      <c r="AC59" s="22">
        <f t="shared" si="3"/>
        <v>34.209923685358113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>
        <f>AI59*VLOOKUP('Données projet'!$B$10,Paramètres!$A$1:$I$89,3,0)*VLOOKUP('Données projet'!$B$10,Paramètres!$A$1:$I$89,5,0)</f>
        <v>0</v>
      </c>
      <c r="AK59" s="13" t="e">
        <f t="shared" si="35"/>
        <v>#NUM!</v>
      </c>
      <c r="AL59" s="20" t="e">
        <f t="shared" si="4"/>
        <v>#NUM!</v>
      </c>
      <c r="AM59" s="59" t="e">
        <f t="shared" si="5"/>
        <v>#NUM!</v>
      </c>
      <c r="AN59" s="59">
        <f ca="1">AVERAGE(OFFSET($AM$3,0,0,'Données projet'!$E$10+1,1))-AVERAGE(OFFSET($H$3,0,0,'Données projet'!$E$10+1,1))</f>
        <v>123.44750406183283</v>
      </c>
      <c r="AO59" s="59">
        <f t="shared" si="36"/>
        <v>346.72009411328929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32.553489222095472</v>
      </c>
      <c r="AV59" s="21">
        <f>EXP(-LN(2)/25)*AV58+(1-EXP(-LN(2)/25))/(LN(2)/25)*Calculateur!AQ59*Calculateur!AS59*VLOOKUP('Données projet'!$B$10,Paramètres!$A$1:$I$89,3,0)*0.475*44/12</f>
        <v>5.2242633931041347</v>
      </c>
      <c r="AW59" s="21">
        <f>EXP(-LN(2)/2)*AW58+(1-EXP(-LN(2)/2))/(LN(2)/2)*AQ59*AT59*VLOOKUP('Données projet'!$B$10,Paramètres!$A$1:$I$89,3,0)*0.475*44/12</f>
        <v>7.7221392196124303E-5</v>
      </c>
      <c r="AX59" s="21">
        <f t="shared" si="6"/>
        <v>37.777829836591799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>
        <f>BD59*VLOOKUP('Données projet'!$B$11,Paramètres!$A$1:$I$89,3,0)*VLOOKUP('Données projet'!$B$11,Paramètres!$A$1:$I$89,5,0)</f>
        <v>0</v>
      </c>
      <c r="BF59" s="13" t="e">
        <f t="shared" si="37"/>
        <v>#NUM!</v>
      </c>
      <c r="BG59" s="20" t="e">
        <f t="shared" si="7"/>
        <v>#NUM!</v>
      </c>
      <c r="BH59" s="59" t="e">
        <f t="shared" si="8"/>
        <v>#NUM!</v>
      </c>
      <c r="BI59" s="59">
        <f ca="1">AVERAGE(OFFSET($BH$3,0,0,'Données projet'!$E$11+1,1))-AVERAGE(OFFSET($H$3,0,0,'Données projet'!$E$11+1,1))</f>
        <v>123.44750406183283</v>
      </c>
      <c r="BJ59" s="59">
        <f t="shared" si="38"/>
        <v>346.72009411328929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32.553489222095472</v>
      </c>
      <c r="BQ59" s="21">
        <f>EXP(-LN(2)/25)*BQ58+(1-EXP(-LN(2)/25))/(LN(2)/25)*Calculateur!BL59*Calculateur!BN59*VLOOKUP('Données projet'!$B$11,Paramètres!$A$1:$I$89,3,0)*0.475*44/12</f>
        <v>5.2242633931041347</v>
      </c>
      <c r="BR59" s="21">
        <f>EXP(-LN(2)/2)*BR58+(1-EXP(-LN(2)/2))/(LN(2)/2)*BL59*BO59*VLOOKUP('Données projet'!$B$11,Paramètres!$A$1:$I$89,3,0)*0.475*44/12</f>
        <v>7.7221392196124303E-5</v>
      </c>
      <c r="BS59" s="22">
        <f t="shared" si="9"/>
        <v>37.777829836591799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7">
        <f t="shared" si="1"/>
        <v>183.33333333333334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112.82287576550925</v>
      </c>
      <c r="T60" s="59">
        <f t="shared" si="34"/>
        <v>317.78570695363294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28.90092794511796</v>
      </c>
      <c r="AA60" s="21">
        <f>EXP(-LN(2)/25)*AA59+(1-EXP(-LN(2)/25))/(LN(2)/25)*Calculateur!V60*Calculateur!X60*VLOOKUP('Données projet'!$B$9,Paramètres!$A$1:$I$89,3,0)*0.475*44/12</f>
        <v>4.6014951036093557</v>
      </c>
      <c r="AB60" s="21">
        <f>EXP(-LN(2)/2)*AB59+(1-EXP(-LN(2)/2))/(LN(2)/2)*V60*Y60*VLOOKUP('Données projet'!$B$9,Paramètres!$A$1:$I$89,3,0)*0.475*44/12</f>
        <v>4.9446747345282794E-5</v>
      </c>
      <c r="AC60" s="22">
        <f t="shared" si="3"/>
        <v>33.502472495474663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>
        <f>AI60*VLOOKUP('Données projet'!$B$10,Paramètres!$A$1:$I$89,3,0)*VLOOKUP('Données projet'!$B$10,Paramètres!$A$1:$I$89,5,0)</f>
        <v>0</v>
      </c>
      <c r="AK60" s="13" t="e">
        <f t="shared" si="35"/>
        <v>#NUM!</v>
      </c>
      <c r="AL60" s="20" t="e">
        <f t="shared" si="4"/>
        <v>#NUM!</v>
      </c>
      <c r="AM60" s="59" t="e">
        <f t="shared" si="5"/>
        <v>#NUM!</v>
      </c>
      <c r="AN60" s="59">
        <f ca="1">AVERAGE(OFFSET($AM$3,0,0,'Données projet'!$E$10+1,1))-AVERAGE(OFFSET($H$3,0,0,'Données projet'!$E$10+1,1))</f>
        <v>123.44750406183283</v>
      </c>
      <c r="AO60" s="59">
        <f t="shared" si="36"/>
        <v>346.72009411328929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31.915135154118019</v>
      </c>
      <c r="AV60" s="21">
        <f>EXP(-LN(2)/25)*AV59+(1-EXP(-LN(2)/25))/(LN(2)/25)*Calculateur!AQ60*Calculateur!AS60*VLOOKUP('Données projet'!$B$10,Paramètres!$A$1:$I$89,3,0)*0.475*44/12</f>
        <v>5.0814056358876307</v>
      </c>
      <c r="AW60" s="21">
        <f>EXP(-LN(2)/2)*AW59+(1-EXP(-LN(2)/2))/(LN(2)/2)*AQ60*AT60*VLOOKUP('Données projet'!$B$10,Paramètres!$A$1:$I$89,3,0)*0.475*44/12</f>
        <v>5.4603770074545437E-5</v>
      </c>
      <c r="AX60" s="21">
        <f t="shared" si="6"/>
        <v>36.996595393775728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>
        <f>BD60*VLOOKUP('Données projet'!$B$11,Paramètres!$A$1:$I$89,3,0)*VLOOKUP('Données projet'!$B$11,Paramètres!$A$1:$I$89,5,0)</f>
        <v>0</v>
      </c>
      <c r="BF60" s="13" t="e">
        <f t="shared" si="37"/>
        <v>#NUM!</v>
      </c>
      <c r="BG60" s="20" t="e">
        <f t="shared" si="7"/>
        <v>#NUM!</v>
      </c>
      <c r="BH60" s="59" t="e">
        <f t="shared" si="8"/>
        <v>#NUM!</v>
      </c>
      <c r="BI60" s="59">
        <f ca="1">AVERAGE(OFFSET($BH$3,0,0,'Données projet'!$E$11+1,1))-AVERAGE(OFFSET($H$3,0,0,'Données projet'!$E$11+1,1))</f>
        <v>123.44750406183283</v>
      </c>
      <c r="BJ60" s="59">
        <f t="shared" si="38"/>
        <v>346.72009411328929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31.915135154118019</v>
      </c>
      <c r="BQ60" s="21">
        <f>EXP(-LN(2)/25)*BQ59+(1-EXP(-LN(2)/25))/(LN(2)/25)*Calculateur!BL60*Calculateur!BN60*VLOOKUP('Données projet'!$B$11,Paramètres!$A$1:$I$89,3,0)*0.475*44/12</f>
        <v>5.0814056358876307</v>
      </c>
      <c r="BR60" s="21">
        <f>EXP(-LN(2)/2)*BR59+(1-EXP(-LN(2)/2))/(LN(2)/2)*BL60*BO60*VLOOKUP('Données projet'!$B$11,Paramètres!$A$1:$I$89,3,0)*0.475*44/12</f>
        <v>5.4603770074545437E-5</v>
      </c>
      <c r="BS60" s="22">
        <f t="shared" si="9"/>
        <v>36.996595393775728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7">
        <f t="shared" si="1"/>
        <v>183.33333333333334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112.82287576550925</v>
      </c>
      <c r="T61" s="59">
        <f t="shared" si="34"/>
        <v>317.78570695363294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28.334198375939639</v>
      </c>
      <c r="AA61" s="21">
        <f>EXP(-LN(2)/25)*AA60+(1-EXP(-LN(2)/25))/(LN(2)/25)*Calculateur!V61*Calculateur!X61*VLOOKUP('Données projet'!$B$9,Paramètres!$A$1:$I$89,3,0)*0.475*44/12</f>
        <v>4.4756669780190474</v>
      </c>
      <c r="AB61" s="21">
        <f>EXP(-LN(2)/2)*AB60+(1-EXP(-LN(2)/2))/(LN(2)/2)*V61*Y61*VLOOKUP('Données projet'!$B$9,Paramètres!$A$1:$I$89,3,0)*0.475*44/12</f>
        <v>3.496413035546738E-5</v>
      </c>
      <c r="AC61" s="22">
        <f t="shared" si="3"/>
        <v>32.809900318089042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>
        <f>AI61*VLOOKUP('Données projet'!$B$10,Paramètres!$A$1:$I$89,3,0)*VLOOKUP('Données projet'!$B$10,Paramètres!$A$1:$I$89,5,0)</f>
        <v>0</v>
      </c>
      <c r="AK61" s="13" t="e">
        <f t="shared" si="35"/>
        <v>#NUM!</v>
      </c>
      <c r="AL61" s="20" t="e">
        <f t="shared" si="4"/>
        <v>#NUM!</v>
      </c>
      <c r="AM61" s="59" t="e">
        <f t="shared" si="5"/>
        <v>#NUM!</v>
      </c>
      <c r="AN61" s="59">
        <f ca="1">AVERAGE(OFFSET($AM$3,0,0,'Données projet'!$E$10+1,1))-AVERAGE(OFFSET($H$3,0,0,'Données projet'!$E$10+1,1))</f>
        <v>123.44750406183283</v>
      </c>
      <c r="AO61" s="59">
        <f t="shared" si="36"/>
        <v>346.72009411328929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31.289298820056072</v>
      </c>
      <c r="AV61" s="21">
        <f>EXP(-LN(2)/25)*AV60+(1-EXP(-LN(2)/25))/(LN(2)/25)*Calculateur!AQ61*Calculateur!AS61*VLOOKUP('Données projet'!$B$10,Paramètres!$A$1:$I$89,3,0)*0.475*44/12</f>
        <v>4.9424543315547744</v>
      </c>
      <c r="AW61" s="21">
        <f>EXP(-LN(2)/2)*AW60+(1-EXP(-LN(2)/2))/(LN(2)/2)*AQ61*AT61*VLOOKUP('Données projet'!$B$10,Paramètres!$A$1:$I$89,3,0)*0.475*44/12</f>
        <v>3.8610696098062151E-5</v>
      </c>
      <c r="AX61" s="21">
        <f t="shared" si="6"/>
        <v>36.231791762306941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>
        <f>BD61*VLOOKUP('Données projet'!$B$11,Paramètres!$A$1:$I$89,3,0)*VLOOKUP('Données projet'!$B$11,Paramètres!$A$1:$I$89,5,0)</f>
        <v>0</v>
      </c>
      <c r="BF61" s="13" t="e">
        <f t="shared" si="37"/>
        <v>#NUM!</v>
      </c>
      <c r="BG61" s="20" t="e">
        <f t="shared" si="7"/>
        <v>#NUM!</v>
      </c>
      <c r="BH61" s="59" t="e">
        <f t="shared" si="8"/>
        <v>#NUM!</v>
      </c>
      <c r="BI61" s="59">
        <f ca="1">AVERAGE(OFFSET($BH$3,0,0,'Données projet'!$E$11+1,1))-AVERAGE(OFFSET($H$3,0,0,'Données projet'!$E$11+1,1))</f>
        <v>123.44750406183283</v>
      </c>
      <c r="BJ61" s="59">
        <f t="shared" si="38"/>
        <v>346.72009411328929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31.289298820056072</v>
      </c>
      <c r="BQ61" s="21">
        <f>EXP(-LN(2)/25)*BQ60+(1-EXP(-LN(2)/25))/(LN(2)/25)*Calculateur!BL61*Calculateur!BN61*VLOOKUP('Données projet'!$B$11,Paramètres!$A$1:$I$89,3,0)*0.475*44/12</f>
        <v>4.9424543315547744</v>
      </c>
      <c r="BR61" s="21">
        <f>EXP(-LN(2)/2)*BR60+(1-EXP(-LN(2)/2))/(LN(2)/2)*BL61*BO61*VLOOKUP('Données projet'!$B$11,Paramètres!$A$1:$I$89,3,0)*0.475*44/12</f>
        <v>3.8610696098062151E-5</v>
      </c>
      <c r="BS61" s="22">
        <f t="shared" si="9"/>
        <v>36.231791762306941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7">
        <f t="shared" si="1"/>
        <v>183.33333333333334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112.82287576550925</v>
      </c>
      <c r="T62" s="59">
        <f t="shared" si="34"/>
        <v>317.78570695363294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27.778582027942001</v>
      </c>
      <c r="AA62" s="21">
        <f>EXP(-LN(2)/25)*AA61+(1-EXP(-LN(2)/25))/(LN(2)/25)*Calculateur!V62*Calculateur!X62*VLOOKUP('Données projet'!$B$9,Paramètres!$A$1:$I$89,3,0)*0.475*44/12</f>
        <v>4.3532796291400198</v>
      </c>
      <c r="AB62" s="21">
        <f>EXP(-LN(2)/2)*AB61+(1-EXP(-LN(2)/2))/(LN(2)/2)*V62*Y62*VLOOKUP('Données projet'!$B$9,Paramètres!$A$1:$I$89,3,0)*0.475*44/12</f>
        <v>2.4723373672641397E-5</v>
      </c>
      <c r="AC62" s="22">
        <f t="shared" si="3"/>
        <v>32.13188638045569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>
        <f>AI62*VLOOKUP('Données projet'!$B$10,Paramètres!$A$1:$I$89,3,0)*VLOOKUP('Données projet'!$B$10,Paramètres!$A$1:$I$89,5,0)</f>
        <v>0</v>
      </c>
      <c r="AK62" s="13" t="e">
        <f t="shared" si="35"/>
        <v>#NUM!</v>
      </c>
      <c r="AL62" s="20" t="e">
        <f t="shared" si="4"/>
        <v>#NUM!</v>
      </c>
      <c r="AM62" s="59" t="e">
        <f t="shared" si="5"/>
        <v>#NUM!</v>
      </c>
      <c r="AN62" s="59">
        <f ca="1">AVERAGE(OFFSET($AM$3,0,0,'Données projet'!$E$10+1,1))-AVERAGE(OFFSET($H$3,0,0,'Données projet'!$E$10+1,1))</f>
        <v>123.44750406183283</v>
      </c>
      <c r="AO62" s="59">
        <f t="shared" si="36"/>
        <v>346.72009411328929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30.675734754782606</v>
      </c>
      <c r="AV62" s="21">
        <f>EXP(-LN(2)/25)*AV61+(1-EXP(-LN(2)/25))/(LN(2)/25)*Calculateur!AQ62*Calculateur!AS62*VLOOKUP('Données projet'!$B$10,Paramètres!$A$1:$I$89,3,0)*0.475*44/12</f>
        <v>4.8073026579460318</v>
      </c>
      <c r="AW62" s="21">
        <f>EXP(-LN(2)/2)*AW61+(1-EXP(-LN(2)/2))/(LN(2)/2)*AQ62*AT62*VLOOKUP('Données projet'!$B$10,Paramètres!$A$1:$I$89,3,0)*0.475*44/12</f>
        <v>2.7301885037272718E-5</v>
      </c>
      <c r="AX62" s="21">
        <f t="shared" si="6"/>
        <v>35.483064714613676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>
        <f>BD62*VLOOKUP('Données projet'!$B$11,Paramètres!$A$1:$I$89,3,0)*VLOOKUP('Données projet'!$B$11,Paramètres!$A$1:$I$89,5,0)</f>
        <v>0</v>
      </c>
      <c r="BF62" s="13" t="e">
        <f t="shared" si="37"/>
        <v>#NUM!</v>
      </c>
      <c r="BG62" s="20" t="e">
        <f t="shared" si="7"/>
        <v>#NUM!</v>
      </c>
      <c r="BH62" s="59" t="e">
        <f t="shared" si="8"/>
        <v>#NUM!</v>
      </c>
      <c r="BI62" s="59">
        <f ca="1">AVERAGE(OFFSET($BH$3,0,0,'Données projet'!$E$11+1,1))-AVERAGE(OFFSET($H$3,0,0,'Données projet'!$E$11+1,1))</f>
        <v>123.44750406183283</v>
      </c>
      <c r="BJ62" s="59">
        <f t="shared" si="38"/>
        <v>346.72009411328929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30.675734754782606</v>
      </c>
      <c r="BQ62" s="21">
        <f>EXP(-LN(2)/25)*BQ61+(1-EXP(-LN(2)/25))/(LN(2)/25)*Calculateur!BL62*Calculateur!BN62*VLOOKUP('Données projet'!$B$11,Paramètres!$A$1:$I$89,3,0)*0.475*44/12</f>
        <v>4.8073026579460318</v>
      </c>
      <c r="BR62" s="21">
        <f>EXP(-LN(2)/2)*BR61+(1-EXP(-LN(2)/2))/(LN(2)/2)*BL62*BO62*VLOOKUP('Données projet'!$B$11,Paramètres!$A$1:$I$89,3,0)*0.475*44/12</f>
        <v>2.7301885037272718E-5</v>
      </c>
      <c r="BS62" s="22">
        <f t="shared" si="9"/>
        <v>35.483064714613676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7">
        <f t="shared" si="1"/>
        <v>183.33333333333334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112.82287576550925</v>
      </c>
      <c r="T63" s="59">
        <f t="shared" si="34"/>
        <v>317.78570695363294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27.233860977636088</v>
      </c>
      <c r="AA63" s="21">
        <f>EXP(-LN(2)/25)*AA62+(1-EXP(-LN(2)/25))/(LN(2)/25)*Calculateur!V63*Calculateur!X63*VLOOKUP('Données projet'!$B$9,Paramètres!$A$1:$I$89,3,0)*0.475*44/12</f>
        <v>4.2342389687521598</v>
      </c>
      <c r="AB63" s="21">
        <f>EXP(-LN(2)/2)*AB62+(1-EXP(-LN(2)/2))/(LN(2)/2)*V63*Y63*VLOOKUP('Données projet'!$B$9,Paramètres!$A$1:$I$89,3,0)*0.475*44/12</f>
        <v>1.748206517773369E-5</v>
      </c>
      <c r="AC63" s="22">
        <f t="shared" si="3"/>
        <v>31.468117428453425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>
        <f>AI63*VLOOKUP('Données projet'!$B$10,Paramètres!$A$1:$I$89,3,0)*VLOOKUP('Données projet'!$B$10,Paramètres!$A$1:$I$89,5,0)</f>
        <v>0</v>
      </c>
      <c r="AK63" s="13" t="e">
        <f t="shared" si="35"/>
        <v>#NUM!</v>
      </c>
      <c r="AL63" s="20" t="e">
        <f t="shared" si="4"/>
        <v>#NUM!</v>
      </c>
      <c r="AM63" s="59" t="e">
        <f t="shared" si="5"/>
        <v>#NUM!</v>
      </c>
      <c r="AN63" s="59">
        <f ca="1">AVERAGE(OFFSET($AM$3,0,0,'Données projet'!$E$10+1,1))-AVERAGE(OFFSET($H$3,0,0,'Données projet'!$E$10+1,1))</f>
        <v>123.44750406183283</v>
      </c>
      <c r="AO63" s="59">
        <f t="shared" si="36"/>
        <v>346.72009411328929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30.074202306592028</v>
      </c>
      <c r="AV63" s="21">
        <f>EXP(-LN(2)/25)*AV62+(1-EXP(-LN(2)/25))/(LN(2)/25)*Calculateur!AQ63*Calculateur!AS63*VLOOKUP('Données projet'!$B$10,Paramètres!$A$1:$I$89,3,0)*0.475*44/12</f>
        <v>4.6758467139594382</v>
      </c>
      <c r="AW63" s="21">
        <f>EXP(-LN(2)/2)*AW62+(1-EXP(-LN(2)/2))/(LN(2)/2)*AQ63*AT63*VLOOKUP('Données projet'!$B$10,Paramètres!$A$1:$I$89,3,0)*0.475*44/12</f>
        <v>1.9305348049031076E-5</v>
      </c>
      <c r="AX63" s="21">
        <f t="shared" si="6"/>
        <v>34.750068325899512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>
        <f>BD63*VLOOKUP('Données projet'!$B$11,Paramètres!$A$1:$I$89,3,0)*VLOOKUP('Données projet'!$B$11,Paramètres!$A$1:$I$89,5,0)</f>
        <v>0</v>
      </c>
      <c r="BF63" s="13" t="e">
        <f t="shared" si="37"/>
        <v>#NUM!</v>
      </c>
      <c r="BG63" s="20" t="e">
        <f t="shared" si="7"/>
        <v>#NUM!</v>
      </c>
      <c r="BH63" s="59" t="e">
        <f t="shared" si="8"/>
        <v>#NUM!</v>
      </c>
      <c r="BI63" s="59">
        <f ca="1">AVERAGE(OFFSET($BH$3,0,0,'Données projet'!$E$11+1,1))-AVERAGE(OFFSET($H$3,0,0,'Données projet'!$E$11+1,1))</f>
        <v>123.44750406183283</v>
      </c>
      <c r="BJ63" s="59">
        <f t="shared" si="38"/>
        <v>346.72009411328929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30.074202306592028</v>
      </c>
      <c r="BQ63" s="21">
        <f>EXP(-LN(2)/25)*BQ62+(1-EXP(-LN(2)/25))/(LN(2)/25)*Calculateur!BL63*Calculateur!BN63*VLOOKUP('Données projet'!$B$11,Paramètres!$A$1:$I$89,3,0)*0.475*44/12</f>
        <v>4.6758467139594382</v>
      </c>
      <c r="BR63" s="21">
        <f>EXP(-LN(2)/2)*BR62+(1-EXP(-LN(2)/2))/(LN(2)/2)*BL63*BO63*VLOOKUP('Données projet'!$B$11,Paramètres!$A$1:$I$89,3,0)*0.475*44/12</f>
        <v>1.9305348049031076E-5</v>
      </c>
      <c r="BS63" s="22">
        <f t="shared" si="9"/>
        <v>34.750068325899512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7">
        <f t="shared" si="1"/>
        <v>183.33333333333334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112.82287576550925</v>
      </c>
      <c r="T64" s="59">
        <f t="shared" si="34"/>
        <v>317.78570695363294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26.699821574879639</v>
      </c>
      <c r="AA64" s="21">
        <f>EXP(-LN(2)/25)*AA63+(1-EXP(-LN(2)/25))/(LN(2)/25)*Calculateur!V64*Calculateur!X64*VLOOKUP('Données projet'!$B$9,Paramètres!$A$1:$I$89,3,0)*0.475*44/12</f>
        <v>4.1184534814826819</v>
      </c>
      <c r="AB64" s="21">
        <f>EXP(-LN(2)/2)*AB63+(1-EXP(-LN(2)/2))/(LN(2)/2)*V64*Y64*VLOOKUP('Données projet'!$B$9,Paramètres!$A$1:$I$89,3,0)*0.475*44/12</f>
        <v>1.2361686836320698E-5</v>
      </c>
      <c r="AC64" s="22">
        <f t="shared" si="3"/>
        <v>30.818287418049156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>
        <f>AI64*VLOOKUP('Données projet'!$B$10,Paramètres!$A$1:$I$89,3,0)*VLOOKUP('Données projet'!$B$10,Paramètres!$A$1:$I$89,5,0)</f>
        <v>0</v>
      </c>
      <c r="AK64" s="13" t="e">
        <f t="shared" si="35"/>
        <v>#NUM!</v>
      </c>
      <c r="AL64" s="20" t="e">
        <f t="shared" si="4"/>
        <v>#NUM!</v>
      </c>
      <c r="AM64" s="59" t="e">
        <f t="shared" si="5"/>
        <v>#NUM!</v>
      </c>
      <c r="AN64" s="59">
        <f ca="1">AVERAGE(OFFSET($AM$3,0,0,'Données projet'!$E$10+1,1))-AVERAGE(OFFSET($H$3,0,0,'Données projet'!$E$10+1,1))</f>
        <v>123.44750406183283</v>
      </c>
      <c r="AO64" s="59">
        <f t="shared" si="36"/>
        <v>346.72009411328929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29.4844655428119</v>
      </c>
      <c r="AV64" s="21">
        <f>EXP(-LN(2)/25)*AV63+(1-EXP(-LN(2)/25))/(LN(2)/25)*Calculateur!AQ64*Calculateur!AS64*VLOOKUP('Données projet'!$B$10,Paramètres!$A$1:$I$89,3,0)*0.475*44/12</f>
        <v>4.5479854396741253</v>
      </c>
      <c r="AW64" s="21">
        <f>EXP(-LN(2)/2)*AW63+(1-EXP(-LN(2)/2))/(LN(2)/2)*AQ64*AT64*VLOOKUP('Données projet'!$B$10,Paramètres!$A$1:$I$89,3,0)*0.475*44/12</f>
        <v>1.3650942518636359E-5</v>
      </c>
      <c r="AX64" s="21">
        <f t="shared" si="6"/>
        <v>34.032464633428546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>
        <f>BD64*VLOOKUP('Données projet'!$B$11,Paramètres!$A$1:$I$89,3,0)*VLOOKUP('Données projet'!$B$11,Paramètres!$A$1:$I$89,5,0)</f>
        <v>0</v>
      </c>
      <c r="BF64" s="13" t="e">
        <f t="shared" si="37"/>
        <v>#NUM!</v>
      </c>
      <c r="BG64" s="20" t="e">
        <f t="shared" si="7"/>
        <v>#NUM!</v>
      </c>
      <c r="BH64" s="59" t="e">
        <f t="shared" si="8"/>
        <v>#NUM!</v>
      </c>
      <c r="BI64" s="59">
        <f ca="1">AVERAGE(OFFSET($BH$3,0,0,'Données projet'!$E$11+1,1))-AVERAGE(OFFSET($H$3,0,0,'Données projet'!$E$11+1,1))</f>
        <v>123.44750406183283</v>
      </c>
      <c r="BJ64" s="59">
        <f t="shared" si="38"/>
        <v>346.72009411328929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29.4844655428119</v>
      </c>
      <c r="BQ64" s="21">
        <f>EXP(-LN(2)/25)*BQ63+(1-EXP(-LN(2)/25))/(LN(2)/25)*Calculateur!BL64*Calculateur!BN64*VLOOKUP('Données projet'!$B$11,Paramètres!$A$1:$I$89,3,0)*0.475*44/12</f>
        <v>4.5479854396741253</v>
      </c>
      <c r="BR64" s="21">
        <f>EXP(-LN(2)/2)*BR63+(1-EXP(-LN(2)/2))/(LN(2)/2)*BL64*BO64*VLOOKUP('Données projet'!$B$11,Paramètres!$A$1:$I$89,3,0)*0.475*44/12</f>
        <v>1.3650942518636359E-5</v>
      </c>
      <c r="BS64" s="22">
        <f t="shared" si="9"/>
        <v>34.032464633428546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7">
        <f t="shared" si="1"/>
        <v>183.33333333333334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112.82287576550925</v>
      </c>
      <c r="T65" s="59">
        <f t="shared" si="34"/>
        <v>317.78570695363294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26.176254359079373</v>
      </c>
      <c r="AA65" s="21">
        <f>EXP(-LN(2)/25)*AA64+(1-EXP(-LN(2)/25))/(LN(2)/25)*Calculateur!V65*Calculateur!X65*VLOOKUP('Données projet'!$B$9,Paramètres!$A$1:$I$89,3,0)*0.475*44/12</f>
        <v>4.0058341544514819</v>
      </c>
      <c r="AB65" s="21">
        <f>EXP(-LN(2)/2)*AB64+(1-EXP(-LN(2)/2))/(LN(2)/2)*V65*Y65*VLOOKUP('Données projet'!$B$9,Paramètres!$A$1:$I$89,3,0)*0.475*44/12</f>
        <v>8.7410325888668449E-6</v>
      </c>
      <c r="AC65" s="22">
        <f t="shared" si="3"/>
        <v>30.182097254563441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>
        <f>AI65*VLOOKUP('Données projet'!$B$10,Paramètres!$A$1:$I$89,3,0)*VLOOKUP('Données projet'!$B$10,Paramètres!$A$1:$I$89,5,0)</f>
        <v>0</v>
      </c>
      <c r="AK65" s="13" t="e">
        <f t="shared" si="35"/>
        <v>#NUM!</v>
      </c>
      <c r="AL65" s="20" t="e">
        <f t="shared" si="4"/>
        <v>#NUM!</v>
      </c>
      <c r="AM65" s="59" t="e">
        <f t="shared" si="5"/>
        <v>#NUM!</v>
      </c>
      <c r="AN65" s="59">
        <f ca="1">AVERAGE(OFFSET($AM$3,0,0,'Données projet'!$E$10+1,1))-AVERAGE(OFFSET($H$3,0,0,'Données projet'!$E$10+1,1))</f>
        <v>123.44750406183283</v>
      </c>
      <c r="AO65" s="59">
        <f t="shared" si="36"/>
        <v>346.72009411328929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28.906293157265594</v>
      </c>
      <c r="AV65" s="21">
        <f>EXP(-LN(2)/25)*AV64+(1-EXP(-LN(2)/25))/(LN(2)/25)*Calculateur!AQ65*Calculateur!AS65*VLOOKUP('Données projet'!$B$10,Paramètres!$A$1:$I$89,3,0)*0.475*44/12</f>
        <v>4.4236205386580769</v>
      </c>
      <c r="AW65" s="21">
        <f>EXP(-LN(2)/2)*AW64+(1-EXP(-LN(2)/2))/(LN(2)/2)*AQ65*AT65*VLOOKUP('Données projet'!$B$10,Paramètres!$A$1:$I$89,3,0)*0.475*44/12</f>
        <v>9.6526740245155379E-6</v>
      </c>
      <c r="AX65" s="21">
        <f t="shared" si="6"/>
        <v>33.329923348597696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>
        <f>BD65*VLOOKUP('Données projet'!$B$11,Paramètres!$A$1:$I$89,3,0)*VLOOKUP('Données projet'!$B$11,Paramètres!$A$1:$I$89,5,0)</f>
        <v>0</v>
      </c>
      <c r="BF65" s="13" t="e">
        <f t="shared" si="37"/>
        <v>#NUM!</v>
      </c>
      <c r="BG65" s="20" t="e">
        <f t="shared" si="7"/>
        <v>#NUM!</v>
      </c>
      <c r="BH65" s="59" t="e">
        <f t="shared" si="8"/>
        <v>#NUM!</v>
      </c>
      <c r="BI65" s="59">
        <f ca="1">AVERAGE(OFFSET($BH$3,0,0,'Données projet'!$E$11+1,1))-AVERAGE(OFFSET($H$3,0,0,'Données projet'!$E$11+1,1))</f>
        <v>123.44750406183283</v>
      </c>
      <c r="BJ65" s="59">
        <f t="shared" si="38"/>
        <v>346.72009411328929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28.906293157265594</v>
      </c>
      <c r="BQ65" s="21">
        <f>EXP(-LN(2)/25)*BQ64+(1-EXP(-LN(2)/25))/(LN(2)/25)*Calculateur!BL65*Calculateur!BN65*VLOOKUP('Données projet'!$B$11,Paramètres!$A$1:$I$89,3,0)*0.475*44/12</f>
        <v>4.4236205386580769</v>
      </c>
      <c r="BR65" s="21">
        <f>EXP(-LN(2)/2)*BR64+(1-EXP(-LN(2)/2))/(LN(2)/2)*BL65*BO65*VLOOKUP('Données projet'!$B$11,Paramètres!$A$1:$I$89,3,0)*0.475*44/12</f>
        <v>9.6526740245155379E-6</v>
      </c>
      <c r="BS65" s="22">
        <f t="shared" si="9"/>
        <v>33.329923348597696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7">
        <f t="shared" si="1"/>
        <v>183.33333333333334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112.82287576550925</v>
      </c>
      <c r="T66" s="59">
        <f t="shared" si="34"/>
        <v>317.78570695363294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25.66295397703648</v>
      </c>
      <c r="AA66" s="21">
        <f>EXP(-LN(2)/25)*AA65+(1-EXP(-LN(2)/25))/(LN(2)/25)*Calculateur!V66*Calculateur!X66*VLOOKUP('Données projet'!$B$9,Paramètres!$A$1:$I$89,3,0)*0.475*44/12</f>
        <v>3.8962944088403435</v>
      </c>
      <c r="AB66" s="21">
        <f>EXP(-LN(2)/2)*AB65+(1-EXP(-LN(2)/2))/(LN(2)/2)*V66*Y66*VLOOKUP('Données projet'!$B$9,Paramètres!$A$1:$I$89,3,0)*0.475*44/12</f>
        <v>6.1808434181603492E-6</v>
      </c>
      <c r="AC66" s="22">
        <f t="shared" si="3"/>
        <v>29.559254566720242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>
        <f>AI66*VLOOKUP('Données projet'!$B$10,Paramètres!$A$1:$I$89,3,0)*VLOOKUP('Données projet'!$B$10,Paramètres!$A$1:$I$89,5,0)</f>
        <v>0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123.44750406183283</v>
      </c>
      <c r="AO66" s="59">
        <f t="shared" si="36"/>
        <v>346.72009411328929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28.339458379549516</v>
      </c>
      <c r="AV66" s="21">
        <f>EXP(-LN(2)/25)*AV65+(1-EXP(-LN(2)/25))/(LN(2)/25)*Calculateur!AQ66*Calculateur!AS66*VLOOKUP('Données projet'!$B$10,Paramètres!$A$1:$I$89,3,0)*0.475*44/12</f>
        <v>4.3026564024003777</v>
      </c>
      <c r="AW66" s="21">
        <f>EXP(-LN(2)/2)*AW65+(1-EXP(-LN(2)/2))/(LN(2)/2)*AQ66*AT66*VLOOKUP('Données projet'!$B$10,Paramètres!$A$1:$I$89,3,0)*0.475*44/12</f>
        <v>6.8254712593181796E-6</v>
      </c>
      <c r="AX66" s="21">
        <f t="shared" si="6"/>
        <v>32.642121607421153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>
        <f>BD66*VLOOKUP('Données projet'!$B$11,Paramètres!$A$1:$I$89,3,0)*VLOOKUP('Données projet'!$B$11,Paramètres!$A$1:$I$89,5,0)</f>
        <v>0</v>
      </c>
      <c r="BF66" s="13" t="e">
        <f t="shared" si="37"/>
        <v>#NUM!</v>
      </c>
      <c r="BG66" s="20" t="e">
        <f t="shared" si="7"/>
        <v>#NUM!</v>
      </c>
      <c r="BH66" s="59" t="e">
        <f t="shared" si="8"/>
        <v>#NUM!</v>
      </c>
      <c r="BI66" s="59">
        <f ca="1">AVERAGE(OFFSET($BH$3,0,0,'Données projet'!$E$11+1,1))-AVERAGE(OFFSET($H$3,0,0,'Données projet'!$E$11+1,1))</f>
        <v>123.44750406183283</v>
      </c>
      <c r="BJ66" s="59">
        <f t="shared" si="38"/>
        <v>346.72009411328929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28.339458379549516</v>
      </c>
      <c r="BQ66" s="21">
        <f>EXP(-LN(2)/25)*BQ65+(1-EXP(-LN(2)/25))/(LN(2)/25)*Calculateur!BL66*Calculateur!BN66*VLOOKUP('Données projet'!$B$11,Paramètres!$A$1:$I$89,3,0)*0.475*44/12</f>
        <v>4.3026564024003777</v>
      </c>
      <c r="BR66" s="21">
        <f>EXP(-LN(2)/2)*BR65+(1-EXP(-LN(2)/2))/(LN(2)/2)*BL66*BO66*VLOOKUP('Données projet'!$B$11,Paramètres!$A$1:$I$89,3,0)*0.475*44/12</f>
        <v>6.8254712593181796E-6</v>
      </c>
      <c r="BS66" s="22">
        <f t="shared" si="9"/>
        <v>32.642121607421153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7">
        <f t="shared" si="1"/>
        <v>183.33333333333334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112.82287576550925</v>
      </c>
      <c r="T67" s="59">
        <f t="shared" si="34"/>
        <v>317.78570695363294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25.15971910240313</v>
      </c>
      <c r="AA67" s="21">
        <f>EXP(-LN(2)/25)*AA66+(1-EXP(-LN(2)/25))/(LN(2)/25)*Calculateur!V67*Calculateur!X67*VLOOKUP('Données projet'!$B$9,Paramètres!$A$1:$I$89,3,0)*0.475*44/12</f>
        <v>3.7897500333333864</v>
      </c>
      <c r="AB67" s="21">
        <f>EXP(-LN(2)/2)*AB66+(1-EXP(-LN(2)/2))/(LN(2)/2)*V67*Y67*VLOOKUP('Données projet'!$B$9,Paramètres!$A$1:$I$89,3,0)*0.475*44/12</f>
        <v>4.3705162944334225E-6</v>
      </c>
      <c r="AC67" s="22">
        <f t="shared" si="3"/>
        <v>28.949473506252811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>
        <f>AI67*VLOOKUP('Données projet'!$B$10,Paramètres!$A$1:$I$89,3,0)*VLOOKUP('Données projet'!$B$10,Paramètres!$A$1:$I$89,5,0)</f>
        <v>0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123.44750406183283</v>
      </c>
      <c r="AO67" s="59">
        <f t="shared" si="36"/>
        <v>346.72009411328929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27.783738886089374</v>
      </c>
      <c r="AV67" s="21">
        <f>EXP(-LN(2)/25)*AV66+(1-EXP(-LN(2)/25))/(LN(2)/25)*Calculateur!AQ67*Calculateur!AS67*VLOOKUP('Données projet'!$B$10,Paramètres!$A$1:$I$89,3,0)*0.475*44/12</f>
        <v>4.185000036809873</v>
      </c>
      <c r="AW67" s="21">
        <f>EXP(-LN(2)/2)*AW66+(1-EXP(-LN(2)/2))/(LN(2)/2)*AQ67*AT67*VLOOKUP('Données projet'!$B$10,Paramètres!$A$1:$I$89,3,0)*0.475*44/12</f>
        <v>4.8263370122577689E-6</v>
      </c>
      <c r="AX67" s="21">
        <f t="shared" si="6"/>
        <v>31.96874374923626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>
        <f>BD67*VLOOKUP('Données projet'!$B$11,Paramètres!$A$1:$I$89,3,0)*VLOOKUP('Données projet'!$B$11,Paramètres!$A$1:$I$89,5,0)</f>
        <v>0</v>
      </c>
      <c r="BF67" s="13" t="e">
        <f t="shared" si="37"/>
        <v>#NUM!</v>
      </c>
      <c r="BG67" s="20" t="e">
        <f t="shared" si="7"/>
        <v>#NUM!</v>
      </c>
      <c r="BH67" s="59" t="e">
        <f t="shared" si="8"/>
        <v>#NUM!</v>
      </c>
      <c r="BI67" s="59">
        <f ca="1">AVERAGE(OFFSET($BH$3,0,0,'Données projet'!$E$11+1,1))-AVERAGE(OFFSET($H$3,0,0,'Données projet'!$E$11+1,1))</f>
        <v>123.44750406183283</v>
      </c>
      <c r="BJ67" s="59">
        <f t="shared" si="38"/>
        <v>346.72009411328929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27.783738886089374</v>
      </c>
      <c r="BQ67" s="21">
        <f>EXP(-LN(2)/25)*BQ66+(1-EXP(-LN(2)/25))/(LN(2)/25)*Calculateur!BL67*Calculateur!BN67*VLOOKUP('Données projet'!$B$11,Paramètres!$A$1:$I$89,3,0)*0.475*44/12</f>
        <v>4.185000036809873</v>
      </c>
      <c r="BR67" s="21">
        <f>EXP(-LN(2)/2)*BR66+(1-EXP(-LN(2)/2))/(LN(2)/2)*BL67*BO67*VLOOKUP('Données projet'!$B$11,Paramètres!$A$1:$I$89,3,0)*0.475*44/12</f>
        <v>4.8263370122577689E-6</v>
      </c>
      <c r="BS67" s="22">
        <f t="shared" si="9"/>
        <v>31.96874374923626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7">
        <f t="shared" ref="H68:H131" si="56">(B68+E68+F68)*44/12+(C68+D68)*0.475*44/12</f>
        <v>183.33333333333334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112.82287576550925</v>
      </c>
      <c r="T68" s="59">
        <f t="shared" si="34"/>
        <v>317.78570695363294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24.666352356718374</v>
      </c>
      <c r="AA68" s="21">
        <f>EXP(-LN(2)/25)*AA67+(1-EXP(-LN(2)/25))/(LN(2)/25)*Calculateur!V68*Calculateur!X68*VLOOKUP('Données projet'!$B$9,Paramètres!$A$1:$I$89,3,0)*0.475*44/12</f>
        <v>3.6861191193775924</v>
      </c>
      <c r="AB68" s="21">
        <f>EXP(-LN(2)/2)*AB67+(1-EXP(-LN(2)/2))/(LN(2)/2)*V68*Y68*VLOOKUP('Données projet'!$B$9,Paramètres!$A$1:$I$89,3,0)*0.475*44/12</f>
        <v>3.0904217090801746E-6</v>
      </c>
      <c r="AC68" s="22">
        <f t="shared" ref="AC68:AC131" si="57">SUM(Z68:AB68)</f>
        <v>28.352474566517678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>
        <f>AI68*VLOOKUP('Données projet'!$B$10,Paramètres!$A$1:$I$89,3,0)*VLOOKUP('Données projet'!$B$10,Paramètres!$A$1:$I$89,5,0)</f>
        <v>0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123.44750406183283</v>
      </c>
      <c r="AO68" s="59">
        <f t="shared" si="36"/>
        <v>346.72009411328929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27.238916712940561</v>
      </c>
      <c r="AV68" s="21">
        <f>EXP(-LN(2)/25)*AV67+(1-EXP(-LN(2)/25))/(LN(2)/25)*Calculateur!AQ68*Calculateur!AS68*VLOOKUP('Données projet'!$B$10,Paramètres!$A$1:$I$89,3,0)*0.475*44/12</f>
        <v>4.0705609907237204</v>
      </c>
      <c r="AW68" s="21">
        <f>EXP(-LN(2)/2)*AW67+(1-EXP(-LN(2)/2))/(LN(2)/2)*AQ68*AT68*VLOOKUP('Données projet'!$B$10,Paramètres!$A$1:$I$89,3,0)*0.475*44/12</f>
        <v>3.4127356296590898E-6</v>
      </c>
      <c r="AX68" s="21">
        <f t="shared" ref="AX68:AX131" si="60">SUM(AU68:AW68)</f>
        <v>31.309481116399912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>
        <f>BD68*VLOOKUP('Données projet'!$B$11,Paramètres!$A$1:$I$89,3,0)*VLOOKUP('Données projet'!$B$11,Paramètres!$A$1:$I$89,5,0)</f>
        <v>0</v>
      </c>
      <c r="BF68" s="13" t="e">
        <f t="shared" si="37"/>
        <v>#NUM!</v>
      </c>
      <c r="BG68" s="20" t="e">
        <f t="shared" ref="BG68:BG131" si="61">(BE68+BF68)*0.475*44/12</f>
        <v>#NUM!</v>
      </c>
      <c r="BH68" s="59" t="e">
        <f t="shared" ref="BH68:BH131" si="62">BG68+(AY68+AZ68)*44/12</f>
        <v>#NUM!</v>
      </c>
      <c r="BI68" s="59">
        <f ca="1">AVERAGE(OFFSET($BH$3,0,0,'Données projet'!$E$11+1,1))-AVERAGE(OFFSET($H$3,0,0,'Données projet'!$E$11+1,1))</f>
        <v>123.44750406183283</v>
      </c>
      <c r="BJ68" s="59">
        <f t="shared" si="38"/>
        <v>346.72009411328929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27.238916712940561</v>
      </c>
      <c r="BQ68" s="21">
        <f>EXP(-LN(2)/25)*BQ67+(1-EXP(-LN(2)/25))/(LN(2)/25)*Calculateur!BL68*Calculateur!BN68*VLOOKUP('Données projet'!$B$11,Paramètres!$A$1:$I$89,3,0)*0.475*44/12</f>
        <v>4.0705609907237204</v>
      </c>
      <c r="BR68" s="21">
        <f>EXP(-LN(2)/2)*BR67+(1-EXP(-LN(2)/2))/(LN(2)/2)*BL68*BO68*VLOOKUP('Données projet'!$B$11,Paramètres!$A$1:$I$89,3,0)*0.475*44/12</f>
        <v>3.4127356296590898E-6</v>
      </c>
      <c r="BS68" s="22">
        <f t="shared" ref="BS68:BS131" si="63">SUM(BP68:BR68)</f>
        <v>31.309481116399912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7">
        <f t="shared" si="56"/>
        <v>183.33333333333334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112.82287576550925</v>
      </c>
      <c r="T69" s="59">
        <f t="shared" ref="T69:T132" si="88">$T$3</f>
        <v>317.78570695363294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24.182660231992493</v>
      </c>
      <c r="AA69" s="21">
        <f>EXP(-LN(2)/25)*AA68+(1-EXP(-LN(2)/25))/(LN(2)/25)*Calculateur!V69*Calculateur!X69*VLOOKUP('Données projet'!$B$9,Paramètres!$A$1:$I$89,3,0)*0.475*44/12</f>
        <v>3.5853219982136322</v>
      </c>
      <c r="AB69" s="21">
        <f>EXP(-LN(2)/2)*AB68+(1-EXP(-LN(2)/2))/(LN(2)/2)*V69*Y69*VLOOKUP('Données projet'!$B$9,Paramètres!$A$1:$I$89,3,0)*0.475*44/12</f>
        <v>2.1852581472167112E-6</v>
      </c>
      <c r="AC69" s="22">
        <f t="shared" si="57"/>
        <v>27.767984415464273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>
        <f>AI69*VLOOKUP('Données projet'!$B$10,Paramètres!$A$1:$I$89,3,0)*VLOOKUP('Données projet'!$B$10,Paramètres!$A$1:$I$89,5,0)</f>
        <v>0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123.44750406183283</v>
      </c>
      <c r="AO69" s="59">
        <f t="shared" ref="AO69:AO132" si="90">$AO$3</f>
        <v>346.72009411328929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26.704778170298486</v>
      </c>
      <c r="AV69" s="21">
        <f>EXP(-LN(2)/25)*AV68+(1-EXP(-LN(2)/25))/(LN(2)/25)*Calculateur!AQ69*Calculateur!AS69*VLOOKUP('Données projet'!$B$10,Paramètres!$A$1:$I$89,3,0)*0.475*44/12</f>
        <v>3.9592512863708813</v>
      </c>
      <c r="AW69" s="21">
        <f>EXP(-LN(2)/2)*AW68+(1-EXP(-LN(2)/2))/(LN(2)/2)*AQ69*AT69*VLOOKUP('Données projet'!$B$10,Paramètres!$A$1:$I$89,3,0)*0.475*44/12</f>
        <v>2.4131685061288845E-6</v>
      </c>
      <c r="AX69" s="21">
        <f t="shared" si="60"/>
        <v>30.664031869837874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>
        <f>BD69*VLOOKUP('Données projet'!$B$11,Paramètres!$A$1:$I$89,3,0)*VLOOKUP('Données projet'!$B$11,Paramètres!$A$1:$I$89,5,0)</f>
        <v>0</v>
      </c>
      <c r="BF69" s="13" t="e">
        <f t="shared" ref="BF69:BF132" si="91">EXP(-1.0587+0.8836*LN(BE69)+0.284)</f>
        <v>#NUM!</v>
      </c>
      <c r="BG69" s="20" t="e">
        <f t="shared" si="61"/>
        <v>#NUM!</v>
      </c>
      <c r="BH69" s="59" t="e">
        <f t="shared" si="62"/>
        <v>#NUM!</v>
      </c>
      <c r="BI69" s="59">
        <f ca="1">AVERAGE(OFFSET($BH$3,0,0,'Données projet'!$E$11+1,1))-AVERAGE(OFFSET($H$3,0,0,'Données projet'!$E$11+1,1))</f>
        <v>123.44750406183283</v>
      </c>
      <c r="BJ69" s="59">
        <f t="shared" ref="BJ69:BJ132" si="92">$BJ$3</f>
        <v>346.72009411328929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26.704778170298486</v>
      </c>
      <c r="BQ69" s="21">
        <f>EXP(-LN(2)/25)*BQ68+(1-EXP(-LN(2)/25))/(LN(2)/25)*Calculateur!BL69*Calculateur!BN69*VLOOKUP('Données projet'!$B$11,Paramètres!$A$1:$I$89,3,0)*0.475*44/12</f>
        <v>3.9592512863708813</v>
      </c>
      <c r="BR69" s="21">
        <f>EXP(-LN(2)/2)*BR68+(1-EXP(-LN(2)/2))/(LN(2)/2)*BL69*BO69*VLOOKUP('Données projet'!$B$11,Paramètres!$A$1:$I$89,3,0)*0.475*44/12</f>
        <v>2.4131685061288845E-6</v>
      </c>
      <c r="BS69" s="22">
        <f t="shared" si="63"/>
        <v>30.664031869837874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7">
        <f t="shared" si="56"/>
        <v>183.33333333333334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112.82287576550925</v>
      </c>
      <c r="T70" s="59">
        <f t="shared" si="88"/>
        <v>317.78570695363294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23.708453014809425</v>
      </c>
      <c r="AA70" s="21">
        <f>EXP(-LN(2)/25)*AA69+(1-EXP(-LN(2)/25))/(LN(2)/25)*Calculateur!V70*Calculateur!X70*VLOOKUP('Données projet'!$B$9,Paramètres!$A$1:$I$89,3,0)*0.475*44/12</f>
        <v>3.487281179628591</v>
      </c>
      <c r="AB70" s="21">
        <f>EXP(-LN(2)/2)*AB69+(1-EXP(-LN(2)/2))/(LN(2)/2)*V70*Y70*VLOOKUP('Données projet'!$B$9,Paramètres!$A$1:$I$89,3,0)*0.475*44/12</f>
        <v>1.5452108545400873E-6</v>
      </c>
      <c r="AC70" s="22">
        <f t="shared" si="57"/>
        <v>27.195735739648871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>
        <f>AI70*VLOOKUP('Données projet'!$B$10,Paramètres!$A$1:$I$89,3,0)*VLOOKUP('Données projet'!$B$10,Paramètres!$A$1:$I$89,5,0)</f>
        <v>0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123.44750406183283</v>
      </c>
      <c r="AO70" s="59">
        <f t="shared" si="90"/>
        <v>346.72009411328929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26.181113758685278</v>
      </c>
      <c r="AV70" s="21">
        <f>EXP(-LN(2)/25)*AV69+(1-EXP(-LN(2)/25))/(LN(2)/25)*Calculateur!AQ70*Calculateur!AS70*VLOOKUP('Données projet'!$B$10,Paramètres!$A$1:$I$89,3,0)*0.475*44/12</f>
        <v>3.8509853517370933</v>
      </c>
      <c r="AW70" s="21">
        <f>EXP(-LN(2)/2)*AW69+(1-EXP(-LN(2)/2))/(LN(2)/2)*AQ70*AT70*VLOOKUP('Données projet'!$B$10,Paramètres!$A$1:$I$89,3,0)*0.475*44/12</f>
        <v>1.7063678148295449E-6</v>
      </c>
      <c r="AX70" s="21">
        <f t="shared" si="60"/>
        <v>30.032100816790187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>
        <f>BD70*VLOOKUP('Données projet'!$B$11,Paramètres!$A$1:$I$89,3,0)*VLOOKUP('Données projet'!$B$11,Paramètres!$A$1:$I$89,5,0)</f>
        <v>0</v>
      </c>
      <c r="BF70" s="13" t="e">
        <f t="shared" si="91"/>
        <v>#NUM!</v>
      </c>
      <c r="BG70" s="20" t="e">
        <f t="shared" si="61"/>
        <v>#NUM!</v>
      </c>
      <c r="BH70" s="59" t="e">
        <f t="shared" si="62"/>
        <v>#NUM!</v>
      </c>
      <c r="BI70" s="59">
        <f ca="1">AVERAGE(OFFSET($BH$3,0,0,'Données projet'!$E$11+1,1))-AVERAGE(OFFSET($H$3,0,0,'Données projet'!$E$11+1,1))</f>
        <v>123.44750406183283</v>
      </c>
      <c r="BJ70" s="59">
        <f t="shared" si="92"/>
        <v>346.72009411328929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26.181113758685278</v>
      </c>
      <c r="BQ70" s="21">
        <f>EXP(-LN(2)/25)*BQ69+(1-EXP(-LN(2)/25))/(LN(2)/25)*Calculateur!BL70*Calculateur!BN70*VLOOKUP('Données projet'!$B$11,Paramètres!$A$1:$I$89,3,0)*0.475*44/12</f>
        <v>3.8509853517370933</v>
      </c>
      <c r="BR70" s="21">
        <f>EXP(-LN(2)/2)*BR69+(1-EXP(-LN(2)/2))/(LN(2)/2)*BL70*BO70*VLOOKUP('Données projet'!$B$11,Paramètres!$A$1:$I$89,3,0)*0.475*44/12</f>
        <v>1.7063678148295449E-6</v>
      </c>
      <c r="BS70" s="22">
        <f t="shared" si="63"/>
        <v>30.032100816790187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7">
        <f t="shared" si="56"/>
        <v>183.33333333333334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112.82287576550925</v>
      </c>
      <c r="T71" s="59">
        <f t="shared" si="88"/>
        <v>317.78570695363294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23.243544711917473</v>
      </c>
      <c r="AA71" s="21">
        <f>EXP(-LN(2)/25)*AA70+(1-EXP(-LN(2)/25))/(LN(2)/25)*Calculateur!V71*Calculateur!X71*VLOOKUP('Données projet'!$B$9,Paramètres!$A$1:$I$89,3,0)*0.475*44/12</f>
        <v>3.3919212923835</v>
      </c>
      <c r="AB71" s="21">
        <f>EXP(-LN(2)/2)*AB70+(1-EXP(-LN(2)/2))/(LN(2)/2)*V71*Y71*VLOOKUP('Données projet'!$B$9,Paramètres!$A$1:$I$89,3,0)*0.475*44/12</f>
        <v>1.0926290736083556E-6</v>
      </c>
      <c r="AC71" s="22">
        <f t="shared" si="57"/>
        <v>26.635467096930046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>
        <f>AI71*VLOOKUP('Données projet'!$B$10,Paramètres!$A$1:$I$89,3,0)*VLOOKUP('Données projet'!$B$10,Paramètres!$A$1:$I$89,5,0)</f>
        <v>0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123.44750406183283</v>
      </c>
      <c r="AO71" s="59">
        <f t="shared" si="90"/>
        <v>346.72009411328929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25.667718086780056</v>
      </c>
      <c r="AV71" s="21">
        <f>EXP(-LN(2)/25)*AV70+(1-EXP(-LN(2)/25))/(LN(2)/25)*Calculateur!AQ71*Calculateur!AS71*VLOOKUP('Données projet'!$B$10,Paramètres!$A$1:$I$89,3,0)*0.475*44/12</f>
        <v>3.7456799547793245</v>
      </c>
      <c r="AW71" s="21">
        <f>EXP(-LN(2)/2)*AW70+(1-EXP(-LN(2)/2))/(LN(2)/2)*AQ71*AT71*VLOOKUP('Données projet'!$B$10,Paramètres!$A$1:$I$89,3,0)*0.475*44/12</f>
        <v>1.2065842530644422E-6</v>
      </c>
      <c r="AX71" s="21">
        <f t="shared" si="60"/>
        <v>29.413399248143634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>
        <f>BD71*VLOOKUP('Données projet'!$B$11,Paramètres!$A$1:$I$89,3,0)*VLOOKUP('Données projet'!$B$11,Paramètres!$A$1:$I$89,5,0)</f>
        <v>0</v>
      </c>
      <c r="BF71" s="13" t="e">
        <f t="shared" si="91"/>
        <v>#NUM!</v>
      </c>
      <c r="BG71" s="20" t="e">
        <f t="shared" si="61"/>
        <v>#NUM!</v>
      </c>
      <c r="BH71" s="59" t="e">
        <f t="shared" si="62"/>
        <v>#NUM!</v>
      </c>
      <c r="BI71" s="59">
        <f ca="1">AVERAGE(OFFSET($BH$3,0,0,'Données projet'!$E$11+1,1))-AVERAGE(OFFSET($H$3,0,0,'Données projet'!$E$11+1,1))</f>
        <v>123.44750406183283</v>
      </c>
      <c r="BJ71" s="59">
        <f t="shared" si="92"/>
        <v>346.72009411328929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25.667718086780056</v>
      </c>
      <c r="BQ71" s="21">
        <f>EXP(-LN(2)/25)*BQ70+(1-EXP(-LN(2)/25))/(LN(2)/25)*Calculateur!BL71*Calculateur!BN71*VLOOKUP('Données projet'!$B$11,Paramètres!$A$1:$I$89,3,0)*0.475*44/12</f>
        <v>3.7456799547793245</v>
      </c>
      <c r="BR71" s="21">
        <f>EXP(-LN(2)/2)*BR70+(1-EXP(-LN(2)/2))/(LN(2)/2)*BL71*BO71*VLOOKUP('Données projet'!$B$11,Paramètres!$A$1:$I$89,3,0)*0.475*44/12</f>
        <v>1.2065842530644422E-6</v>
      </c>
      <c r="BS71" s="22">
        <f t="shared" si="63"/>
        <v>29.413399248143634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7">
        <f t="shared" si="56"/>
        <v>183.33333333333334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112.82287576550925</v>
      </c>
      <c r="T72" s="59">
        <f t="shared" si="88"/>
        <v>317.78570695363294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22.787752977279165</v>
      </c>
      <c r="AA72" s="21">
        <f>EXP(-LN(2)/25)*AA71+(1-EXP(-LN(2)/25))/(LN(2)/25)*Calculateur!V72*Calculateur!X72*VLOOKUP('Données projet'!$B$9,Paramètres!$A$1:$I$89,3,0)*0.475*44/12</f>
        <v>3.299169026269885</v>
      </c>
      <c r="AB72" s="21">
        <f>EXP(-LN(2)/2)*AB71+(1-EXP(-LN(2)/2))/(LN(2)/2)*V72*Y72*VLOOKUP('Données projet'!$B$9,Paramètres!$A$1:$I$89,3,0)*0.475*44/12</f>
        <v>7.7260542727004365E-7</v>
      </c>
      <c r="AC72" s="22">
        <f t="shared" si="57"/>
        <v>26.086922776154477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>
        <f>AI72*VLOOKUP('Données projet'!$B$10,Paramètres!$A$1:$I$89,3,0)*VLOOKUP('Données projet'!$B$10,Paramètres!$A$1:$I$89,5,0)</f>
        <v>0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123.44750406183283</v>
      </c>
      <c r="AO72" s="59">
        <f t="shared" si="90"/>
        <v>346.72009411328929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25.164389790860454</v>
      </c>
      <c r="AV72" s="21">
        <f>EXP(-LN(2)/25)*AV71+(1-EXP(-LN(2)/25))/(LN(2)/25)*Calculateur!AQ72*Calculateur!AS72*VLOOKUP('Données projet'!$B$10,Paramètres!$A$1:$I$89,3,0)*0.475*44/12</f>
        <v>3.643254139439136</v>
      </c>
      <c r="AW72" s="21">
        <f>EXP(-LN(2)/2)*AW71+(1-EXP(-LN(2)/2))/(LN(2)/2)*AQ72*AT72*VLOOKUP('Données projet'!$B$10,Paramètres!$A$1:$I$89,3,0)*0.475*44/12</f>
        <v>8.5318390741477245E-7</v>
      </c>
      <c r="AX72" s="21">
        <f t="shared" si="60"/>
        <v>28.807644783483497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>
        <f>BD72*VLOOKUP('Données projet'!$B$11,Paramètres!$A$1:$I$89,3,0)*VLOOKUP('Données projet'!$B$11,Paramètres!$A$1:$I$89,5,0)</f>
        <v>0</v>
      </c>
      <c r="BF72" s="13" t="e">
        <f t="shared" si="91"/>
        <v>#NUM!</v>
      </c>
      <c r="BG72" s="20" t="e">
        <f t="shared" si="61"/>
        <v>#NUM!</v>
      </c>
      <c r="BH72" s="59" t="e">
        <f t="shared" si="62"/>
        <v>#NUM!</v>
      </c>
      <c r="BI72" s="59">
        <f ca="1">AVERAGE(OFFSET($BH$3,0,0,'Données projet'!$E$11+1,1))-AVERAGE(OFFSET($H$3,0,0,'Données projet'!$E$11+1,1))</f>
        <v>123.44750406183283</v>
      </c>
      <c r="BJ72" s="59">
        <f t="shared" si="92"/>
        <v>346.72009411328929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25.164389790860454</v>
      </c>
      <c r="BQ72" s="21">
        <f>EXP(-LN(2)/25)*BQ71+(1-EXP(-LN(2)/25))/(LN(2)/25)*Calculateur!BL72*Calculateur!BN72*VLOOKUP('Données projet'!$B$11,Paramètres!$A$1:$I$89,3,0)*0.475*44/12</f>
        <v>3.643254139439136</v>
      </c>
      <c r="BR72" s="21">
        <f>EXP(-LN(2)/2)*BR71+(1-EXP(-LN(2)/2))/(LN(2)/2)*BL72*BO72*VLOOKUP('Données projet'!$B$11,Paramètres!$A$1:$I$89,3,0)*0.475*44/12</f>
        <v>8.5318390741477245E-7</v>
      </c>
      <c r="BS72" s="22">
        <f t="shared" si="63"/>
        <v>28.807644783483497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7">
        <f t="shared" si="56"/>
        <v>183.33333333333334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112.82287576550925</v>
      </c>
      <c r="T73" s="59">
        <f t="shared" si="88"/>
        <v>317.78570695363294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22.340899040551609</v>
      </c>
      <c r="AA73" s="21">
        <f>EXP(-LN(2)/25)*AA72+(1-EXP(-LN(2)/25))/(LN(2)/25)*Calculateur!V73*Calculateur!X73*VLOOKUP('Données projet'!$B$9,Paramètres!$A$1:$I$89,3,0)*0.475*44/12</f>
        <v>3.208953075750776</v>
      </c>
      <c r="AB73" s="21">
        <f>EXP(-LN(2)/2)*AB72+(1-EXP(-LN(2)/2))/(LN(2)/2)*V73*Y73*VLOOKUP('Données projet'!$B$9,Paramètres!$A$1:$I$89,3,0)*0.475*44/12</f>
        <v>5.4631453680417781E-7</v>
      </c>
      <c r="AC73" s="22">
        <f t="shared" si="57"/>
        <v>25.549852662616924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>
        <f>AI73*VLOOKUP('Données projet'!$B$10,Paramètres!$A$1:$I$89,3,0)*VLOOKUP('Données projet'!$B$10,Paramètres!$A$1:$I$89,5,0)</f>
        <v>0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123.44750406183283</v>
      </c>
      <c r="AO73" s="59">
        <f t="shared" si="90"/>
        <v>346.72009411328929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24.67093145582389</v>
      </c>
      <c r="AV73" s="21">
        <f>EXP(-LN(2)/25)*AV72+(1-EXP(-LN(2)/25))/(LN(2)/25)*Calculateur!AQ73*Calculateur!AS73*VLOOKUP('Données projet'!$B$10,Paramètres!$A$1:$I$89,3,0)*0.475*44/12</f>
        <v>3.5436291634057646</v>
      </c>
      <c r="AW73" s="21">
        <f>EXP(-LN(2)/2)*AW72+(1-EXP(-LN(2)/2))/(LN(2)/2)*AQ73*AT73*VLOOKUP('Données projet'!$B$10,Paramètres!$A$1:$I$89,3,0)*0.475*44/12</f>
        <v>6.0329212653222112E-7</v>
      </c>
      <c r="AX73" s="21">
        <f t="shared" si="60"/>
        <v>28.21456122252178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>
        <f>BD73*VLOOKUP('Données projet'!$B$11,Paramètres!$A$1:$I$89,3,0)*VLOOKUP('Données projet'!$B$11,Paramètres!$A$1:$I$89,5,0)</f>
        <v>0</v>
      </c>
      <c r="BF73" s="13" t="e">
        <f t="shared" si="91"/>
        <v>#NUM!</v>
      </c>
      <c r="BG73" s="20" t="e">
        <f t="shared" si="61"/>
        <v>#NUM!</v>
      </c>
      <c r="BH73" s="59" t="e">
        <f t="shared" si="62"/>
        <v>#NUM!</v>
      </c>
      <c r="BI73" s="59">
        <f ca="1">AVERAGE(OFFSET($BH$3,0,0,'Données projet'!$E$11+1,1))-AVERAGE(OFFSET($H$3,0,0,'Données projet'!$E$11+1,1))</f>
        <v>123.44750406183283</v>
      </c>
      <c r="BJ73" s="59">
        <f t="shared" si="92"/>
        <v>346.72009411328929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24.67093145582389</v>
      </c>
      <c r="BQ73" s="21">
        <f>EXP(-LN(2)/25)*BQ72+(1-EXP(-LN(2)/25))/(LN(2)/25)*Calculateur!BL73*Calculateur!BN73*VLOOKUP('Données projet'!$B$11,Paramètres!$A$1:$I$89,3,0)*0.475*44/12</f>
        <v>3.5436291634057646</v>
      </c>
      <c r="BR73" s="21">
        <f>EXP(-LN(2)/2)*BR72+(1-EXP(-LN(2)/2))/(LN(2)/2)*BL73*BO73*VLOOKUP('Données projet'!$B$11,Paramètres!$A$1:$I$89,3,0)*0.475*44/12</f>
        <v>6.0329212653222112E-7</v>
      </c>
      <c r="BS73" s="22">
        <f t="shared" si="63"/>
        <v>28.21456122252178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7">
        <f t="shared" si="56"/>
        <v>183.33333333333334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112.82287576550925</v>
      </c>
      <c r="T74" s="59">
        <f t="shared" si="88"/>
        <v>317.78570695363294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21.902807636969293</v>
      </c>
      <c r="AA74" s="21">
        <f>EXP(-LN(2)/25)*AA73+(1-EXP(-LN(2)/25))/(LN(2)/25)*Calculateur!V74*Calculateur!X74*VLOOKUP('Données projet'!$B$9,Paramètres!$A$1:$I$89,3,0)*0.475*44/12</f>
        <v>3.1212040851428631</v>
      </c>
      <c r="AB74" s="21">
        <f>EXP(-LN(2)/2)*AB73+(1-EXP(-LN(2)/2))/(LN(2)/2)*V74*Y74*VLOOKUP('Données projet'!$B$9,Paramètres!$A$1:$I$89,3,0)*0.475*44/12</f>
        <v>3.8630271363502182E-7</v>
      </c>
      <c r="AC74" s="22">
        <f t="shared" si="57"/>
        <v>25.024012108414869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>
        <f>AI74*VLOOKUP('Données projet'!$B$10,Paramètres!$A$1:$I$89,3,0)*VLOOKUP('Données projet'!$B$10,Paramètres!$A$1:$I$89,5,0)</f>
        <v>0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123.44750406183283</v>
      </c>
      <c r="AO74" s="59">
        <f t="shared" si="90"/>
        <v>346.72009411328929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24.187149537757527</v>
      </c>
      <c r="AV74" s="21">
        <f>EXP(-LN(2)/25)*AV73+(1-EXP(-LN(2)/25))/(LN(2)/25)*Calculateur!AQ74*Calculateur!AS74*VLOOKUP('Données projet'!$B$10,Paramètres!$A$1:$I$89,3,0)*0.475*44/12</f>
        <v>3.4467284375810752</v>
      </c>
      <c r="AW74" s="21">
        <f>EXP(-LN(2)/2)*AW73+(1-EXP(-LN(2)/2))/(LN(2)/2)*AQ74*AT74*VLOOKUP('Données projet'!$B$10,Paramètres!$A$1:$I$89,3,0)*0.475*44/12</f>
        <v>4.2659195370738623E-7</v>
      </c>
      <c r="AX74" s="21">
        <f t="shared" si="60"/>
        <v>27.633878401930556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>
        <f>BD74*VLOOKUP('Données projet'!$B$11,Paramètres!$A$1:$I$89,3,0)*VLOOKUP('Données projet'!$B$11,Paramètres!$A$1:$I$89,5,0)</f>
        <v>0</v>
      </c>
      <c r="BF74" s="13" t="e">
        <f t="shared" si="91"/>
        <v>#NUM!</v>
      </c>
      <c r="BG74" s="20" t="e">
        <f t="shared" si="61"/>
        <v>#NUM!</v>
      </c>
      <c r="BH74" s="59" t="e">
        <f t="shared" si="62"/>
        <v>#NUM!</v>
      </c>
      <c r="BI74" s="59">
        <f ca="1">AVERAGE(OFFSET($BH$3,0,0,'Données projet'!$E$11+1,1))-AVERAGE(OFFSET($H$3,0,0,'Données projet'!$E$11+1,1))</f>
        <v>123.44750406183283</v>
      </c>
      <c r="BJ74" s="59">
        <f t="shared" si="92"/>
        <v>346.72009411328929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24.187149537757527</v>
      </c>
      <c r="BQ74" s="21">
        <f>EXP(-LN(2)/25)*BQ73+(1-EXP(-LN(2)/25))/(LN(2)/25)*Calculateur!BL74*Calculateur!BN74*VLOOKUP('Données projet'!$B$11,Paramètres!$A$1:$I$89,3,0)*0.475*44/12</f>
        <v>3.4467284375810752</v>
      </c>
      <c r="BR74" s="21">
        <f>EXP(-LN(2)/2)*BR73+(1-EXP(-LN(2)/2))/(LN(2)/2)*BL74*BO74*VLOOKUP('Données projet'!$B$11,Paramètres!$A$1:$I$89,3,0)*0.475*44/12</f>
        <v>4.2659195370738623E-7</v>
      </c>
      <c r="BS74" s="22">
        <f t="shared" si="63"/>
        <v>27.633878401930556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7">
        <f t="shared" si="56"/>
        <v>183.33333333333334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112.82287576550925</v>
      </c>
      <c r="T75" s="59">
        <f t="shared" si="88"/>
        <v>317.78570695363294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21.473306938601851</v>
      </c>
      <c r="AA75" s="21">
        <f>EXP(-LN(2)/25)*AA74+(1-EXP(-LN(2)/25))/(LN(2)/25)*Calculateur!V75*Calculateur!X75*VLOOKUP('Données projet'!$B$9,Paramètres!$A$1:$I$89,3,0)*0.475*44/12</f>
        <v>3.0358545952976423</v>
      </c>
      <c r="AB75" s="21">
        <f>EXP(-LN(2)/2)*AB74+(1-EXP(-LN(2)/2))/(LN(2)/2)*V75*Y75*VLOOKUP('Données projet'!$B$9,Paramètres!$A$1:$I$89,3,0)*0.475*44/12</f>
        <v>2.731572684020889E-7</v>
      </c>
      <c r="AC75" s="22">
        <f t="shared" si="57"/>
        <v>24.509161807056763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>
        <f>AI75*VLOOKUP('Données projet'!$B$10,Paramètres!$A$1:$I$89,3,0)*VLOOKUP('Données projet'!$B$10,Paramètres!$A$1:$I$89,5,0)</f>
        <v>0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123.44750406183283</v>
      </c>
      <c r="AO75" s="59">
        <f t="shared" si="90"/>
        <v>346.72009411328929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23.712854288026612</v>
      </c>
      <c r="AV75" s="21">
        <f>EXP(-LN(2)/25)*AV74+(1-EXP(-LN(2)/25))/(LN(2)/25)*Calculateur!AQ75*Calculateur!AS75*VLOOKUP('Données projet'!$B$10,Paramètres!$A$1:$I$89,3,0)*0.475*44/12</f>
        <v>3.3524774671998498</v>
      </c>
      <c r="AW75" s="21">
        <f>EXP(-LN(2)/2)*AW74+(1-EXP(-LN(2)/2))/(LN(2)/2)*AQ75*AT75*VLOOKUP('Données projet'!$B$10,Paramètres!$A$1:$I$89,3,0)*0.475*44/12</f>
        <v>3.0164606326611056E-7</v>
      </c>
      <c r="AX75" s="21">
        <f t="shared" si="60"/>
        <v>27.065332056872528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>
        <f>BD75*VLOOKUP('Données projet'!$B$11,Paramètres!$A$1:$I$89,3,0)*VLOOKUP('Données projet'!$B$11,Paramètres!$A$1:$I$89,5,0)</f>
        <v>0</v>
      </c>
      <c r="BF75" s="13" t="e">
        <f t="shared" si="91"/>
        <v>#NUM!</v>
      </c>
      <c r="BG75" s="20" t="e">
        <f t="shared" si="61"/>
        <v>#NUM!</v>
      </c>
      <c r="BH75" s="59" t="e">
        <f t="shared" si="62"/>
        <v>#NUM!</v>
      </c>
      <c r="BI75" s="59">
        <f ca="1">AVERAGE(OFFSET($BH$3,0,0,'Données projet'!$E$11+1,1))-AVERAGE(OFFSET($H$3,0,0,'Données projet'!$E$11+1,1))</f>
        <v>123.44750406183283</v>
      </c>
      <c r="BJ75" s="59">
        <f t="shared" si="92"/>
        <v>346.72009411328929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23.712854288026612</v>
      </c>
      <c r="BQ75" s="21">
        <f>EXP(-LN(2)/25)*BQ74+(1-EXP(-LN(2)/25))/(LN(2)/25)*Calculateur!BL75*Calculateur!BN75*VLOOKUP('Données projet'!$B$11,Paramètres!$A$1:$I$89,3,0)*0.475*44/12</f>
        <v>3.3524774671998498</v>
      </c>
      <c r="BR75" s="21">
        <f>EXP(-LN(2)/2)*BR74+(1-EXP(-LN(2)/2))/(LN(2)/2)*BL75*BO75*VLOOKUP('Données projet'!$B$11,Paramètres!$A$1:$I$89,3,0)*0.475*44/12</f>
        <v>3.0164606326611056E-7</v>
      </c>
      <c r="BS75" s="22">
        <f t="shared" si="63"/>
        <v>27.065332056872528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7">
        <f t="shared" si="56"/>
        <v>183.33333333333334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112.82287576550925</v>
      </c>
      <c r="T76" s="59">
        <f t="shared" si="88"/>
        <v>317.78570695363294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21.052228486959837</v>
      </c>
      <c r="AA76" s="21">
        <f>EXP(-LN(2)/25)*AA75+(1-EXP(-LN(2)/25))/(LN(2)/25)*Calculateur!V76*Calculateur!X76*VLOOKUP('Données projet'!$B$9,Paramètres!$A$1:$I$89,3,0)*0.475*44/12</f>
        <v>2.9528389917405735</v>
      </c>
      <c r="AB76" s="21">
        <f>EXP(-LN(2)/2)*AB75+(1-EXP(-LN(2)/2))/(LN(2)/2)*V76*Y76*VLOOKUP('Données projet'!$B$9,Paramètres!$A$1:$I$89,3,0)*0.475*44/12</f>
        <v>1.9315135681751091E-7</v>
      </c>
      <c r="AC76" s="22">
        <f t="shared" si="57"/>
        <v>24.005067671851769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>
        <f>AI76*VLOOKUP('Données projet'!$B$10,Paramètres!$A$1:$I$89,3,0)*VLOOKUP('Données projet'!$B$10,Paramètres!$A$1:$I$89,5,0)</f>
        <v>0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123.44750406183283</v>
      </c>
      <c r="AO76" s="59">
        <f t="shared" si="90"/>
        <v>346.72009411328929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23.247859678851384</v>
      </c>
      <c r="AV76" s="21">
        <f>EXP(-LN(2)/25)*AV75+(1-EXP(-LN(2)/25))/(LN(2)/25)*Calculateur!AQ76*Calculateur!AS76*VLOOKUP('Données projet'!$B$10,Paramètres!$A$1:$I$89,3,0)*0.475*44/12</f>
        <v>3.2608037945601422</v>
      </c>
      <c r="AW76" s="21">
        <f>EXP(-LN(2)/2)*AW75+(1-EXP(-LN(2)/2))/(LN(2)/2)*AQ76*AT76*VLOOKUP('Données projet'!$B$10,Paramètres!$A$1:$I$89,3,0)*0.475*44/12</f>
        <v>2.1329597685369311E-7</v>
      </c>
      <c r="AX76" s="21">
        <f t="shared" si="60"/>
        <v>26.508663686707504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>
        <f>BD76*VLOOKUP('Données projet'!$B$11,Paramètres!$A$1:$I$89,3,0)*VLOOKUP('Données projet'!$B$11,Paramètres!$A$1:$I$89,5,0)</f>
        <v>0</v>
      </c>
      <c r="BF76" s="13" t="e">
        <f t="shared" si="91"/>
        <v>#NUM!</v>
      </c>
      <c r="BG76" s="20" t="e">
        <f t="shared" si="61"/>
        <v>#NUM!</v>
      </c>
      <c r="BH76" s="59" t="e">
        <f t="shared" si="62"/>
        <v>#NUM!</v>
      </c>
      <c r="BI76" s="59">
        <f ca="1">AVERAGE(OFFSET($BH$3,0,0,'Données projet'!$E$11+1,1))-AVERAGE(OFFSET($H$3,0,0,'Données projet'!$E$11+1,1))</f>
        <v>123.44750406183283</v>
      </c>
      <c r="BJ76" s="59">
        <f t="shared" si="92"/>
        <v>346.72009411328929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23.247859678851384</v>
      </c>
      <c r="BQ76" s="21">
        <f>EXP(-LN(2)/25)*BQ75+(1-EXP(-LN(2)/25))/(LN(2)/25)*Calculateur!BL76*Calculateur!BN76*VLOOKUP('Données projet'!$B$11,Paramètres!$A$1:$I$89,3,0)*0.475*44/12</f>
        <v>3.2608037945601422</v>
      </c>
      <c r="BR76" s="21">
        <f>EXP(-LN(2)/2)*BR75+(1-EXP(-LN(2)/2))/(LN(2)/2)*BL76*BO76*VLOOKUP('Données projet'!$B$11,Paramètres!$A$1:$I$89,3,0)*0.475*44/12</f>
        <v>2.1329597685369311E-7</v>
      </c>
      <c r="BS76" s="22">
        <f t="shared" si="63"/>
        <v>26.508663686707504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7">
        <f t="shared" si="56"/>
        <v>183.33333333333334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112.82287576550925</v>
      </c>
      <c r="T77" s="59">
        <f t="shared" si="88"/>
        <v>317.78570695363294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20.63940712692203</v>
      </c>
      <c r="AA77" s="21">
        <f>EXP(-LN(2)/25)*AA76+(1-EXP(-LN(2)/25))/(LN(2)/25)*Calculateur!V77*Calculateur!X77*VLOOKUP('Données projet'!$B$9,Paramètres!$A$1:$I$89,3,0)*0.475*44/12</f>
        <v>2.8720934542283736</v>
      </c>
      <c r="AB77" s="21">
        <f>EXP(-LN(2)/2)*AB76+(1-EXP(-LN(2)/2))/(LN(2)/2)*V77*Y77*VLOOKUP('Données projet'!$B$9,Paramètres!$A$1:$I$89,3,0)*0.475*44/12</f>
        <v>1.3657863420104445E-7</v>
      </c>
      <c r="AC77" s="22">
        <f t="shared" si="57"/>
        <v>23.511500717729039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>
        <f>AI77*VLOOKUP('Données projet'!$B$10,Paramètres!$A$1:$I$89,3,0)*VLOOKUP('Données projet'!$B$10,Paramètres!$A$1:$I$89,5,0)</f>
        <v>0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123.44750406183283</v>
      </c>
      <c r="AO77" s="59">
        <f t="shared" si="90"/>
        <v>346.72009411328929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22.791983330343374</v>
      </c>
      <c r="AV77" s="21">
        <f>EXP(-LN(2)/25)*AV76+(1-EXP(-LN(2)/25))/(LN(2)/25)*Calculateur!AQ77*Calculateur!AS77*VLOOKUP('Données projet'!$B$10,Paramètres!$A$1:$I$89,3,0)*0.475*44/12</f>
        <v>3.171636943319676</v>
      </c>
      <c r="AW77" s="21">
        <f>EXP(-LN(2)/2)*AW76+(1-EXP(-LN(2)/2))/(LN(2)/2)*AQ77*AT77*VLOOKUP('Données projet'!$B$10,Paramètres!$A$1:$I$89,3,0)*0.475*44/12</f>
        <v>1.5082303163305528E-7</v>
      </c>
      <c r="AX77" s="21">
        <f t="shared" si="60"/>
        <v>25.963620424486081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>
        <f>BD77*VLOOKUP('Données projet'!$B$11,Paramètres!$A$1:$I$89,3,0)*VLOOKUP('Données projet'!$B$11,Paramètres!$A$1:$I$89,5,0)</f>
        <v>0</v>
      </c>
      <c r="BF77" s="13" t="e">
        <f t="shared" si="91"/>
        <v>#NUM!</v>
      </c>
      <c r="BG77" s="20" t="e">
        <f t="shared" si="61"/>
        <v>#NUM!</v>
      </c>
      <c r="BH77" s="59" t="e">
        <f t="shared" si="62"/>
        <v>#NUM!</v>
      </c>
      <c r="BI77" s="59">
        <f ca="1">AVERAGE(OFFSET($BH$3,0,0,'Données projet'!$E$11+1,1))-AVERAGE(OFFSET($H$3,0,0,'Données projet'!$E$11+1,1))</f>
        <v>123.44750406183283</v>
      </c>
      <c r="BJ77" s="59">
        <f t="shared" si="92"/>
        <v>346.72009411328929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22.791983330343374</v>
      </c>
      <c r="BQ77" s="21">
        <f>EXP(-LN(2)/25)*BQ76+(1-EXP(-LN(2)/25))/(LN(2)/25)*Calculateur!BL77*Calculateur!BN77*VLOOKUP('Données projet'!$B$11,Paramètres!$A$1:$I$89,3,0)*0.475*44/12</f>
        <v>3.171636943319676</v>
      </c>
      <c r="BR77" s="21">
        <f>EXP(-LN(2)/2)*BR76+(1-EXP(-LN(2)/2))/(LN(2)/2)*BL77*BO77*VLOOKUP('Données projet'!$B$11,Paramètres!$A$1:$I$89,3,0)*0.475*44/12</f>
        <v>1.5082303163305528E-7</v>
      </c>
      <c r="BS77" s="22">
        <f t="shared" si="63"/>
        <v>25.963620424486081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7">
        <f t="shared" si="56"/>
        <v>183.33333333333334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112.82287576550925</v>
      </c>
      <c r="T78" s="59">
        <f t="shared" si="88"/>
        <v>317.78570695363294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20.234680941958395</v>
      </c>
      <c r="AA78" s="21">
        <f>EXP(-LN(2)/25)*AA77+(1-EXP(-LN(2)/25))/(LN(2)/25)*Calculateur!V78*Calculateur!X78*VLOOKUP('Données projet'!$B$9,Paramètres!$A$1:$I$89,3,0)*0.475*44/12</f>
        <v>2.7935559076856684</v>
      </c>
      <c r="AB78" s="21">
        <f>EXP(-LN(2)/2)*AB77+(1-EXP(-LN(2)/2))/(LN(2)/2)*V78*Y78*VLOOKUP('Données projet'!$B$9,Paramètres!$A$1:$I$89,3,0)*0.475*44/12</f>
        <v>9.6575678408755456E-8</v>
      </c>
      <c r="AC78" s="22">
        <f t="shared" si="57"/>
        <v>23.028236946219742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>
        <f>AI78*VLOOKUP('Données projet'!$B$10,Paramètres!$A$1:$I$89,3,0)*VLOOKUP('Données projet'!$B$10,Paramètres!$A$1:$I$89,5,0)</f>
        <v>0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123.44750406183283</v>
      </c>
      <c r="AO78" s="59">
        <f t="shared" si="90"/>
        <v>346.72009411328929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22.345046438972489</v>
      </c>
      <c r="AV78" s="21">
        <f>EXP(-LN(2)/25)*AV77+(1-EXP(-LN(2)/25))/(LN(2)/25)*Calculateur!AQ78*Calculateur!AS78*VLOOKUP('Données projet'!$B$10,Paramètres!$A$1:$I$89,3,0)*0.475*44/12</f>
        <v>3.0849083643154613</v>
      </c>
      <c r="AW78" s="21">
        <f>EXP(-LN(2)/2)*AW77+(1-EXP(-LN(2)/2))/(LN(2)/2)*AQ78*AT78*VLOOKUP('Données projet'!$B$10,Paramètres!$A$1:$I$89,3,0)*0.475*44/12</f>
        <v>1.0664798842684656E-7</v>
      </c>
      <c r="AX78" s="21">
        <f t="shared" si="60"/>
        <v>25.429954909935937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>
        <f>BD78*VLOOKUP('Données projet'!$B$11,Paramètres!$A$1:$I$89,3,0)*VLOOKUP('Données projet'!$B$11,Paramètres!$A$1:$I$89,5,0)</f>
        <v>0</v>
      </c>
      <c r="BF78" s="13" t="e">
        <f t="shared" si="91"/>
        <v>#NUM!</v>
      </c>
      <c r="BG78" s="20" t="e">
        <f t="shared" si="61"/>
        <v>#NUM!</v>
      </c>
      <c r="BH78" s="59" t="e">
        <f t="shared" si="62"/>
        <v>#NUM!</v>
      </c>
      <c r="BI78" s="59">
        <f ca="1">AVERAGE(OFFSET($BH$3,0,0,'Données projet'!$E$11+1,1))-AVERAGE(OFFSET($H$3,0,0,'Données projet'!$E$11+1,1))</f>
        <v>123.44750406183283</v>
      </c>
      <c r="BJ78" s="59">
        <f t="shared" si="92"/>
        <v>346.72009411328929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22.345046438972489</v>
      </c>
      <c r="BQ78" s="21">
        <f>EXP(-LN(2)/25)*BQ77+(1-EXP(-LN(2)/25))/(LN(2)/25)*Calculateur!BL78*Calculateur!BN78*VLOOKUP('Données projet'!$B$11,Paramètres!$A$1:$I$89,3,0)*0.475*44/12</f>
        <v>3.0849083643154613</v>
      </c>
      <c r="BR78" s="21">
        <f>EXP(-LN(2)/2)*BR77+(1-EXP(-LN(2)/2))/(LN(2)/2)*BL78*BO78*VLOOKUP('Données projet'!$B$11,Paramètres!$A$1:$I$89,3,0)*0.475*44/12</f>
        <v>1.0664798842684656E-7</v>
      </c>
      <c r="BS78" s="22">
        <f t="shared" si="63"/>
        <v>25.429954909935937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7">
        <f t="shared" si="56"/>
        <v>183.33333333333334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112.82287576550925</v>
      </c>
      <c r="T79" s="59">
        <f t="shared" si="88"/>
        <v>317.78570695363294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19.837891190623299</v>
      </c>
      <c r="AA79" s="21">
        <f>EXP(-LN(2)/25)*AA78+(1-EXP(-LN(2)/25))/(LN(2)/25)*Calculateur!V79*Calculateur!X79*VLOOKUP('Données projet'!$B$9,Paramètres!$A$1:$I$89,3,0)*0.475*44/12</f>
        <v>2.7171659744832835</v>
      </c>
      <c r="AB79" s="21">
        <f>EXP(-LN(2)/2)*AB78+(1-EXP(-LN(2)/2))/(LN(2)/2)*V79*Y79*VLOOKUP('Données projet'!$B$9,Paramètres!$A$1:$I$89,3,0)*0.475*44/12</f>
        <v>6.8289317100522226E-8</v>
      </c>
      <c r="AC79" s="22">
        <f t="shared" si="57"/>
        <v>22.5550572333959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>
        <f>AI79*VLOOKUP('Données projet'!$B$10,Paramètres!$A$1:$I$89,3,0)*VLOOKUP('Données projet'!$B$10,Paramètres!$A$1:$I$89,5,0)</f>
        <v>0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123.44750406183283</v>
      </c>
      <c r="AO79" s="59">
        <f t="shared" si="90"/>
        <v>346.72009411328929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21.906873707436802</v>
      </c>
      <c r="AV79" s="21">
        <f>EXP(-LN(2)/25)*AV78+(1-EXP(-LN(2)/25))/(LN(2)/25)*Calculateur!AQ79*Calculateur!AS79*VLOOKUP('Données projet'!$B$10,Paramètres!$A$1:$I$89,3,0)*0.475*44/12</f>
        <v>3.000551382864975</v>
      </c>
      <c r="AW79" s="21">
        <f>EXP(-LN(2)/2)*AW78+(1-EXP(-LN(2)/2))/(LN(2)/2)*AQ79*AT79*VLOOKUP('Données projet'!$B$10,Paramètres!$A$1:$I$89,3,0)*0.475*44/12</f>
        <v>7.5411515816527639E-8</v>
      </c>
      <c r="AX79" s="21">
        <f t="shared" si="60"/>
        <v>24.907425165713295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>
        <f>BD79*VLOOKUP('Données projet'!$B$11,Paramètres!$A$1:$I$89,3,0)*VLOOKUP('Données projet'!$B$11,Paramètres!$A$1:$I$89,5,0)</f>
        <v>0</v>
      </c>
      <c r="BF79" s="13" t="e">
        <f t="shared" si="91"/>
        <v>#NUM!</v>
      </c>
      <c r="BG79" s="20" t="e">
        <f t="shared" si="61"/>
        <v>#NUM!</v>
      </c>
      <c r="BH79" s="59" t="e">
        <f t="shared" si="62"/>
        <v>#NUM!</v>
      </c>
      <c r="BI79" s="59">
        <f ca="1">AVERAGE(OFFSET($BH$3,0,0,'Données projet'!$E$11+1,1))-AVERAGE(OFFSET($H$3,0,0,'Données projet'!$E$11+1,1))</f>
        <v>123.44750406183283</v>
      </c>
      <c r="BJ79" s="59">
        <f t="shared" si="92"/>
        <v>346.72009411328929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21.906873707436802</v>
      </c>
      <c r="BQ79" s="21">
        <f>EXP(-LN(2)/25)*BQ78+(1-EXP(-LN(2)/25))/(LN(2)/25)*Calculateur!BL79*Calculateur!BN79*VLOOKUP('Données projet'!$B$11,Paramètres!$A$1:$I$89,3,0)*0.475*44/12</f>
        <v>3.000551382864975</v>
      </c>
      <c r="BR79" s="21">
        <f>EXP(-LN(2)/2)*BR78+(1-EXP(-LN(2)/2))/(LN(2)/2)*BL79*BO79*VLOOKUP('Données projet'!$B$11,Paramètres!$A$1:$I$89,3,0)*0.475*44/12</f>
        <v>7.5411515816527639E-8</v>
      </c>
      <c r="BS79" s="22">
        <f t="shared" si="63"/>
        <v>24.907425165713295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7">
        <f t="shared" si="56"/>
        <v>183.33333333333334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112.82287576550925</v>
      </c>
      <c r="T80" s="59">
        <f t="shared" si="88"/>
        <v>317.78570695363294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19.448882244294033</v>
      </c>
      <c r="AA80" s="21">
        <f>EXP(-LN(2)/25)*AA79+(1-EXP(-LN(2)/25))/(LN(2)/25)*Calculateur!V80*Calculateur!X80*VLOOKUP('Données projet'!$B$9,Paramètres!$A$1:$I$89,3,0)*0.475*44/12</f>
        <v>2.6428649280214898</v>
      </c>
      <c r="AB80" s="21">
        <f>EXP(-LN(2)/2)*AB79+(1-EXP(-LN(2)/2))/(LN(2)/2)*V80*Y80*VLOOKUP('Données projet'!$B$9,Paramètres!$A$1:$I$89,3,0)*0.475*44/12</f>
        <v>4.8287839204377728E-8</v>
      </c>
      <c r="AC80" s="22">
        <f t="shared" si="57"/>
        <v>22.091747220603359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>
        <f>AI80*VLOOKUP('Données projet'!$B$10,Paramètres!$A$1:$I$89,3,0)*VLOOKUP('Données projet'!$B$10,Paramètres!$A$1:$I$89,5,0)</f>
        <v>0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123.44750406183283</v>
      </c>
      <c r="AO80" s="59">
        <f t="shared" si="90"/>
        <v>346.72009411328929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21.477293275907552</v>
      </c>
      <c r="AV80" s="21">
        <f>EXP(-LN(2)/25)*AV79+(1-EXP(-LN(2)/25))/(LN(2)/25)*Calculateur!AQ80*Calculateur!AS80*VLOOKUP('Données projet'!$B$10,Paramètres!$A$1:$I$89,3,0)*0.475*44/12</f>
        <v>2.9185011475083931</v>
      </c>
      <c r="AW80" s="21">
        <f>EXP(-LN(2)/2)*AW79+(1-EXP(-LN(2)/2))/(LN(2)/2)*AQ80*AT80*VLOOKUP('Données projet'!$B$10,Paramètres!$A$1:$I$89,3,0)*0.475*44/12</f>
        <v>5.3323994213423278E-8</v>
      </c>
      <c r="AX80" s="21">
        <f t="shared" si="60"/>
        <v>24.39579447673994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>
        <f>BD80*VLOOKUP('Données projet'!$B$11,Paramètres!$A$1:$I$89,3,0)*VLOOKUP('Données projet'!$B$11,Paramètres!$A$1:$I$89,5,0)</f>
        <v>0</v>
      </c>
      <c r="BF80" s="13" t="e">
        <f t="shared" si="91"/>
        <v>#NUM!</v>
      </c>
      <c r="BG80" s="20" t="e">
        <f t="shared" si="61"/>
        <v>#NUM!</v>
      </c>
      <c r="BH80" s="59" t="e">
        <f t="shared" si="62"/>
        <v>#NUM!</v>
      </c>
      <c r="BI80" s="59">
        <f ca="1">AVERAGE(OFFSET($BH$3,0,0,'Données projet'!$E$11+1,1))-AVERAGE(OFFSET($H$3,0,0,'Données projet'!$E$11+1,1))</f>
        <v>123.44750406183283</v>
      </c>
      <c r="BJ80" s="59">
        <f t="shared" si="92"/>
        <v>346.72009411328929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21.477293275907552</v>
      </c>
      <c r="BQ80" s="21">
        <f>EXP(-LN(2)/25)*BQ79+(1-EXP(-LN(2)/25))/(LN(2)/25)*Calculateur!BL80*Calculateur!BN80*VLOOKUP('Données projet'!$B$11,Paramètres!$A$1:$I$89,3,0)*0.475*44/12</f>
        <v>2.9185011475083931</v>
      </c>
      <c r="BR80" s="21">
        <f>EXP(-LN(2)/2)*BR79+(1-EXP(-LN(2)/2))/(LN(2)/2)*BL80*BO80*VLOOKUP('Données projet'!$B$11,Paramètres!$A$1:$I$89,3,0)*0.475*44/12</f>
        <v>5.3323994213423278E-8</v>
      </c>
      <c r="BS80" s="22">
        <f t="shared" si="63"/>
        <v>24.39579447673994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7">
        <f t="shared" si="56"/>
        <v>183.33333333333334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112.82287576550925</v>
      </c>
      <c r="T81" s="59">
        <f t="shared" si="88"/>
        <v>317.78570695363294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19.067501526130258</v>
      </c>
      <c r="AA81" s="21">
        <f>EXP(-LN(2)/25)*AA80+(1-EXP(-LN(2)/25))/(LN(2)/25)*Calculateur!V81*Calculateur!X81*VLOOKUP('Données projet'!$B$9,Paramètres!$A$1:$I$89,3,0)*0.475*44/12</f>
        <v>2.570595647582516</v>
      </c>
      <c r="AB81" s="21">
        <f>EXP(-LN(2)/2)*AB80+(1-EXP(-LN(2)/2))/(LN(2)/2)*V81*Y81*VLOOKUP('Données projet'!$B$9,Paramètres!$A$1:$I$89,3,0)*0.475*44/12</f>
        <v>3.4144658550261113E-8</v>
      </c>
      <c r="AC81" s="22">
        <f t="shared" si="57"/>
        <v>21.638097207857431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>
        <f>AI81*VLOOKUP('Données projet'!$B$10,Paramètres!$A$1:$I$89,3,0)*VLOOKUP('Données projet'!$B$10,Paramètres!$A$1:$I$89,5,0)</f>
        <v>0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123.44750406183283</v>
      </c>
      <c r="AO81" s="59">
        <f t="shared" si="90"/>
        <v>346.72009411328929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21.056136654622399</v>
      </c>
      <c r="AV81" s="21">
        <f>EXP(-LN(2)/25)*AV80+(1-EXP(-LN(2)/25))/(LN(2)/25)*Calculateur!AQ81*Calculateur!AS81*VLOOKUP('Données projet'!$B$10,Paramètres!$A$1:$I$89,3,0)*0.475*44/12</f>
        <v>2.8386945801524712</v>
      </c>
      <c r="AW81" s="21">
        <f>EXP(-LN(2)/2)*AW80+(1-EXP(-LN(2)/2))/(LN(2)/2)*AQ81*AT81*VLOOKUP('Données projet'!$B$10,Paramètres!$A$1:$I$89,3,0)*0.475*44/12</f>
        <v>3.770575790826382E-8</v>
      </c>
      <c r="AX81" s="21">
        <f t="shared" si="60"/>
        <v>23.894831272480626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>
        <f>BD81*VLOOKUP('Données projet'!$B$11,Paramètres!$A$1:$I$89,3,0)*VLOOKUP('Données projet'!$B$11,Paramètres!$A$1:$I$89,5,0)</f>
        <v>0</v>
      </c>
      <c r="BF81" s="13" t="e">
        <f t="shared" si="91"/>
        <v>#NUM!</v>
      </c>
      <c r="BG81" s="20" t="e">
        <f t="shared" si="61"/>
        <v>#NUM!</v>
      </c>
      <c r="BH81" s="59" t="e">
        <f t="shared" si="62"/>
        <v>#NUM!</v>
      </c>
      <c r="BI81" s="59">
        <f ca="1">AVERAGE(OFFSET($BH$3,0,0,'Données projet'!$E$11+1,1))-AVERAGE(OFFSET($H$3,0,0,'Données projet'!$E$11+1,1))</f>
        <v>123.44750406183283</v>
      </c>
      <c r="BJ81" s="59">
        <f t="shared" si="92"/>
        <v>346.72009411328929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21.056136654622399</v>
      </c>
      <c r="BQ81" s="21">
        <f>EXP(-LN(2)/25)*BQ80+(1-EXP(-LN(2)/25))/(LN(2)/25)*Calculateur!BL81*Calculateur!BN81*VLOOKUP('Données projet'!$B$11,Paramètres!$A$1:$I$89,3,0)*0.475*44/12</f>
        <v>2.8386945801524712</v>
      </c>
      <c r="BR81" s="21">
        <f>EXP(-LN(2)/2)*BR80+(1-EXP(-LN(2)/2))/(LN(2)/2)*BL81*BO81*VLOOKUP('Données projet'!$B$11,Paramètres!$A$1:$I$89,3,0)*0.475*44/12</f>
        <v>3.770575790826382E-8</v>
      </c>
      <c r="BS81" s="22">
        <f t="shared" si="63"/>
        <v>23.894831272480626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7">
        <f t="shared" si="56"/>
        <v>183.33333333333334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112.82287576550925</v>
      </c>
      <c r="T82" s="59">
        <f t="shared" si="88"/>
        <v>317.78570695363294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18.693599451230405</v>
      </c>
      <c r="AA82" s="21">
        <f>EXP(-LN(2)/25)*AA81+(1-EXP(-LN(2)/25))/(LN(2)/25)*Calculateur!V82*Calculateur!X82*VLOOKUP('Données projet'!$B$9,Paramètres!$A$1:$I$89,3,0)*0.475*44/12</f>
        <v>2.5003025744176224</v>
      </c>
      <c r="AB82" s="21">
        <f>EXP(-LN(2)/2)*AB81+(1-EXP(-LN(2)/2))/(LN(2)/2)*V82*Y82*VLOOKUP('Données projet'!$B$9,Paramètres!$A$1:$I$89,3,0)*0.475*44/12</f>
        <v>2.4143919602188864E-8</v>
      </c>
      <c r="AC82" s="22">
        <f t="shared" si="57"/>
        <v>21.193902049791948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>
        <f>AI82*VLOOKUP('Données projet'!$B$10,Paramètres!$A$1:$I$89,3,0)*VLOOKUP('Données projet'!$B$10,Paramètres!$A$1:$I$89,5,0)</f>
        <v>0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123.44750406183283</v>
      </c>
      <c r="AO82" s="59">
        <f t="shared" si="90"/>
        <v>346.72009411328929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20.643238657800474</v>
      </c>
      <c r="AV82" s="21">
        <f>EXP(-LN(2)/25)*AV81+(1-EXP(-LN(2)/25))/(LN(2)/25)*Calculateur!AQ82*Calculateur!AS82*VLOOKUP('Données projet'!$B$10,Paramètres!$A$1:$I$89,3,0)*0.475*44/12</f>
        <v>2.761070327577742</v>
      </c>
      <c r="AW82" s="21">
        <f>EXP(-LN(2)/2)*AW81+(1-EXP(-LN(2)/2))/(LN(2)/2)*AQ82*AT82*VLOOKUP('Données projet'!$B$10,Paramètres!$A$1:$I$89,3,0)*0.475*44/12</f>
        <v>2.6661997106711639E-8</v>
      </c>
      <c r="AX82" s="21">
        <f t="shared" si="60"/>
        <v>23.404309012040212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>
        <f>BD82*VLOOKUP('Données projet'!$B$11,Paramètres!$A$1:$I$89,3,0)*VLOOKUP('Données projet'!$B$11,Paramètres!$A$1:$I$89,5,0)</f>
        <v>0</v>
      </c>
      <c r="BF82" s="13" t="e">
        <f t="shared" si="91"/>
        <v>#NUM!</v>
      </c>
      <c r="BG82" s="20" t="e">
        <f t="shared" si="61"/>
        <v>#NUM!</v>
      </c>
      <c r="BH82" s="59" t="e">
        <f t="shared" si="62"/>
        <v>#NUM!</v>
      </c>
      <c r="BI82" s="59">
        <f ca="1">AVERAGE(OFFSET($BH$3,0,0,'Données projet'!$E$11+1,1))-AVERAGE(OFFSET($H$3,0,0,'Données projet'!$E$11+1,1))</f>
        <v>123.44750406183283</v>
      </c>
      <c r="BJ82" s="59">
        <f t="shared" si="92"/>
        <v>346.72009411328929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20.643238657800474</v>
      </c>
      <c r="BQ82" s="21">
        <f>EXP(-LN(2)/25)*BQ81+(1-EXP(-LN(2)/25))/(LN(2)/25)*Calculateur!BL82*Calculateur!BN82*VLOOKUP('Données projet'!$B$11,Paramètres!$A$1:$I$89,3,0)*0.475*44/12</f>
        <v>2.761070327577742</v>
      </c>
      <c r="BR82" s="21">
        <f>EXP(-LN(2)/2)*BR81+(1-EXP(-LN(2)/2))/(LN(2)/2)*BL82*BO82*VLOOKUP('Données projet'!$B$11,Paramètres!$A$1:$I$89,3,0)*0.475*44/12</f>
        <v>2.6661997106711639E-8</v>
      </c>
      <c r="BS82" s="22">
        <f t="shared" si="63"/>
        <v>23.404309012040212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7">
        <f t="shared" si="56"/>
        <v>183.33333333333334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112.82287576550925</v>
      </c>
      <c r="T83" s="59">
        <f t="shared" si="88"/>
        <v>317.78570695363294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18.32702936796159</v>
      </c>
      <c r="AA83" s="21">
        <f>EXP(-LN(2)/25)*AA82+(1-EXP(-LN(2)/25))/(LN(2)/25)*Calculateur!V83*Calculateur!X83*VLOOKUP('Données projet'!$B$9,Paramètres!$A$1:$I$89,3,0)*0.475*44/12</f>
        <v>2.4319316690349746</v>
      </c>
      <c r="AB83" s="21">
        <f>EXP(-LN(2)/2)*AB82+(1-EXP(-LN(2)/2))/(LN(2)/2)*V83*Y83*VLOOKUP('Données projet'!$B$9,Paramètres!$A$1:$I$89,3,0)*0.475*44/12</f>
        <v>1.7072329275130556E-8</v>
      </c>
      <c r="AC83" s="22">
        <f t="shared" si="57"/>
        <v>20.758961054068891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>
        <f>AI83*VLOOKUP('Données projet'!$B$10,Paramètres!$A$1:$I$89,3,0)*VLOOKUP('Données projet'!$B$10,Paramètres!$A$1:$I$89,5,0)</f>
        <v>0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123.44750406183283</v>
      </c>
      <c r="AO83" s="59">
        <f t="shared" si="90"/>
        <v>346.72009411328929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20.238437338853316</v>
      </c>
      <c r="AV83" s="21">
        <f>EXP(-LN(2)/25)*AV82+(1-EXP(-LN(2)/25))/(LN(2)/25)*Calculateur!AQ83*Calculateur!AS83*VLOOKUP('Données projet'!$B$10,Paramètres!$A$1:$I$89,3,0)*0.475*44/12</f>
        <v>2.6855687142717506</v>
      </c>
      <c r="AW83" s="21">
        <f>EXP(-LN(2)/2)*AW82+(1-EXP(-LN(2)/2))/(LN(2)/2)*AQ83*AT83*VLOOKUP('Données projet'!$B$10,Paramètres!$A$1:$I$89,3,0)*0.475*44/12</f>
        <v>1.885287895413191E-8</v>
      </c>
      <c r="AX83" s="21">
        <f t="shared" si="60"/>
        <v>22.924006071977946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>
        <f>BD83*VLOOKUP('Données projet'!$B$11,Paramètres!$A$1:$I$89,3,0)*VLOOKUP('Données projet'!$B$11,Paramètres!$A$1:$I$89,5,0)</f>
        <v>0</v>
      </c>
      <c r="BF83" s="13" t="e">
        <f t="shared" si="91"/>
        <v>#NUM!</v>
      </c>
      <c r="BG83" s="20" t="e">
        <f t="shared" si="61"/>
        <v>#NUM!</v>
      </c>
      <c r="BH83" s="59" t="e">
        <f t="shared" si="62"/>
        <v>#NUM!</v>
      </c>
      <c r="BI83" s="59">
        <f ca="1">AVERAGE(OFFSET($BH$3,0,0,'Données projet'!$E$11+1,1))-AVERAGE(OFFSET($H$3,0,0,'Données projet'!$E$11+1,1))</f>
        <v>123.44750406183283</v>
      </c>
      <c r="BJ83" s="59">
        <f t="shared" si="92"/>
        <v>346.72009411328929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20.238437338853316</v>
      </c>
      <c r="BQ83" s="21">
        <f>EXP(-LN(2)/25)*BQ82+(1-EXP(-LN(2)/25))/(LN(2)/25)*Calculateur!BL83*Calculateur!BN83*VLOOKUP('Données projet'!$B$11,Paramètres!$A$1:$I$89,3,0)*0.475*44/12</f>
        <v>2.6855687142717506</v>
      </c>
      <c r="BR83" s="21">
        <f>EXP(-LN(2)/2)*BR82+(1-EXP(-LN(2)/2))/(LN(2)/2)*BL83*BO83*VLOOKUP('Données projet'!$B$11,Paramètres!$A$1:$I$89,3,0)*0.475*44/12</f>
        <v>1.885287895413191E-8</v>
      </c>
      <c r="BS83" s="22">
        <f t="shared" si="63"/>
        <v>22.924006071977946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7">
        <f t="shared" si="56"/>
        <v>183.33333333333334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112.82287576550925</v>
      </c>
      <c r="T84" s="59">
        <f t="shared" si="88"/>
        <v>317.78570695363294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17.967647500440005</v>
      </c>
      <c r="AA84" s="21">
        <f>EXP(-LN(2)/25)*AA83+(1-EXP(-LN(2)/25))/(LN(2)/25)*Calculateur!V84*Calculateur!X84*VLOOKUP('Données projet'!$B$9,Paramètres!$A$1:$I$89,3,0)*0.475*44/12</f>
        <v>2.3654303696554848</v>
      </c>
      <c r="AB84" s="21">
        <f>EXP(-LN(2)/2)*AB83+(1-EXP(-LN(2)/2))/(LN(2)/2)*V84*Y84*VLOOKUP('Données projet'!$B$9,Paramètres!$A$1:$I$89,3,0)*0.475*44/12</f>
        <v>1.2071959801094432E-8</v>
      </c>
      <c r="AC84" s="22">
        <f t="shared" si="57"/>
        <v>20.333077882167451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>
        <f>AI84*VLOOKUP('Données projet'!$B$10,Paramètres!$A$1:$I$89,3,0)*VLOOKUP('Données projet'!$B$10,Paramètres!$A$1:$I$89,5,0)</f>
        <v>0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123.44750406183283</v>
      </c>
      <c r="AO84" s="59">
        <f t="shared" si="90"/>
        <v>346.72009411328929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19.841573926866289</v>
      </c>
      <c r="AV84" s="21">
        <f>EXP(-LN(2)/25)*AV83+(1-EXP(-LN(2)/25))/(LN(2)/25)*Calculateur!AQ84*Calculateur!AS84*VLOOKUP('Données projet'!$B$10,Paramètres!$A$1:$I$89,3,0)*0.475*44/12</f>
        <v>2.6121316965520687</v>
      </c>
      <c r="AW84" s="21">
        <f>EXP(-LN(2)/2)*AW83+(1-EXP(-LN(2)/2))/(LN(2)/2)*AQ84*AT84*VLOOKUP('Données projet'!$B$10,Paramètres!$A$1:$I$89,3,0)*0.475*44/12</f>
        <v>1.333099855335582E-8</v>
      </c>
      <c r="AX84" s="21">
        <f t="shared" si="60"/>
        <v>22.453705636749358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>
        <f>BD84*VLOOKUP('Données projet'!$B$11,Paramètres!$A$1:$I$89,3,0)*VLOOKUP('Données projet'!$B$11,Paramètres!$A$1:$I$89,5,0)</f>
        <v>0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123.44750406183283</v>
      </c>
      <c r="BJ84" s="59">
        <f t="shared" si="92"/>
        <v>346.72009411328929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19.841573926866289</v>
      </c>
      <c r="BQ84" s="21">
        <f>EXP(-LN(2)/25)*BQ83+(1-EXP(-LN(2)/25))/(LN(2)/25)*Calculateur!BL84*Calculateur!BN84*VLOOKUP('Données projet'!$B$11,Paramètres!$A$1:$I$89,3,0)*0.475*44/12</f>
        <v>2.6121316965520687</v>
      </c>
      <c r="BR84" s="21">
        <f>EXP(-LN(2)/2)*BR83+(1-EXP(-LN(2)/2))/(LN(2)/2)*BL84*BO84*VLOOKUP('Données projet'!$B$11,Paramètres!$A$1:$I$89,3,0)*0.475*44/12</f>
        <v>1.333099855335582E-8</v>
      </c>
      <c r="BS84" s="22">
        <f t="shared" si="63"/>
        <v>22.453705636749358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7">
        <f t="shared" si="56"/>
        <v>183.33333333333334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112.82287576550925</v>
      </c>
      <c r="T85" s="59">
        <f t="shared" si="88"/>
        <v>317.78570695363294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17.615312892139222</v>
      </c>
      <c r="AA85" s="21">
        <f>EXP(-LN(2)/25)*AA84+(1-EXP(-LN(2)/25))/(LN(2)/25)*Calculateur!V85*Calculateur!X85*VLOOKUP('Données projet'!$B$9,Paramètres!$A$1:$I$89,3,0)*0.475*44/12</f>
        <v>2.3007475518046787</v>
      </c>
      <c r="AB85" s="21">
        <f>EXP(-LN(2)/2)*AB84+(1-EXP(-LN(2)/2))/(LN(2)/2)*V85*Y85*VLOOKUP('Données projet'!$B$9,Paramètres!$A$1:$I$89,3,0)*0.475*44/12</f>
        <v>8.5361646375652782E-9</v>
      </c>
      <c r="AC85" s="22">
        <f t="shared" si="57"/>
        <v>19.916060452480068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>
        <f>AI85*VLOOKUP('Données projet'!$B$10,Paramètres!$A$1:$I$89,3,0)*VLOOKUP('Données projet'!$B$10,Paramètres!$A$1:$I$89,5,0)</f>
        <v>0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123.44750406183283</v>
      </c>
      <c r="AO85" s="59">
        <f t="shared" si="90"/>
        <v>346.72009411328929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19.452492764325548</v>
      </c>
      <c r="AV85" s="21">
        <f>EXP(-LN(2)/25)*AV84+(1-EXP(-LN(2)/25))/(LN(2)/25)*Calculateur!AQ85*Calculateur!AS85*VLOOKUP('Données projet'!$B$10,Paramètres!$A$1:$I$89,3,0)*0.475*44/12</f>
        <v>2.5407028179438167</v>
      </c>
      <c r="AW85" s="21">
        <f>EXP(-LN(2)/2)*AW84+(1-EXP(-LN(2)/2))/(LN(2)/2)*AQ85*AT85*VLOOKUP('Données projet'!$B$10,Paramètres!$A$1:$I$89,3,0)*0.475*44/12</f>
        <v>9.4264394770659549E-9</v>
      </c>
      <c r="AX85" s="21">
        <f t="shared" si="60"/>
        <v>21.993195591695805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>
        <f>BD85*VLOOKUP('Données projet'!$B$11,Paramètres!$A$1:$I$89,3,0)*VLOOKUP('Données projet'!$B$11,Paramètres!$A$1:$I$89,5,0)</f>
        <v>0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123.44750406183283</v>
      </c>
      <c r="BJ85" s="59">
        <f t="shared" si="92"/>
        <v>346.72009411328929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19.452492764325548</v>
      </c>
      <c r="BQ85" s="21">
        <f>EXP(-LN(2)/25)*BQ84+(1-EXP(-LN(2)/25))/(LN(2)/25)*Calculateur!BL85*Calculateur!BN85*VLOOKUP('Données projet'!$B$11,Paramètres!$A$1:$I$89,3,0)*0.475*44/12</f>
        <v>2.5407028179438167</v>
      </c>
      <c r="BR85" s="21">
        <f>EXP(-LN(2)/2)*BR84+(1-EXP(-LN(2)/2))/(LN(2)/2)*BL85*BO85*VLOOKUP('Données projet'!$B$11,Paramètres!$A$1:$I$89,3,0)*0.475*44/12</f>
        <v>9.4264394770659549E-9</v>
      </c>
      <c r="BS85" s="22">
        <f t="shared" si="63"/>
        <v>21.993195591695805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7">
        <f t="shared" si="56"/>
        <v>183.33333333333334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112.82287576550925</v>
      </c>
      <c r="T86" s="59">
        <f t="shared" si="88"/>
        <v>317.78570695363294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17.269887350604328</v>
      </c>
      <c r="AA86" s="21">
        <f>EXP(-LN(2)/25)*AA85+(1-EXP(-LN(2)/25))/(LN(2)/25)*Calculateur!V86*Calculateur!X86*VLOOKUP('Données projet'!$B$9,Paramètres!$A$1:$I$89,3,0)*0.475*44/12</f>
        <v>2.2378334890095246</v>
      </c>
      <c r="AB86" s="21">
        <f>EXP(-LN(2)/2)*AB85+(1-EXP(-LN(2)/2))/(LN(2)/2)*V86*Y86*VLOOKUP('Données projet'!$B$9,Paramètres!$A$1:$I$89,3,0)*0.475*44/12</f>
        <v>6.035979900547216E-9</v>
      </c>
      <c r="AC86" s="22">
        <f t="shared" si="57"/>
        <v>19.507720845649832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>
        <f>AI86*VLOOKUP('Données projet'!$B$10,Paramètres!$A$1:$I$89,3,0)*VLOOKUP('Données projet'!$B$10,Paramètres!$A$1:$I$89,5,0)</f>
        <v>0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123.44750406183283</v>
      </c>
      <c r="AO86" s="59">
        <f t="shared" si="90"/>
        <v>346.72009411328929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19.071041246066155</v>
      </c>
      <c r="AV86" s="21">
        <f>EXP(-LN(2)/25)*AV85+(1-EXP(-LN(2)/25))/(LN(2)/25)*Calculateur!AQ86*Calculateur!AS86*VLOOKUP('Données projet'!$B$10,Paramètres!$A$1:$I$89,3,0)*0.475*44/12</f>
        <v>2.4712271657773885</v>
      </c>
      <c r="AW86" s="21">
        <f>EXP(-LN(2)/2)*AW85+(1-EXP(-LN(2)/2))/(LN(2)/2)*AQ86*AT86*VLOOKUP('Données projet'!$B$10,Paramètres!$A$1:$I$89,3,0)*0.475*44/12</f>
        <v>6.6654992766779098E-9</v>
      </c>
      <c r="AX86" s="21">
        <f t="shared" si="60"/>
        <v>21.542268418509043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>
        <f>BD86*VLOOKUP('Données projet'!$B$11,Paramètres!$A$1:$I$89,3,0)*VLOOKUP('Données projet'!$B$11,Paramètres!$A$1:$I$89,5,0)</f>
        <v>0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123.44750406183283</v>
      </c>
      <c r="BJ86" s="59">
        <f t="shared" si="92"/>
        <v>346.72009411328929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19.071041246066155</v>
      </c>
      <c r="BQ86" s="21">
        <f>EXP(-LN(2)/25)*BQ85+(1-EXP(-LN(2)/25))/(LN(2)/25)*Calculateur!BL86*Calculateur!BN86*VLOOKUP('Données projet'!$B$11,Paramètres!$A$1:$I$89,3,0)*0.475*44/12</f>
        <v>2.4712271657773885</v>
      </c>
      <c r="BR86" s="21">
        <f>EXP(-LN(2)/2)*BR85+(1-EXP(-LN(2)/2))/(LN(2)/2)*BL86*BO86*VLOOKUP('Données projet'!$B$11,Paramètres!$A$1:$I$89,3,0)*0.475*44/12</f>
        <v>6.6654992766779098E-9</v>
      </c>
      <c r="BS86" s="22">
        <f t="shared" si="63"/>
        <v>21.542268418509043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7">
        <f t="shared" si="56"/>
        <v>183.33333333333334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112.82287576550925</v>
      </c>
      <c r="T87" s="59">
        <f t="shared" si="88"/>
        <v>317.78570695363294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16.931235393250155</v>
      </c>
      <c r="AA87" s="21">
        <f>EXP(-LN(2)/25)*AA86+(1-EXP(-LN(2)/25))/(LN(2)/25)*Calculateur!V87*Calculateur!X87*VLOOKUP('Données projet'!$B$9,Paramètres!$A$1:$I$89,3,0)*0.475*44/12</f>
        <v>2.1766398145700108</v>
      </c>
      <c r="AB87" s="21">
        <f>EXP(-LN(2)/2)*AB86+(1-EXP(-LN(2)/2))/(LN(2)/2)*V87*Y87*VLOOKUP('Données projet'!$B$9,Paramètres!$A$1:$I$89,3,0)*0.475*44/12</f>
        <v>4.2680823187826391E-9</v>
      </c>
      <c r="AC87" s="22">
        <f t="shared" si="57"/>
        <v>19.107875212088246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>
        <f>AI87*VLOOKUP('Données projet'!$B$10,Paramètres!$A$1:$I$89,3,0)*VLOOKUP('Données projet'!$B$10,Paramètres!$A$1:$I$89,5,0)</f>
        <v>0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123.44750406183283</v>
      </c>
      <c r="AO87" s="59">
        <f t="shared" si="90"/>
        <v>346.72009411328929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18.697069759417374</v>
      </c>
      <c r="AV87" s="21">
        <f>EXP(-LN(2)/25)*AV86+(1-EXP(-LN(2)/25))/(LN(2)/25)*Calculateur!AQ87*Calculateur!AS87*VLOOKUP('Données projet'!$B$10,Paramètres!$A$1:$I$89,3,0)*0.475*44/12</f>
        <v>2.4036513289730173</v>
      </c>
      <c r="AW87" s="21">
        <f>EXP(-LN(2)/2)*AW86+(1-EXP(-LN(2)/2))/(LN(2)/2)*AQ87*AT87*VLOOKUP('Données projet'!$B$10,Paramètres!$A$1:$I$89,3,0)*0.475*44/12</f>
        <v>4.7132197385329775E-9</v>
      </c>
      <c r="AX87" s="21">
        <f t="shared" si="60"/>
        <v>21.100721093103608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>
        <f>BD87*VLOOKUP('Données projet'!$B$11,Paramètres!$A$1:$I$89,3,0)*VLOOKUP('Données projet'!$B$11,Paramètres!$A$1:$I$89,5,0)</f>
        <v>0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123.44750406183283</v>
      </c>
      <c r="BJ87" s="59">
        <f t="shared" si="92"/>
        <v>346.72009411328929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18.697069759417374</v>
      </c>
      <c r="BQ87" s="21">
        <f>EXP(-LN(2)/25)*BQ86+(1-EXP(-LN(2)/25))/(LN(2)/25)*Calculateur!BL87*Calculateur!BN87*VLOOKUP('Données projet'!$B$11,Paramètres!$A$1:$I$89,3,0)*0.475*44/12</f>
        <v>2.4036513289730173</v>
      </c>
      <c r="BR87" s="21">
        <f>EXP(-LN(2)/2)*BR86+(1-EXP(-LN(2)/2))/(LN(2)/2)*BL87*BO87*VLOOKUP('Données projet'!$B$11,Paramètres!$A$1:$I$89,3,0)*0.475*44/12</f>
        <v>4.7132197385329775E-9</v>
      </c>
      <c r="BS87" s="22">
        <f t="shared" si="63"/>
        <v>21.100721093103608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7">
        <f t="shared" si="56"/>
        <v>183.33333333333334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112.82287576550925</v>
      </c>
      <c r="T88" s="59">
        <f t="shared" si="88"/>
        <v>317.78570695363294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16.599224194222401</v>
      </c>
      <c r="AA88" s="21">
        <f>EXP(-LN(2)/25)*AA87+(1-EXP(-LN(2)/25))/(LN(2)/25)*Calculateur!V88*Calculateur!X88*VLOOKUP('Données projet'!$B$9,Paramètres!$A$1:$I$89,3,0)*0.475*44/12</f>
        <v>2.1171194843760808</v>
      </c>
      <c r="AB88" s="21">
        <f>EXP(-LN(2)/2)*AB87+(1-EXP(-LN(2)/2))/(LN(2)/2)*V88*Y88*VLOOKUP('Données projet'!$B$9,Paramètres!$A$1:$I$89,3,0)*0.475*44/12</f>
        <v>3.017989950273608E-9</v>
      </c>
      <c r="AC88" s="22">
        <f t="shared" si="57"/>
        <v>18.716343681616472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>
        <f>AI88*VLOOKUP('Données projet'!$B$10,Paramètres!$A$1:$I$89,3,0)*VLOOKUP('Données projet'!$B$10,Paramètres!$A$1:$I$89,5,0)</f>
        <v>0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123.44750406183283</v>
      </c>
      <c r="AO88" s="59">
        <f t="shared" si="90"/>
        <v>346.72009411328929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18.330431625521694</v>
      </c>
      <c r="AV88" s="21">
        <f>EXP(-LN(2)/25)*AV87+(1-EXP(-LN(2)/25))/(LN(2)/25)*Calculateur!AQ88*Calculateur!AS88*VLOOKUP('Données projet'!$B$10,Paramètres!$A$1:$I$89,3,0)*0.475*44/12</f>
        <v>2.3379233569797204</v>
      </c>
      <c r="AW88" s="21">
        <f>EXP(-LN(2)/2)*AW87+(1-EXP(-LN(2)/2))/(LN(2)/2)*AQ88*AT88*VLOOKUP('Données projet'!$B$10,Paramètres!$A$1:$I$89,3,0)*0.475*44/12</f>
        <v>3.3327496383389549E-9</v>
      </c>
      <c r="AX88" s="21">
        <f t="shared" si="60"/>
        <v>20.668354985834164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>
        <f>BD88*VLOOKUP('Données projet'!$B$11,Paramètres!$A$1:$I$89,3,0)*VLOOKUP('Données projet'!$B$11,Paramètres!$A$1:$I$89,5,0)</f>
        <v>0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123.44750406183283</v>
      </c>
      <c r="BJ88" s="59">
        <f t="shared" si="92"/>
        <v>346.72009411328929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18.330431625521694</v>
      </c>
      <c r="BQ88" s="21">
        <f>EXP(-LN(2)/25)*BQ87+(1-EXP(-LN(2)/25))/(LN(2)/25)*Calculateur!BL88*Calculateur!BN88*VLOOKUP('Données projet'!$B$11,Paramètres!$A$1:$I$89,3,0)*0.475*44/12</f>
        <v>2.3379233569797204</v>
      </c>
      <c r="BR88" s="21">
        <f>EXP(-LN(2)/2)*BR87+(1-EXP(-LN(2)/2))/(LN(2)/2)*BL88*BO88*VLOOKUP('Données projet'!$B$11,Paramètres!$A$1:$I$89,3,0)*0.475*44/12</f>
        <v>3.3327496383389549E-9</v>
      </c>
      <c r="BS88" s="22">
        <f t="shared" si="63"/>
        <v>20.668354985834164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7">
        <f t="shared" si="56"/>
        <v>183.33333333333334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112.82287576550925</v>
      </c>
      <c r="T89" s="59">
        <f t="shared" si="88"/>
        <v>317.78570695363294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16.273723532300746</v>
      </c>
      <c r="AA89" s="21">
        <f>EXP(-LN(2)/25)*AA88+(1-EXP(-LN(2)/25))/(LN(2)/25)*Calculateur!V89*Calculateur!X89*VLOOKUP('Données projet'!$B$9,Paramètres!$A$1:$I$89,3,0)*0.475*44/12</f>
        <v>2.0592267407413418</v>
      </c>
      <c r="AB89" s="21">
        <f>EXP(-LN(2)/2)*AB88+(1-EXP(-LN(2)/2))/(LN(2)/2)*V89*Y89*VLOOKUP('Données projet'!$B$9,Paramètres!$A$1:$I$89,3,0)*0.475*44/12</f>
        <v>2.1340411593913196E-9</v>
      </c>
      <c r="AC89" s="22">
        <f t="shared" si="57"/>
        <v>18.332950275176128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>
        <f>AI89*VLOOKUP('Données projet'!$B$10,Paramètres!$A$1:$I$89,3,0)*VLOOKUP('Données projet'!$B$10,Paramètres!$A$1:$I$89,5,0)</f>
        <v>0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123.44750406183283</v>
      </c>
      <c r="AO89" s="59">
        <f t="shared" si="90"/>
        <v>346.72009411328929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17.970983041804526</v>
      </c>
      <c r="AV89" s="21">
        <f>EXP(-LN(2)/25)*AV88+(1-EXP(-LN(2)/25))/(LN(2)/25)*Calculateur!AQ89*Calculateur!AS89*VLOOKUP('Données projet'!$B$10,Paramètres!$A$1:$I$89,3,0)*0.475*44/12</f>
        <v>2.273992719837064</v>
      </c>
      <c r="AW89" s="21">
        <f>EXP(-LN(2)/2)*AW88+(1-EXP(-LN(2)/2))/(LN(2)/2)*AQ89*AT89*VLOOKUP('Données projet'!$B$10,Paramètres!$A$1:$I$89,3,0)*0.475*44/12</f>
        <v>2.3566098692664887E-9</v>
      </c>
      <c r="AX89" s="21">
        <f t="shared" si="60"/>
        <v>20.244975763998202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>
        <f>BD89*VLOOKUP('Données projet'!$B$11,Paramètres!$A$1:$I$89,3,0)*VLOOKUP('Données projet'!$B$11,Paramètres!$A$1:$I$89,5,0)</f>
        <v>0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123.44750406183283</v>
      </c>
      <c r="BJ89" s="59">
        <f t="shared" si="92"/>
        <v>346.72009411328929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17.970983041804526</v>
      </c>
      <c r="BQ89" s="21">
        <f>EXP(-LN(2)/25)*BQ88+(1-EXP(-LN(2)/25))/(LN(2)/25)*Calculateur!BL89*Calculateur!BN89*VLOOKUP('Données projet'!$B$11,Paramètres!$A$1:$I$89,3,0)*0.475*44/12</f>
        <v>2.273992719837064</v>
      </c>
      <c r="BR89" s="21">
        <f>EXP(-LN(2)/2)*BR88+(1-EXP(-LN(2)/2))/(LN(2)/2)*BL89*BO89*VLOOKUP('Données projet'!$B$11,Paramètres!$A$1:$I$89,3,0)*0.475*44/12</f>
        <v>2.3566098692664887E-9</v>
      </c>
      <c r="BS89" s="22">
        <f t="shared" si="63"/>
        <v>20.244975763998202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7">
        <f t="shared" si="56"/>
        <v>183.33333333333334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112.82287576550925</v>
      </c>
      <c r="T90" s="59">
        <f t="shared" si="88"/>
        <v>317.78570695363294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15.954605739823572</v>
      </c>
      <c r="AA90" s="21">
        <f>EXP(-LN(2)/25)*AA89+(1-EXP(-LN(2)/25))/(LN(2)/25)*Calculateur!V90*Calculateur!X90*VLOOKUP('Données projet'!$B$9,Paramètres!$A$1:$I$89,3,0)*0.475*44/12</f>
        <v>2.0029170772257419</v>
      </c>
      <c r="AB90" s="21">
        <f>EXP(-LN(2)/2)*AB89+(1-EXP(-LN(2)/2))/(LN(2)/2)*V90*Y90*VLOOKUP('Données projet'!$B$9,Paramètres!$A$1:$I$89,3,0)*0.475*44/12</f>
        <v>1.508994975136804E-9</v>
      </c>
      <c r="AC90" s="22">
        <f t="shared" si="57"/>
        <v>17.957522818558306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>
        <f>AI90*VLOOKUP('Données projet'!$B$10,Paramètres!$A$1:$I$89,3,0)*VLOOKUP('Données projet'!$B$10,Paramètres!$A$1:$I$89,5,0)</f>
        <v>0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123.44750406183283</v>
      </c>
      <c r="AO90" s="59">
        <f t="shared" si="90"/>
        <v>346.72009411328929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17.618583025572065</v>
      </c>
      <c r="AV90" s="21">
        <f>EXP(-LN(2)/25)*AV89+(1-EXP(-LN(2)/25))/(LN(2)/25)*Calculateur!AQ90*Calculateur!AS90*VLOOKUP('Données projet'!$B$10,Paramètres!$A$1:$I$89,3,0)*0.475*44/12</f>
        <v>2.2118102693290398</v>
      </c>
      <c r="AW90" s="21">
        <f>EXP(-LN(2)/2)*AW89+(1-EXP(-LN(2)/2))/(LN(2)/2)*AQ90*AT90*VLOOKUP('Données projet'!$B$10,Paramètres!$A$1:$I$89,3,0)*0.475*44/12</f>
        <v>1.6663748191694774E-9</v>
      </c>
      <c r="AX90" s="21">
        <f t="shared" si="60"/>
        <v>19.830393296567479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>
        <f>BD90*VLOOKUP('Données projet'!$B$11,Paramètres!$A$1:$I$89,3,0)*VLOOKUP('Données projet'!$B$11,Paramètres!$A$1:$I$89,5,0)</f>
        <v>0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123.44750406183283</v>
      </c>
      <c r="BJ90" s="59">
        <f t="shared" si="92"/>
        <v>346.72009411328929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17.618583025572065</v>
      </c>
      <c r="BQ90" s="21">
        <f>EXP(-LN(2)/25)*BQ89+(1-EXP(-LN(2)/25))/(LN(2)/25)*Calculateur!BL90*Calculateur!BN90*VLOOKUP('Données projet'!$B$11,Paramètres!$A$1:$I$89,3,0)*0.475*44/12</f>
        <v>2.2118102693290398</v>
      </c>
      <c r="BR90" s="21">
        <f>EXP(-LN(2)/2)*BR89+(1-EXP(-LN(2)/2))/(LN(2)/2)*BL90*BO90*VLOOKUP('Données projet'!$B$11,Paramètres!$A$1:$I$89,3,0)*0.475*44/12</f>
        <v>1.6663748191694774E-9</v>
      </c>
      <c r="BS90" s="22">
        <f t="shared" si="63"/>
        <v>19.830393296567479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7">
        <f t="shared" si="56"/>
        <v>183.33333333333334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112.82287576550925</v>
      </c>
      <c r="T91" s="59">
        <f t="shared" si="88"/>
        <v>317.78570695363294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15.641745652614242</v>
      </c>
      <c r="AA91" s="21">
        <f>EXP(-LN(2)/25)*AA90+(1-EXP(-LN(2)/25))/(LN(2)/25)*Calculateur!V91*Calculateur!X91*VLOOKUP('Données projet'!$B$9,Paramètres!$A$1:$I$89,3,0)*0.475*44/12</f>
        <v>1.9481472044201726</v>
      </c>
      <c r="AB91" s="21">
        <f>EXP(-LN(2)/2)*AB90+(1-EXP(-LN(2)/2))/(LN(2)/2)*V91*Y91*VLOOKUP('Données projet'!$B$9,Paramètres!$A$1:$I$89,3,0)*0.475*44/12</f>
        <v>1.0670205796956598E-9</v>
      </c>
      <c r="AC91" s="22">
        <f t="shared" si="57"/>
        <v>17.589892858101436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>
        <f>AI91*VLOOKUP('Données projet'!$B$10,Paramètres!$A$1:$I$89,3,0)*VLOOKUP('Données projet'!$B$10,Paramètres!$A$1:$I$89,5,0)</f>
        <v>0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123.44750406183283</v>
      </c>
      <c r="AO91" s="59">
        <f t="shared" si="90"/>
        <v>346.72009411328929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17.273093358715137</v>
      </c>
      <c r="AV91" s="21">
        <f>EXP(-LN(2)/25)*AV90+(1-EXP(-LN(2)/25))/(LN(2)/25)*Calculateur!AQ91*Calculateur!AS91*VLOOKUP('Données projet'!$B$10,Paramètres!$A$1:$I$89,3,0)*0.475*44/12</f>
        <v>2.1513282012001902</v>
      </c>
      <c r="AW91" s="21">
        <f>EXP(-LN(2)/2)*AW90+(1-EXP(-LN(2)/2))/(LN(2)/2)*AQ91*AT91*VLOOKUP('Données projet'!$B$10,Paramètres!$A$1:$I$89,3,0)*0.475*44/12</f>
        <v>1.1783049346332444E-9</v>
      </c>
      <c r="AX91" s="21">
        <f t="shared" si="60"/>
        <v>19.424421561093631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>
        <f>BD91*VLOOKUP('Données projet'!$B$11,Paramètres!$A$1:$I$89,3,0)*VLOOKUP('Données projet'!$B$11,Paramètres!$A$1:$I$89,5,0)</f>
        <v>0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123.44750406183283</v>
      </c>
      <c r="BJ91" s="59">
        <f t="shared" si="92"/>
        <v>346.72009411328929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17.273093358715137</v>
      </c>
      <c r="BQ91" s="21">
        <f>EXP(-LN(2)/25)*BQ90+(1-EXP(-LN(2)/25))/(LN(2)/25)*Calculateur!BL91*Calculateur!BN91*VLOOKUP('Données projet'!$B$11,Paramètres!$A$1:$I$89,3,0)*0.475*44/12</f>
        <v>2.1513282012001902</v>
      </c>
      <c r="BR91" s="21">
        <f>EXP(-LN(2)/2)*BR90+(1-EXP(-LN(2)/2))/(LN(2)/2)*BL91*BO91*VLOOKUP('Données projet'!$B$11,Paramètres!$A$1:$I$89,3,0)*0.475*44/12</f>
        <v>1.1783049346332444E-9</v>
      </c>
      <c r="BS91" s="22">
        <f t="shared" si="63"/>
        <v>19.424421561093631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7">
        <f t="shared" si="56"/>
        <v>183.33333333333334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112.82287576550925</v>
      </c>
      <c r="T92" s="59">
        <f t="shared" si="88"/>
        <v>317.78570695363294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15.335020560889276</v>
      </c>
      <c r="AA92" s="21">
        <f>EXP(-LN(2)/25)*AA91+(1-EXP(-LN(2)/25))/(LN(2)/25)*Calculateur!V92*Calculateur!X92*VLOOKUP('Données projet'!$B$9,Paramètres!$A$1:$I$89,3,0)*0.475*44/12</f>
        <v>1.8948750166666941</v>
      </c>
      <c r="AB92" s="21">
        <f>EXP(-LN(2)/2)*AB91+(1-EXP(-LN(2)/2))/(LN(2)/2)*V92*Y92*VLOOKUP('Données projet'!$B$9,Paramètres!$A$1:$I$89,3,0)*0.475*44/12</f>
        <v>7.54497487568402E-10</v>
      </c>
      <c r="AC92" s="22">
        <f t="shared" si="57"/>
        <v>17.229895578310469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>
        <f>AI92*VLOOKUP('Données projet'!$B$10,Paramètres!$A$1:$I$89,3,0)*VLOOKUP('Données projet'!$B$10,Paramètres!$A$1:$I$89,5,0)</f>
        <v>0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123.44750406183283</v>
      </c>
      <c r="AO92" s="59">
        <f t="shared" si="90"/>
        <v>346.72009411328929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16.934378533497384</v>
      </c>
      <c r="AV92" s="21">
        <f>EXP(-LN(2)/25)*AV91+(1-EXP(-LN(2)/25))/(LN(2)/25)*Calculateur!AQ92*Calculateur!AS92*VLOOKUP('Données projet'!$B$10,Paramètres!$A$1:$I$89,3,0)*0.475*44/12</f>
        <v>2.0925000184049378</v>
      </c>
      <c r="AW92" s="21">
        <f>EXP(-LN(2)/2)*AW91+(1-EXP(-LN(2)/2))/(LN(2)/2)*AQ92*AT92*VLOOKUP('Données projet'!$B$10,Paramètres!$A$1:$I$89,3,0)*0.475*44/12</f>
        <v>8.3318740958473872E-10</v>
      </c>
      <c r="AX92" s="21">
        <f t="shared" si="60"/>
        <v>19.026878552735507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>
        <f>BD92*VLOOKUP('Données projet'!$B$11,Paramètres!$A$1:$I$89,3,0)*VLOOKUP('Données projet'!$B$11,Paramètres!$A$1:$I$89,5,0)</f>
        <v>0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123.44750406183283</v>
      </c>
      <c r="BJ92" s="59">
        <f t="shared" si="92"/>
        <v>346.72009411328929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16.934378533497384</v>
      </c>
      <c r="BQ92" s="21">
        <f>EXP(-LN(2)/25)*BQ91+(1-EXP(-LN(2)/25))/(LN(2)/25)*Calculateur!BL92*Calculateur!BN92*VLOOKUP('Données projet'!$B$11,Paramètres!$A$1:$I$89,3,0)*0.475*44/12</f>
        <v>2.0925000184049378</v>
      </c>
      <c r="BR92" s="21">
        <f>EXP(-LN(2)/2)*BR91+(1-EXP(-LN(2)/2))/(LN(2)/2)*BL92*BO92*VLOOKUP('Données projet'!$B$11,Paramètres!$A$1:$I$89,3,0)*0.475*44/12</f>
        <v>8.3318740958473872E-10</v>
      </c>
      <c r="BS92" s="22">
        <f t="shared" si="63"/>
        <v>19.026878552735507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7">
        <f t="shared" si="56"/>
        <v>183.33333333333334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112.82287576550925</v>
      </c>
      <c r="T93" s="59">
        <f t="shared" si="88"/>
        <v>317.78570695363294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15.034310161129204</v>
      </c>
      <c r="AA93" s="21">
        <f>EXP(-LN(2)/25)*AA92+(1-EXP(-LN(2)/25))/(LN(2)/25)*Calculateur!V93*Calculateur!X93*VLOOKUP('Données projet'!$B$9,Paramètres!$A$1:$I$89,3,0)*0.475*44/12</f>
        <v>1.8430595596887971</v>
      </c>
      <c r="AB93" s="21">
        <f>EXP(-LN(2)/2)*AB92+(1-EXP(-LN(2)/2))/(LN(2)/2)*V93*Y93*VLOOKUP('Données projet'!$B$9,Paramètres!$A$1:$I$89,3,0)*0.475*44/12</f>
        <v>5.3351028984782989E-10</v>
      </c>
      <c r="AC93" s="22">
        <f t="shared" si="57"/>
        <v>16.877369721351513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>
        <f>AI93*VLOOKUP('Données projet'!$B$10,Paramètres!$A$1:$I$89,3,0)*VLOOKUP('Données projet'!$B$10,Paramètres!$A$1:$I$89,5,0)</f>
        <v>0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123.44750406183283</v>
      </c>
      <c r="AO93" s="59">
        <f t="shared" si="90"/>
        <v>346.72009411328929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16.602305699406507</v>
      </c>
      <c r="AV93" s="21">
        <f>EXP(-LN(2)/25)*AV92+(1-EXP(-LN(2)/25))/(LN(2)/25)*Calculateur!AQ93*Calculateur!AS93*VLOOKUP('Données projet'!$B$10,Paramètres!$A$1:$I$89,3,0)*0.475*44/12</f>
        <v>2.0352804953618615</v>
      </c>
      <c r="AW93" s="21">
        <f>EXP(-LN(2)/2)*AW92+(1-EXP(-LN(2)/2))/(LN(2)/2)*AQ93*AT93*VLOOKUP('Données projet'!$B$10,Paramètres!$A$1:$I$89,3,0)*0.475*44/12</f>
        <v>5.8915246731662218E-10</v>
      </c>
      <c r="AX93" s="21">
        <f t="shared" si="60"/>
        <v>18.637586195357521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>
        <f>BD93*VLOOKUP('Données projet'!$B$11,Paramètres!$A$1:$I$89,3,0)*VLOOKUP('Données projet'!$B$11,Paramètres!$A$1:$I$89,5,0)</f>
        <v>0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123.44750406183283</v>
      </c>
      <c r="BJ93" s="59">
        <f t="shared" si="92"/>
        <v>346.72009411328929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16.602305699406507</v>
      </c>
      <c r="BQ93" s="21">
        <f>EXP(-LN(2)/25)*BQ92+(1-EXP(-LN(2)/25))/(LN(2)/25)*Calculateur!BL93*Calculateur!BN93*VLOOKUP('Données projet'!$B$11,Paramètres!$A$1:$I$89,3,0)*0.475*44/12</f>
        <v>2.0352804953618615</v>
      </c>
      <c r="BR93" s="21">
        <f>EXP(-LN(2)/2)*BR92+(1-EXP(-LN(2)/2))/(LN(2)/2)*BL93*BO93*VLOOKUP('Données projet'!$B$11,Paramètres!$A$1:$I$89,3,0)*0.475*44/12</f>
        <v>5.8915246731662218E-10</v>
      </c>
      <c r="BS93" s="22">
        <f t="shared" si="63"/>
        <v>18.637586195357521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7">
        <f t="shared" si="56"/>
        <v>183.33333333333334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112.82287576550925</v>
      </c>
      <c r="T94" s="59">
        <f t="shared" si="88"/>
        <v>317.78570695363294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14.739496508893193</v>
      </c>
      <c r="AA94" s="21">
        <f>EXP(-LN(2)/25)*AA93+(1-EXP(-LN(2)/25))/(LN(2)/25)*Calculateur!V94*Calculateur!X94*VLOOKUP('Données projet'!$B$9,Paramètres!$A$1:$I$89,3,0)*0.475*44/12</f>
        <v>1.792660999106817</v>
      </c>
      <c r="AB94" s="21">
        <f>EXP(-LN(2)/2)*AB93+(1-EXP(-LN(2)/2))/(LN(2)/2)*V94*Y94*VLOOKUP('Données projet'!$B$9,Paramètres!$A$1:$I$89,3,0)*0.475*44/12</f>
        <v>3.77248743784201E-10</v>
      </c>
      <c r="AC94" s="22">
        <f t="shared" si="57"/>
        <v>16.53215750837726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>
        <f>AI94*VLOOKUP('Données projet'!$B$10,Paramètres!$A$1:$I$89,3,0)*VLOOKUP('Données projet'!$B$10,Paramètres!$A$1:$I$89,5,0)</f>
        <v>0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123.44750406183283</v>
      </c>
      <c r="AO94" s="59">
        <f t="shared" si="90"/>
        <v>346.72009411328929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16.276744611047722</v>
      </c>
      <c r="AV94" s="21">
        <f>EXP(-LN(2)/25)*AV93+(1-EXP(-LN(2)/25))/(LN(2)/25)*Calculateur!AQ94*Calculateur!AS94*VLOOKUP('Données projet'!$B$10,Paramètres!$A$1:$I$89,3,0)*0.475*44/12</f>
        <v>1.9796256431854418</v>
      </c>
      <c r="AW94" s="21">
        <f>EXP(-LN(2)/2)*AW93+(1-EXP(-LN(2)/2))/(LN(2)/2)*AQ94*AT94*VLOOKUP('Données projet'!$B$10,Paramètres!$A$1:$I$89,3,0)*0.475*44/12</f>
        <v>4.1659370479236936E-10</v>
      </c>
      <c r="AX94" s="21">
        <f t="shared" si="60"/>
        <v>18.256370254649759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>
        <f>BD94*VLOOKUP('Données projet'!$B$11,Paramètres!$A$1:$I$89,3,0)*VLOOKUP('Données projet'!$B$11,Paramètres!$A$1:$I$89,5,0)</f>
        <v>0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123.44750406183283</v>
      </c>
      <c r="BJ94" s="59">
        <f t="shared" si="92"/>
        <v>346.72009411328929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16.276744611047722</v>
      </c>
      <c r="BQ94" s="21">
        <f>EXP(-LN(2)/25)*BQ93+(1-EXP(-LN(2)/25))/(LN(2)/25)*Calculateur!BL94*Calculateur!BN94*VLOOKUP('Données projet'!$B$11,Paramètres!$A$1:$I$89,3,0)*0.475*44/12</f>
        <v>1.9796256431854418</v>
      </c>
      <c r="BR94" s="21">
        <f>EXP(-LN(2)/2)*BR93+(1-EXP(-LN(2)/2))/(LN(2)/2)*BL94*BO94*VLOOKUP('Données projet'!$B$11,Paramètres!$A$1:$I$89,3,0)*0.475*44/12</f>
        <v>4.1659370479236936E-10</v>
      </c>
      <c r="BS94" s="22">
        <f t="shared" si="63"/>
        <v>18.256370254649759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7">
        <f t="shared" si="56"/>
        <v>183.33333333333334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112.82287576550925</v>
      </c>
      <c r="T95" s="59">
        <f t="shared" si="88"/>
        <v>317.78570695363294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14.450463972558959</v>
      </c>
      <c r="AA95" s="21">
        <f>EXP(-LN(2)/25)*AA94+(1-EXP(-LN(2)/25))/(LN(2)/25)*Calculateur!V95*Calculateur!X95*VLOOKUP('Données projet'!$B$9,Paramètres!$A$1:$I$89,3,0)*0.475*44/12</f>
        <v>1.7436405898142964</v>
      </c>
      <c r="AB95" s="21">
        <f>EXP(-LN(2)/2)*AB94+(1-EXP(-LN(2)/2))/(LN(2)/2)*V95*Y95*VLOOKUP('Données projet'!$B$9,Paramètres!$A$1:$I$89,3,0)*0.475*44/12</f>
        <v>2.6675514492391495E-10</v>
      </c>
      <c r="AC95" s="22">
        <f t="shared" si="57"/>
        <v>16.19410456264001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>
        <f>AI95*VLOOKUP('Données projet'!$B$10,Paramètres!$A$1:$I$89,3,0)*VLOOKUP('Données projet'!$B$10,Paramètres!$A$1:$I$89,5,0)</f>
        <v>0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123.44750406183283</v>
      </c>
      <c r="AO95" s="59">
        <f t="shared" si="90"/>
        <v>346.72009411328929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15.957567577058997</v>
      </c>
      <c r="AV95" s="21">
        <f>EXP(-LN(2)/25)*AV94+(1-EXP(-LN(2)/25))/(LN(2)/25)*Calculateur!AQ95*Calculateur!AS95*VLOOKUP('Données projet'!$B$10,Paramètres!$A$1:$I$89,3,0)*0.475*44/12</f>
        <v>1.9254926758685478</v>
      </c>
      <c r="AW95" s="21">
        <f>EXP(-LN(2)/2)*AW94+(1-EXP(-LN(2)/2))/(LN(2)/2)*AQ95*AT95*VLOOKUP('Données projet'!$B$10,Paramètres!$A$1:$I$89,3,0)*0.475*44/12</f>
        <v>2.9457623365831109E-10</v>
      </c>
      <c r="AX95" s="21">
        <f t="shared" si="60"/>
        <v>17.883060253222123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>
        <f>BD95*VLOOKUP('Données projet'!$B$11,Paramètres!$A$1:$I$89,3,0)*VLOOKUP('Données projet'!$B$11,Paramètres!$A$1:$I$89,5,0)</f>
        <v>0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123.44750406183283</v>
      </c>
      <c r="BJ95" s="59">
        <f t="shared" si="92"/>
        <v>346.72009411328929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15.957567577058997</v>
      </c>
      <c r="BQ95" s="21">
        <f>EXP(-LN(2)/25)*BQ94+(1-EXP(-LN(2)/25))/(LN(2)/25)*Calculateur!BL95*Calculateur!BN95*VLOOKUP('Données projet'!$B$11,Paramètres!$A$1:$I$89,3,0)*0.475*44/12</f>
        <v>1.9254926758685478</v>
      </c>
      <c r="BR95" s="21">
        <f>EXP(-LN(2)/2)*BR94+(1-EXP(-LN(2)/2))/(LN(2)/2)*BL95*BO95*VLOOKUP('Données projet'!$B$11,Paramètres!$A$1:$I$89,3,0)*0.475*44/12</f>
        <v>2.9457623365831109E-10</v>
      </c>
      <c r="BS95" s="22">
        <f t="shared" si="63"/>
        <v>17.883060253222123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7">
        <f t="shared" si="56"/>
        <v>183.33333333333334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112.82287576550925</v>
      </c>
      <c r="T96" s="59">
        <f t="shared" si="88"/>
        <v>317.78570695363294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14.1670991879698</v>
      </c>
      <c r="AA96" s="21">
        <f>EXP(-LN(2)/25)*AA95+(1-EXP(-LN(2)/25))/(LN(2)/25)*Calculateur!V96*Calculateur!X96*VLOOKUP('Données projet'!$B$9,Paramètres!$A$1:$I$89,3,0)*0.475*44/12</f>
        <v>1.6959606461917509</v>
      </c>
      <c r="AB96" s="21">
        <f>EXP(-LN(2)/2)*AB95+(1-EXP(-LN(2)/2))/(LN(2)/2)*V96*Y96*VLOOKUP('Données projet'!$B$9,Paramètres!$A$1:$I$89,3,0)*0.475*44/12</f>
        <v>1.886243718921005E-10</v>
      </c>
      <c r="AC96" s="22">
        <f t="shared" si="57"/>
        <v>15.863059834350175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>
        <f>AI96*VLOOKUP('Données projet'!$B$10,Paramètres!$A$1:$I$89,3,0)*VLOOKUP('Données projet'!$B$10,Paramètres!$A$1:$I$89,5,0)</f>
        <v>0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123.44750406183283</v>
      </c>
      <c r="AO96" s="59">
        <f t="shared" si="90"/>
        <v>346.72009411328929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15.644649410028023</v>
      </c>
      <c r="AV96" s="21">
        <f>EXP(-LN(2)/25)*AV95+(1-EXP(-LN(2)/25))/(LN(2)/25)*Calculateur!AQ96*Calculateur!AS96*VLOOKUP('Données projet'!$B$10,Paramètres!$A$1:$I$89,3,0)*0.475*44/12</f>
        <v>1.8728399773896633</v>
      </c>
      <c r="AW96" s="21">
        <f>EXP(-LN(2)/2)*AW95+(1-EXP(-LN(2)/2))/(LN(2)/2)*AQ96*AT96*VLOOKUP('Données projet'!$B$10,Paramètres!$A$1:$I$89,3,0)*0.475*44/12</f>
        <v>2.0829685239618468E-10</v>
      </c>
      <c r="AX96" s="21">
        <f t="shared" si="60"/>
        <v>17.517489387625982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>
        <f>BD96*VLOOKUP('Données projet'!$B$11,Paramètres!$A$1:$I$89,3,0)*VLOOKUP('Données projet'!$B$11,Paramètres!$A$1:$I$89,5,0)</f>
        <v>0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123.44750406183283</v>
      </c>
      <c r="BJ96" s="59">
        <f t="shared" si="92"/>
        <v>346.72009411328929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15.644649410028023</v>
      </c>
      <c r="BQ96" s="21">
        <f>EXP(-LN(2)/25)*BQ95+(1-EXP(-LN(2)/25))/(LN(2)/25)*Calculateur!BL96*Calculateur!BN96*VLOOKUP('Données projet'!$B$11,Paramètres!$A$1:$I$89,3,0)*0.475*44/12</f>
        <v>1.8728399773896633</v>
      </c>
      <c r="BR96" s="21">
        <f>EXP(-LN(2)/2)*BR95+(1-EXP(-LN(2)/2))/(LN(2)/2)*BL96*BO96*VLOOKUP('Données projet'!$B$11,Paramètres!$A$1:$I$89,3,0)*0.475*44/12</f>
        <v>2.0829685239618468E-10</v>
      </c>
      <c r="BS96" s="22">
        <f t="shared" si="63"/>
        <v>17.517489387625982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7">
        <f t="shared" si="56"/>
        <v>183.33333333333334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112.82287576550925</v>
      </c>
      <c r="T97" s="59">
        <f t="shared" si="88"/>
        <v>317.78570695363294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13.889291013970981</v>
      </c>
      <c r="AA97" s="21">
        <f>EXP(-LN(2)/25)*AA96+(1-EXP(-LN(2)/25))/(LN(2)/25)*Calculateur!V97*Calculateur!X97*VLOOKUP('Données projet'!$B$9,Paramètres!$A$1:$I$89,3,0)*0.475*44/12</f>
        <v>1.6495845131349434</v>
      </c>
      <c r="AB97" s="21">
        <f>EXP(-LN(2)/2)*AB96+(1-EXP(-LN(2)/2))/(LN(2)/2)*V97*Y97*VLOOKUP('Données projet'!$B$9,Paramètres!$A$1:$I$89,3,0)*0.475*44/12</f>
        <v>1.3337757246195747E-10</v>
      </c>
      <c r="AC97" s="22">
        <f t="shared" si="57"/>
        <v>15.538875527239302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>
        <f>AI97*VLOOKUP('Données projet'!$B$10,Paramètres!$A$1:$I$89,3,0)*VLOOKUP('Données projet'!$B$10,Paramètres!$A$1:$I$89,5,0)</f>
        <v>0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123.44750406183283</v>
      </c>
      <c r="AO97" s="59">
        <f t="shared" si="90"/>
        <v>346.72009411328929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15.337867377391291</v>
      </c>
      <c r="AV97" s="21">
        <f>EXP(-LN(2)/25)*AV96+(1-EXP(-LN(2)/25))/(LN(2)/25)*Calculateur!AQ97*Calculateur!AS97*VLOOKUP('Données projet'!$B$10,Paramètres!$A$1:$I$89,3,0)*0.475*44/12</f>
        <v>1.8216270697195691</v>
      </c>
      <c r="AW97" s="21">
        <f>EXP(-LN(2)/2)*AW96+(1-EXP(-LN(2)/2))/(LN(2)/2)*AQ97*AT97*VLOOKUP('Données projet'!$B$10,Paramètres!$A$1:$I$89,3,0)*0.475*44/12</f>
        <v>1.4728811682915555E-10</v>
      </c>
      <c r="AX97" s="21">
        <f t="shared" si="60"/>
        <v>17.159494447258147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>
        <f>BD97*VLOOKUP('Données projet'!$B$11,Paramètres!$A$1:$I$89,3,0)*VLOOKUP('Données projet'!$B$11,Paramètres!$A$1:$I$89,5,0)</f>
        <v>0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123.44750406183283</v>
      </c>
      <c r="BJ97" s="59">
        <f t="shared" si="92"/>
        <v>346.72009411328929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15.337867377391291</v>
      </c>
      <c r="BQ97" s="21">
        <f>EXP(-LN(2)/25)*BQ96+(1-EXP(-LN(2)/25))/(LN(2)/25)*Calculateur!BL97*Calculateur!BN97*VLOOKUP('Données projet'!$B$11,Paramètres!$A$1:$I$89,3,0)*0.475*44/12</f>
        <v>1.8216270697195691</v>
      </c>
      <c r="BR97" s="21">
        <f>EXP(-LN(2)/2)*BR96+(1-EXP(-LN(2)/2))/(LN(2)/2)*BL97*BO97*VLOOKUP('Données projet'!$B$11,Paramètres!$A$1:$I$89,3,0)*0.475*44/12</f>
        <v>1.4728811682915555E-10</v>
      </c>
      <c r="BS97" s="22">
        <f t="shared" si="63"/>
        <v>17.159494447258147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7">
        <f t="shared" si="56"/>
        <v>183.33333333333334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112.82287576550925</v>
      </c>
      <c r="T98" s="59">
        <f t="shared" si="88"/>
        <v>317.78570695363294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13.616930488818024</v>
      </c>
      <c r="AA98" s="21">
        <f>EXP(-LN(2)/25)*AA97+(1-EXP(-LN(2)/25))/(LN(2)/25)*Calculateur!V98*Calculateur!X98*VLOOKUP('Données projet'!$B$9,Paramètres!$A$1:$I$89,3,0)*0.475*44/12</f>
        <v>1.6044765378753889</v>
      </c>
      <c r="AB98" s="21">
        <f>EXP(-LN(2)/2)*AB97+(1-EXP(-LN(2)/2))/(LN(2)/2)*V98*Y98*VLOOKUP('Données projet'!$B$9,Paramètres!$A$1:$I$89,3,0)*0.475*44/12</f>
        <v>9.431218594605025E-11</v>
      </c>
      <c r="AC98" s="22">
        <f t="shared" si="57"/>
        <v>15.221407026787725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>
        <f>AI98*VLOOKUP('Données projet'!$B$10,Paramètres!$A$1:$I$89,3,0)*VLOOKUP('Données projet'!$B$10,Paramètres!$A$1:$I$89,5,0)</f>
        <v>0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123.44750406183283</v>
      </c>
      <c r="AO98" s="59">
        <f t="shared" si="90"/>
        <v>346.72009411328929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15.037101153296001</v>
      </c>
      <c r="AV98" s="21">
        <f>EXP(-LN(2)/25)*AV97+(1-EXP(-LN(2)/25))/(LN(2)/25)*Calculateur!AQ98*Calculateur!AS98*VLOOKUP('Données projet'!$B$10,Paramètres!$A$1:$I$89,3,0)*0.475*44/12</f>
        <v>1.7718145817028832</v>
      </c>
      <c r="AW98" s="21">
        <f>EXP(-LN(2)/2)*AW97+(1-EXP(-LN(2)/2))/(LN(2)/2)*AQ98*AT98*VLOOKUP('Données projet'!$B$10,Paramètres!$A$1:$I$89,3,0)*0.475*44/12</f>
        <v>1.0414842619809234E-10</v>
      </c>
      <c r="AX98" s="21">
        <f t="shared" si="60"/>
        <v>16.808915735103032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>
        <f>BD98*VLOOKUP('Données projet'!$B$11,Paramètres!$A$1:$I$89,3,0)*VLOOKUP('Données projet'!$B$11,Paramètres!$A$1:$I$89,5,0)</f>
        <v>0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123.44750406183283</v>
      </c>
      <c r="BJ98" s="59">
        <f t="shared" si="92"/>
        <v>346.72009411328929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15.037101153296001</v>
      </c>
      <c r="BQ98" s="21">
        <f>EXP(-LN(2)/25)*BQ97+(1-EXP(-LN(2)/25))/(LN(2)/25)*Calculateur!BL98*Calculateur!BN98*VLOOKUP('Données projet'!$B$11,Paramètres!$A$1:$I$89,3,0)*0.475*44/12</f>
        <v>1.7718145817028832</v>
      </c>
      <c r="BR98" s="21">
        <f>EXP(-LN(2)/2)*BR97+(1-EXP(-LN(2)/2))/(LN(2)/2)*BL98*BO98*VLOOKUP('Données projet'!$B$11,Paramètres!$A$1:$I$89,3,0)*0.475*44/12</f>
        <v>1.0414842619809234E-10</v>
      </c>
      <c r="BS98" s="22">
        <f t="shared" si="63"/>
        <v>16.808915735103032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7">
        <f t="shared" si="56"/>
        <v>183.33333333333334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112.82287576550925</v>
      </c>
      <c r="T99" s="59">
        <f t="shared" si="88"/>
        <v>317.78570695363294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13.3499107874398</v>
      </c>
      <c r="AA99" s="21">
        <f>EXP(-LN(2)/25)*AA98+(1-EXP(-LN(2)/25))/(LN(2)/25)*Calculateur!V99*Calculateur!X99*VLOOKUP('Données projet'!$B$9,Paramètres!$A$1:$I$89,3,0)*0.475*44/12</f>
        <v>1.5606020425714324</v>
      </c>
      <c r="AB99" s="21">
        <f>EXP(-LN(2)/2)*AB98+(1-EXP(-LN(2)/2))/(LN(2)/2)*V99*Y99*VLOOKUP('Données projet'!$B$9,Paramètres!$A$1:$I$89,3,0)*0.475*44/12</f>
        <v>6.6688786230978736E-11</v>
      </c>
      <c r="AC99" s="22">
        <f t="shared" si="57"/>
        <v>14.91051283007792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>
        <f>AI99*VLOOKUP('Données projet'!$B$10,Paramètres!$A$1:$I$89,3,0)*VLOOKUP('Données projet'!$B$10,Paramètres!$A$1:$I$89,5,0)</f>
        <v>0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123.44750406183283</v>
      </c>
      <c r="AO99" s="59">
        <f t="shared" si="90"/>
        <v>346.72009411328929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14.742232771405938</v>
      </c>
      <c r="AV99" s="21">
        <f>EXP(-LN(2)/25)*AV98+(1-EXP(-LN(2)/25))/(LN(2)/25)*Calculateur!AQ99*Calculateur!AS99*VLOOKUP('Données projet'!$B$10,Paramètres!$A$1:$I$89,3,0)*0.475*44/12</f>
        <v>1.7233642187905385</v>
      </c>
      <c r="AW99" s="21">
        <f>EXP(-LN(2)/2)*AW98+(1-EXP(-LN(2)/2))/(LN(2)/2)*AQ99*AT99*VLOOKUP('Données projet'!$B$10,Paramètres!$A$1:$I$89,3,0)*0.475*44/12</f>
        <v>7.3644058414577773E-11</v>
      </c>
      <c r="AX99" s="21">
        <f t="shared" si="60"/>
        <v>16.465596990270122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>
        <f>BD99*VLOOKUP('Données projet'!$B$11,Paramètres!$A$1:$I$89,3,0)*VLOOKUP('Données projet'!$B$11,Paramètres!$A$1:$I$89,5,0)</f>
        <v>0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123.44750406183283</v>
      </c>
      <c r="BJ99" s="59">
        <f t="shared" si="92"/>
        <v>346.72009411328929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14.742232771405938</v>
      </c>
      <c r="BQ99" s="21">
        <f>EXP(-LN(2)/25)*BQ98+(1-EXP(-LN(2)/25))/(LN(2)/25)*Calculateur!BL99*Calculateur!BN99*VLOOKUP('Données projet'!$B$11,Paramètres!$A$1:$I$89,3,0)*0.475*44/12</f>
        <v>1.7233642187905385</v>
      </c>
      <c r="BR99" s="21">
        <f>EXP(-LN(2)/2)*BR98+(1-EXP(-LN(2)/2))/(LN(2)/2)*BL99*BO99*VLOOKUP('Données projet'!$B$11,Paramètres!$A$1:$I$89,3,0)*0.475*44/12</f>
        <v>7.3644058414577773E-11</v>
      </c>
      <c r="BS99" s="22">
        <f t="shared" si="63"/>
        <v>16.465596990270122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7">
        <f t="shared" si="56"/>
        <v>183.33333333333334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112.82287576550925</v>
      </c>
      <c r="T100" s="59">
        <f t="shared" si="88"/>
        <v>317.78570695363294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13.088127179539667</v>
      </c>
      <c r="AA100" s="21">
        <f>EXP(-LN(2)/25)*AA99+(1-EXP(-LN(2)/25))/(LN(2)/25)*Calculateur!V100*Calculateur!X100*VLOOKUP('Données projet'!$B$9,Paramètres!$A$1:$I$89,3,0)*0.475*44/12</f>
        <v>1.5179272976488221</v>
      </c>
      <c r="AB100" s="21">
        <f>EXP(-LN(2)/2)*AB99+(1-EXP(-LN(2)/2))/(LN(2)/2)*V100*Y100*VLOOKUP('Données projet'!$B$9,Paramètres!$A$1:$I$89,3,0)*0.475*44/12</f>
        <v>4.7156092973025125E-11</v>
      </c>
      <c r="AC100" s="22">
        <f t="shared" si="57"/>
        <v>14.606054477235645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>
        <f>AI100*VLOOKUP('Données projet'!$B$10,Paramètres!$A$1:$I$89,3,0)*VLOOKUP('Données projet'!$B$10,Paramètres!$A$1:$I$89,5,0)</f>
        <v>0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123.44750406183283</v>
      </c>
      <c r="AO100" s="59">
        <f t="shared" si="90"/>
        <v>346.72009411328929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14.453146578632785</v>
      </c>
      <c r="AV100" s="21">
        <f>EXP(-LN(2)/25)*AV99+(1-EXP(-LN(2)/25))/(LN(2)/25)*Calculateur!AQ100*Calculateur!AS100*VLOOKUP('Données projet'!$B$10,Paramètres!$A$1:$I$89,3,0)*0.475*44/12</f>
        <v>1.6762387335999258</v>
      </c>
      <c r="AW100" s="21">
        <f>EXP(-LN(2)/2)*AW99+(1-EXP(-LN(2)/2))/(LN(2)/2)*AQ100*AT100*VLOOKUP('Données projet'!$B$10,Paramètres!$A$1:$I$89,3,0)*0.475*44/12</f>
        <v>5.207421309904617E-11</v>
      </c>
      <c r="AX100" s="21">
        <f t="shared" si="60"/>
        <v>16.129385312284786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>
        <f>BD100*VLOOKUP('Données projet'!$B$11,Paramètres!$A$1:$I$89,3,0)*VLOOKUP('Données projet'!$B$11,Paramètres!$A$1:$I$89,5,0)</f>
        <v>0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123.44750406183283</v>
      </c>
      <c r="BJ100" s="59">
        <f t="shared" si="92"/>
        <v>346.72009411328929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14.453146578632785</v>
      </c>
      <c r="BQ100" s="21">
        <f>EXP(-LN(2)/25)*BQ99+(1-EXP(-LN(2)/25))/(LN(2)/25)*Calculateur!BL100*Calculateur!BN100*VLOOKUP('Données projet'!$B$11,Paramètres!$A$1:$I$89,3,0)*0.475*44/12</f>
        <v>1.6762387335999258</v>
      </c>
      <c r="BR100" s="21">
        <f>EXP(-LN(2)/2)*BR99+(1-EXP(-LN(2)/2))/(LN(2)/2)*BL100*BO100*VLOOKUP('Données projet'!$B$11,Paramètres!$A$1:$I$89,3,0)*0.475*44/12</f>
        <v>5.207421309904617E-11</v>
      </c>
      <c r="BS100" s="22">
        <f t="shared" si="63"/>
        <v>16.129385312284786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7">
        <f t="shared" si="56"/>
        <v>183.33333333333334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112.82287576550925</v>
      </c>
      <c r="T101" s="59">
        <f t="shared" si="88"/>
        <v>317.78570695363294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12.83147698851822</v>
      </c>
      <c r="AA101" s="21">
        <f>EXP(-LN(2)/25)*AA100+(1-EXP(-LN(2)/25))/(LN(2)/25)*Calculateur!V101*Calculateur!X101*VLOOKUP('Données projet'!$B$9,Paramètres!$A$1:$I$89,3,0)*0.475*44/12</f>
        <v>1.4764194958702876</v>
      </c>
      <c r="AB101" s="21">
        <f>EXP(-LN(2)/2)*AB100+(1-EXP(-LN(2)/2))/(LN(2)/2)*V101*Y101*VLOOKUP('Données projet'!$B$9,Paramètres!$A$1:$I$89,3,0)*0.475*44/12</f>
        <v>3.3344393115489368E-11</v>
      </c>
      <c r="AC101" s="22">
        <f t="shared" si="57"/>
        <v>14.307896484421851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>
        <f>AI101*VLOOKUP('Données projet'!$B$10,Paramètres!$A$1:$I$89,3,0)*VLOOKUP('Données projet'!$B$10,Paramètres!$A$1:$I$89,5,0)</f>
        <v>0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123.44750406183283</v>
      </c>
      <c r="AO101" s="59">
        <f t="shared" si="90"/>
        <v>346.72009411328929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14.169729189774745</v>
      </c>
      <c r="AV101" s="21">
        <f>EXP(-LN(2)/25)*AV100+(1-EXP(-LN(2)/25))/(LN(2)/25)*Calculateur!AQ101*Calculateur!AS101*VLOOKUP('Données projet'!$B$10,Paramètres!$A$1:$I$89,3,0)*0.475*44/12</f>
        <v>1.630401897280072</v>
      </c>
      <c r="AW101" s="21">
        <f>EXP(-LN(2)/2)*AW100+(1-EXP(-LN(2)/2))/(LN(2)/2)*AQ101*AT101*VLOOKUP('Données projet'!$B$10,Paramètres!$A$1:$I$89,3,0)*0.475*44/12</f>
        <v>3.6822029207288886E-11</v>
      </c>
      <c r="AX101" s="21">
        <f t="shared" si="60"/>
        <v>15.800131087091639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>
        <f>BD101*VLOOKUP('Données projet'!$B$11,Paramètres!$A$1:$I$89,3,0)*VLOOKUP('Données projet'!$B$11,Paramètres!$A$1:$I$89,5,0)</f>
        <v>0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123.44750406183283</v>
      </c>
      <c r="BJ101" s="59">
        <f t="shared" si="92"/>
        <v>346.72009411328929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14.169729189774745</v>
      </c>
      <c r="BQ101" s="21">
        <f>EXP(-LN(2)/25)*BQ100+(1-EXP(-LN(2)/25))/(LN(2)/25)*Calculateur!BL101*Calculateur!BN101*VLOOKUP('Données projet'!$B$11,Paramètres!$A$1:$I$89,3,0)*0.475*44/12</f>
        <v>1.630401897280072</v>
      </c>
      <c r="BR101" s="21">
        <f>EXP(-LN(2)/2)*BR100+(1-EXP(-LN(2)/2))/(LN(2)/2)*BL101*BO101*VLOOKUP('Données projet'!$B$11,Paramètres!$A$1:$I$89,3,0)*0.475*44/12</f>
        <v>3.6822029207288886E-11</v>
      </c>
      <c r="BS101" s="22">
        <f t="shared" si="63"/>
        <v>15.800131087091639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7">
        <f t="shared" si="56"/>
        <v>183.33333333333334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112.82287576550925</v>
      </c>
      <c r="T102" s="59">
        <f t="shared" si="88"/>
        <v>317.78570695363294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12.579859551201546</v>
      </c>
      <c r="AA102" s="21">
        <f>EXP(-LN(2)/25)*AA101+(1-EXP(-LN(2)/25))/(LN(2)/25)*Calculateur!V102*Calculateur!X102*VLOOKUP('Données projet'!$B$9,Paramètres!$A$1:$I$89,3,0)*0.475*44/12</f>
        <v>1.4360467271141877</v>
      </c>
      <c r="AB102" s="21">
        <f>EXP(-LN(2)/2)*AB101+(1-EXP(-LN(2)/2))/(LN(2)/2)*V102*Y102*VLOOKUP('Données projet'!$B$9,Paramètres!$A$1:$I$89,3,0)*0.475*44/12</f>
        <v>2.3578046486512563E-11</v>
      </c>
      <c r="AC102" s="22">
        <f t="shared" si="57"/>
        <v>14.01590627833931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>
        <f>AI102*VLOOKUP('Données projet'!$B$10,Paramètres!$A$1:$I$89,3,0)*VLOOKUP('Données projet'!$B$10,Paramètres!$A$1:$I$89,5,0)</f>
        <v>0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123.44750406183283</v>
      </c>
      <c r="AO102" s="59">
        <f t="shared" si="90"/>
        <v>346.72009411328929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13.891869443044675</v>
      </c>
      <c r="AV102" s="21">
        <f>EXP(-LN(2)/25)*AV101+(1-EXP(-LN(2)/25))/(LN(2)/25)*Calculateur!AQ102*Calculateur!AS102*VLOOKUP('Données projet'!$B$10,Paramètres!$A$1:$I$89,3,0)*0.475*44/12</f>
        <v>1.5858184716598389</v>
      </c>
      <c r="AW102" s="21">
        <f>EXP(-LN(2)/2)*AW101+(1-EXP(-LN(2)/2))/(LN(2)/2)*AQ102*AT102*VLOOKUP('Données projet'!$B$10,Paramètres!$A$1:$I$89,3,0)*0.475*44/12</f>
        <v>2.6037106549523085E-11</v>
      </c>
      <c r="AX102" s="21">
        <f t="shared" si="60"/>
        <v>15.477687914730552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>
        <f>BD102*VLOOKUP('Données projet'!$B$11,Paramètres!$A$1:$I$89,3,0)*VLOOKUP('Données projet'!$B$11,Paramètres!$A$1:$I$89,5,0)</f>
        <v>0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123.44750406183283</v>
      </c>
      <c r="BJ102" s="59">
        <f t="shared" si="92"/>
        <v>346.72009411328929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13.891869443044675</v>
      </c>
      <c r="BQ102" s="21">
        <f>EXP(-LN(2)/25)*BQ101+(1-EXP(-LN(2)/25))/(LN(2)/25)*Calculateur!BL102*Calculateur!BN102*VLOOKUP('Données projet'!$B$11,Paramètres!$A$1:$I$89,3,0)*0.475*44/12</f>
        <v>1.5858184716598389</v>
      </c>
      <c r="BR102" s="21">
        <f>EXP(-LN(2)/2)*BR101+(1-EXP(-LN(2)/2))/(LN(2)/2)*BL102*BO102*VLOOKUP('Données projet'!$B$11,Paramètres!$A$1:$I$89,3,0)*0.475*44/12</f>
        <v>2.6037106549523085E-11</v>
      </c>
      <c r="BS102" s="22">
        <f t="shared" si="63"/>
        <v>15.477687914730552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7">
        <f t="shared" si="56"/>
        <v>183.33333333333334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112.82287576550925</v>
      </c>
      <c r="T103" s="59">
        <f t="shared" si="88"/>
        <v>317.78570695363294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12.333176178359167</v>
      </c>
      <c r="AA103" s="21">
        <f>EXP(-LN(2)/25)*AA102+(1-EXP(-LN(2)/25))/(LN(2)/25)*Calculateur!V103*Calculateur!X103*VLOOKUP('Données projet'!$B$9,Paramètres!$A$1:$I$89,3,0)*0.475*44/12</f>
        <v>1.3967779538428349</v>
      </c>
      <c r="AB103" s="21">
        <f>EXP(-LN(2)/2)*AB102+(1-EXP(-LN(2)/2))/(LN(2)/2)*V103*Y103*VLOOKUP('Données projet'!$B$9,Paramètres!$A$1:$I$89,3,0)*0.475*44/12</f>
        <v>1.6672196557744684E-11</v>
      </c>
      <c r="AC103" s="22">
        <f t="shared" si="57"/>
        <v>13.729954132218674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>
        <f>AI103*VLOOKUP('Données projet'!$B$10,Paramètres!$A$1:$I$89,3,0)*VLOOKUP('Données projet'!$B$10,Paramètres!$A$1:$I$89,5,0)</f>
        <v>0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123.44750406183283</v>
      </c>
      <c r="AO103" s="59">
        <f t="shared" si="90"/>
        <v>346.72009411328929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13.61945835647027</v>
      </c>
      <c r="AV103" s="21">
        <f>EXP(-LN(2)/25)*AV102+(1-EXP(-LN(2)/25))/(LN(2)/25)*Calculateur!AQ103*Calculateur!AS103*VLOOKUP('Données projet'!$B$10,Paramètres!$A$1:$I$89,3,0)*0.475*44/12</f>
        <v>1.5424541821577316</v>
      </c>
      <c r="AW103" s="21">
        <f>EXP(-LN(2)/2)*AW102+(1-EXP(-LN(2)/2))/(LN(2)/2)*AQ103*AT103*VLOOKUP('Données projet'!$B$10,Paramètres!$A$1:$I$89,3,0)*0.475*44/12</f>
        <v>1.8411014603644443E-11</v>
      </c>
      <c r="AX103" s="21">
        <f t="shared" si="60"/>
        <v>15.161912538646412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>
        <f>BD103*VLOOKUP('Données projet'!$B$11,Paramètres!$A$1:$I$89,3,0)*VLOOKUP('Données projet'!$B$11,Paramètres!$A$1:$I$89,5,0)</f>
        <v>0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123.44750406183283</v>
      </c>
      <c r="BJ103" s="59">
        <f t="shared" si="92"/>
        <v>346.72009411328929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13.61945835647027</v>
      </c>
      <c r="BQ103" s="21">
        <f>EXP(-LN(2)/25)*BQ102+(1-EXP(-LN(2)/25))/(LN(2)/25)*Calculateur!BL103*Calculateur!BN103*VLOOKUP('Données projet'!$B$11,Paramètres!$A$1:$I$89,3,0)*0.475*44/12</f>
        <v>1.5424541821577316</v>
      </c>
      <c r="BR103" s="21">
        <f>EXP(-LN(2)/2)*BR102+(1-EXP(-LN(2)/2))/(LN(2)/2)*BL103*BO103*VLOOKUP('Données projet'!$B$11,Paramètres!$A$1:$I$89,3,0)*0.475*44/12</f>
        <v>1.8411014603644443E-11</v>
      </c>
      <c r="BS103" s="22">
        <f t="shared" si="63"/>
        <v>15.161912538646412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7">
        <f t="shared" si="56"/>
        <v>183.33333333333334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112.82287576550925</v>
      </c>
      <c r="T104" s="59">
        <f t="shared" si="88"/>
        <v>317.78570695363294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12.091330115996229</v>
      </c>
      <c r="AA104" s="21">
        <f>EXP(-LN(2)/25)*AA103+(1-EXP(-LN(2)/25))/(LN(2)/25)*Calculateur!V104*Calculateur!X104*VLOOKUP('Données projet'!$B$9,Paramètres!$A$1:$I$89,3,0)*0.475*44/12</f>
        <v>1.3585829872416424</v>
      </c>
      <c r="AB104" s="21">
        <f>EXP(-LN(2)/2)*AB103+(1-EXP(-LN(2)/2))/(LN(2)/2)*V104*Y104*VLOOKUP('Données projet'!$B$9,Paramètres!$A$1:$I$89,3,0)*0.475*44/12</f>
        <v>1.1789023243256281E-11</v>
      </c>
      <c r="AC104" s="22">
        <f t="shared" si="57"/>
        <v>13.449913103249662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>
        <f>AI104*VLOOKUP('Données projet'!$B$10,Paramètres!$A$1:$I$89,3,0)*VLOOKUP('Données projet'!$B$10,Paramètres!$A$1:$I$89,5,0)</f>
        <v>0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123.44750406183283</v>
      </c>
      <c r="AO104" s="59">
        <f t="shared" si="90"/>
        <v>346.72009411328929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13.352389085149232</v>
      </c>
      <c r="AV104" s="21">
        <f>EXP(-LN(2)/25)*AV103+(1-EXP(-LN(2)/25))/(LN(2)/25)*Calculateur!AQ104*Calculateur!AS104*VLOOKUP('Données projet'!$B$10,Paramètres!$A$1:$I$89,3,0)*0.475*44/12</f>
        <v>1.5002756914324882</v>
      </c>
      <c r="AW104" s="21">
        <f>EXP(-LN(2)/2)*AW103+(1-EXP(-LN(2)/2))/(LN(2)/2)*AQ104*AT104*VLOOKUP('Données projet'!$B$10,Paramètres!$A$1:$I$89,3,0)*0.475*44/12</f>
        <v>1.3018553274761543E-11</v>
      </c>
      <c r="AX104" s="21">
        <f t="shared" si="60"/>
        <v>14.852664776594739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>
        <f>BD104*VLOOKUP('Données projet'!$B$11,Paramètres!$A$1:$I$89,3,0)*VLOOKUP('Données projet'!$B$11,Paramètres!$A$1:$I$89,5,0)</f>
        <v>0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123.44750406183283</v>
      </c>
      <c r="BJ104" s="59">
        <f t="shared" si="92"/>
        <v>346.72009411328929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13.352389085149232</v>
      </c>
      <c r="BQ104" s="21">
        <f>EXP(-LN(2)/25)*BQ103+(1-EXP(-LN(2)/25))/(LN(2)/25)*Calculateur!BL104*Calculateur!BN104*VLOOKUP('Données projet'!$B$11,Paramètres!$A$1:$I$89,3,0)*0.475*44/12</f>
        <v>1.5002756914324882</v>
      </c>
      <c r="BR104" s="21">
        <f>EXP(-LN(2)/2)*BR103+(1-EXP(-LN(2)/2))/(LN(2)/2)*BL104*BO104*VLOOKUP('Données projet'!$B$11,Paramètres!$A$1:$I$89,3,0)*0.475*44/12</f>
        <v>1.3018553274761543E-11</v>
      </c>
      <c r="BS104" s="22">
        <f t="shared" si="63"/>
        <v>14.852664776594739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7">
        <f t="shared" si="56"/>
        <v>183.33333333333334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112.82287576550925</v>
      </c>
      <c r="T105" s="59">
        <f t="shared" si="88"/>
        <v>317.78570695363294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11.854226507404695</v>
      </c>
      <c r="AA105" s="21">
        <f>EXP(-LN(2)/25)*AA104+(1-EXP(-LN(2)/25))/(LN(2)/25)*Calculateur!V105*Calculateur!X105*VLOOKUP('Données projet'!$B$9,Paramètres!$A$1:$I$89,3,0)*0.475*44/12</f>
        <v>1.3214324640107455</v>
      </c>
      <c r="AB105" s="21">
        <f>EXP(-LN(2)/2)*AB104+(1-EXP(-LN(2)/2))/(LN(2)/2)*V105*Y105*VLOOKUP('Données projet'!$B$9,Paramètres!$A$1:$I$89,3,0)*0.475*44/12</f>
        <v>8.336098278872342E-12</v>
      </c>
      <c r="AC105" s="22">
        <f t="shared" si="57"/>
        <v>13.175658971423777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>
        <f>AI105*VLOOKUP('Données projet'!$B$10,Paramètres!$A$1:$I$89,3,0)*VLOOKUP('Données projet'!$B$10,Paramètres!$A$1:$I$89,5,0)</f>
        <v>0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123.44750406183283</v>
      </c>
      <c r="AO105" s="59">
        <f t="shared" si="90"/>
        <v>346.72009411328929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13.09055687934263</v>
      </c>
      <c r="AV105" s="21">
        <f>EXP(-LN(2)/25)*AV104+(1-EXP(-LN(2)/25))/(LN(2)/25)*Calculateur!AQ105*Calculateur!AS105*VLOOKUP('Données projet'!$B$10,Paramètres!$A$1:$I$89,3,0)*0.475*44/12</f>
        <v>1.4592505737541972</v>
      </c>
      <c r="AW105" s="21">
        <f>EXP(-LN(2)/2)*AW104+(1-EXP(-LN(2)/2))/(LN(2)/2)*AQ105*AT105*VLOOKUP('Données projet'!$B$10,Paramètres!$A$1:$I$89,3,0)*0.475*44/12</f>
        <v>9.2055073018222216E-12</v>
      </c>
      <c r="AX105" s="21">
        <f t="shared" si="60"/>
        <v>14.549807453106032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>
        <f>BD105*VLOOKUP('Données projet'!$B$11,Paramètres!$A$1:$I$89,3,0)*VLOOKUP('Données projet'!$B$11,Paramètres!$A$1:$I$89,5,0)</f>
        <v>0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123.44750406183283</v>
      </c>
      <c r="BJ105" s="59">
        <f t="shared" si="92"/>
        <v>346.72009411328929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13.09055687934263</v>
      </c>
      <c r="BQ105" s="21">
        <f>EXP(-LN(2)/25)*BQ104+(1-EXP(-LN(2)/25))/(LN(2)/25)*Calculateur!BL105*Calculateur!BN105*VLOOKUP('Données projet'!$B$11,Paramètres!$A$1:$I$89,3,0)*0.475*44/12</f>
        <v>1.4592505737541972</v>
      </c>
      <c r="BR105" s="21">
        <f>EXP(-LN(2)/2)*BR104+(1-EXP(-LN(2)/2))/(LN(2)/2)*BL105*BO105*VLOOKUP('Données projet'!$B$11,Paramètres!$A$1:$I$89,3,0)*0.475*44/12</f>
        <v>9.2055073018222216E-12</v>
      </c>
      <c r="BS105" s="22">
        <f t="shared" si="63"/>
        <v>14.549807453106032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7">
        <f t="shared" si="56"/>
        <v>183.33333333333334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112.82287576550925</v>
      </c>
      <c r="T106" s="59">
        <f t="shared" si="88"/>
        <v>317.78570695363294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11.621772355958718</v>
      </c>
      <c r="AA106" s="21">
        <f>EXP(-LN(2)/25)*AA105+(1-EXP(-LN(2)/25))/(LN(2)/25)*Calculateur!V106*Calculateur!X106*VLOOKUP('Données projet'!$B$9,Paramètres!$A$1:$I$89,3,0)*0.475*44/12</f>
        <v>1.2852978237912587</v>
      </c>
      <c r="AB106" s="21">
        <f>EXP(-LN(2)/2)*AB105+(1-EXP(-LN(2)/2))/(LN(2)/2)*V106*Y106*VLOOKUP('Données projet'!$B$9,Paramètres!$A$1:$I$89,3,0)*0.475*44/12</f>
        <v>5.8945116216281406E-12</v>
      </c>
      <c r="AC106" s="22">
        <f t="shared" si="57"/>
        <v>12.907070179755872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>
        <f>AI106*VLOOKUP('Données projet'!$B$10,Paramètres!$A$1:$I$89,3,0)*VLOOKUP('Données projet'!$B$10,Paramètres!$A$1:$I$89,5,0)</f>
        <v>0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123.44750406183283</v>
      </c>
      <c r="AO106" s="59">
        <f t="shared" si="90"/>
        <v>346.72009411328929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12.833859043390019</v>
      </c>
      <c r="AV106" s="21">
        <f>EXP(-LN(2)/25)*AV105+(1-EXP(-LN(2)/25))/(LN(2)/25)*Calculateur!AQ106*Calculateur!AS106*VLOOKUP('Données projet'!$B$10,Paramètres!$A$1:$I$89,3,0)*0.475*44/12</f>
        <v>1.4193472900762361</v>
      </c>
      <c r="AW106" s="21">
        <f>EXP(-LN(2)/2)*AW105+(1-EXP(-LN(2)/2))/(LN(2)/2)*AQ106*AT106*VLOOKUP('Données projet'!$B$10,Paramètres!$A$1:$I$89,3,0)*0.475*44/12</f>
        <v>6.5092766373807713E-12</v>
      </c>
      <c r="AX106" s="21">
        <f t="shared" si="60"/>
        <v>14.253206333472765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>
        <f>BD106*VLOOKUP('Données projet'!$B$11,Paramètres!$A$1:$I$89,3,0)*VLOOKUP('Données projet'!$B$11,Paramètres!$A$1:$I$89,5,0)</f>
        <v>0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123.44750406183283</v>
      </c>
      <c r="BJ106" s="59">
        <f t="shared" si="92"/>
        <v>346.72009411328929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12.833859043390019</v>
      </c>
      <c r="BQ106" s="21">
        <f>EXP(-LN(2)/25)*BQ105+(1-EXP(-LN(2)/25))/(LN(2)/25)*Calculateur!BL106*Calculateur!BN106*VLOOKUP('Données projet'!$B$11,Paramètres!$A$1:$I$89,3,0)*0.475*44/12</f>
        <v>1.4193472900762361</v>
      </c>
      <c r="BR106" s="21">
        <f>EXP(-LN(2)/2)*BR105+(1-EXP(-LN(2)/2))/(LN(2)/2)*BL106*BO106*VLOOKUP('Données projet'!$B$11,Paramètres!$A$1:$I$89,3,0)*0.475*44/12</f>
        <v>6.5092766373807713E-12</v>
      </c>
      <c r="BS106" s="22">
        <f t="shared" si="63"/>
        <v>14.253206333472765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7">
        <f t="shared" si="56"/>
        <v>183.33333333333334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112.82287576550925</v>
      </c>
      <c r="T107" s="59">
        <f t="shared" si="88"/>
        <v>317.78570695363294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11.393876488639567</v>
      </c>
      <c r="AA107" s="21">
        <f>EXP(-LN(2)/25)*AA106+(1-EXP(-LN(2)/25))/(LN(2)/25)*Calculateur!V107*Calculateur!X107*VLOOKUP('Données projet'!$B$9,Paramètres!$A$1:$I$89,3,0)*0.475*44/12</f>
        <v>1.2501512872088116</v>
      </c>
      <c r="AB107" s="21">
        <f>EXP(-LN(2)/2)*AB106+(1-EXP(-LN(2)/2))/(LN(2)/2)*V107*Y107*VLOOKUP('Données projet'!$B$9,Paramètres!$A$1:$I$89,3,0)*0.475*44/12</f>
        <v>4.168049139436171E-12</v>
      </c>
      <c r="AC107" s="22">
        <f t="shared" si="57"/>
        <v>12.644027775852546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>
        <f>AI107*VLOOKUP('Données projet'!$B$10,Paramètres!$A$1:$I$89,3,0)*VLOOKUP('Données projet'!$B$10,Paramètres!$A$1:$I$89,5,0)</f>
        <v>0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123.44750406183283</v>
      </c>
      <c r="AO107" s="59">
        <f t="shared" si="90"/>
        <v>346.72009411328929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12.582194895430218</v>
      </c>
      <c r="AV107" s="21">
        <f>EXP(-LN(2)/25)*AV106+(1-EXP(-LN(2)/25))/(LN(2)/25)*Calculateur!AQ107*Calculateur!AS107*VLOOKUP('Données projet'!$B$10,Paramètres!$A$1:$I$89,3,0)*0.475*44/12</f>
        <v>1.3805351637888714</v>
      </c>
      <c r="AW107" s="21">
        <f>EXP(-LN(2)/2)*AW106+(1-EXP(-LN(2)/2))/(LN(2)/2)*AQ107*AT107*VLOOKUP('Données projet'!$B$10,Paramètres!$A$1:$I$89,3,0)*0.475*44/12</f>
        <v>4.6027536509111108E-12</v>
      </c>
      <c r="AX107" s="21">
        <f t="shared" si="60"/>
        <v>13.962730059223693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>
        <f>BD107*VLOOKUP('Données projet'!$B$11,Paramètres!$A$1:$I$89,3,0)*VLOOKUP('Données projet'!$B$11,Paramètres!$A$1:$I$89,5,0)</f>
        <v>0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123.44750406183283</v>
      </c>
      <c r="BJ107" s="59">
        <f t="shared" si="92"/>
        <v>346.72009411328929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12.582194895430218</v>
      </c>
      <c r="BQ107" s="21">
        <f>EXP(-LN(2)/25)*BQ106+(1-EXP(-LN(2)/25))/(LN(2)/25)*Calculateur!BL107*Calculateur!BN107*VLOOKUP('Données projet'!$B$11,Paramètres!$A$1:$I$89,3,0)*0.475*44/12</f>
        <v>1.3805351637888714</v>
      </c>
      <c r="BR107" s="21">
        <f>EXP(-LN(2)/2)*BR106+(1-EXP(-LN(2)/2))/(LN(2)/2)*BL107*BO107*VLOOKUP('Données projet'!$B$11,Paramètres!$A$1:$I$89,3,0)*0.475*44/12</f>
        <v>4.6027536509111108E-12</v>
      </c>
      <c r="BS107" s="22">
        <f t="shared" si="63"/>
        <v>13.962730059223693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7">
        <f t="shared" si="56"/>
        <v>183.33333333333334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112.82287576550925</v>
      </c>
      <c r="T108" s="59">
        <f t="shared" si="88"/>
        <v>317.78570695363294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11.170449520275788</v>
      </c>
      <c r="AA108" s="21">
        <f>EXP(-LN(2)/25)*AA107+(1-EXP(-LN(2)/25))/(LN(2)/25)*Calculateur!V108*Calculateur!X108*VLOOKUP('Données projet'!$B$9,Paramètres!$A$1:$I$89,3,0)*0.475*44/12</f>
        <v>1.2159658345174877</v>
      </c>
      <c r="AB108" s="21">
        <f>EXP(-LN(2)/2)*AB107+(1-EXP(-LN(2)/2))/(LN(2)/2)*V108*Y108*VLOOKUP('Données projet'!$B$9,Paramètres!$A$1:$I$89,3,0)*0.475*44/12</f>
        <v>2.9472558108140703E-12</v>
      </c>
      <c r="AC108" s="22">
        <f t="shared" si="57"/>
        <v>12.386415354796222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>
        <f>AI108*VLOOKUP('Données projet'!$B$10,Paramètres!$A$1:$I$89,3,0)*VLOOKUP('Données projet'!$B$10,Paramètres!$A$1:$I$89,5,0)</f>
        <v>0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123.44750406183283</v>
      </c>
      <c r="AO108" s="59">
        <f t="shared" si="90"/>
        <v>346.72009411328929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12.335465727911936</v>
      </c>
      <c r="AV108" s="21">
        <f>EXP(-LN(2)/25)*AV107+(1-EXP(-LN(2)/25))/(LN(2)/25)*Calculateur!AQ108*Calculateur!AS108*VLOOKUP('Données projet'!$B$10,Paramètres!$A$1:$I$89,3,0)*0.475*44/12</f>
        <v>1.3427843571358757</v>
      </c>
      <c r="AW108" s="21">
        <f>EXP(-LN(2)/2)*AW107+(1-EXP(-LN(2)/2))/(LN(2)/2)*AQ108*AT108*VLOOKUP('Données projet'!$B$10,Paramètres!$A$1:$I$89,3,0)*0.475*44/12</f>
        <v>3.2546383186903856E-12</v>
      </c>
      <c r="AX108" s="21">
        <f t="shared" si="60"/>
        <v>13.678250085051067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>
        <f>BD108*VLOOKUP('Données projet'!$B$11,Paramètres!$A$1:$I$89,3,0)*VLOOKUP('Données projet'!$B$11,Paramètres!$A$1:$I$89,5,0)</f>
        <v>0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123.44750406183283</v>
      </c>
      <c r="BJ108" s="59">
        <f t="shared" si="92"/>
        <v>346.72009411328929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12.335465727911936</v>
      </c>
      <c r="BQ108" s="21">
        <f>EXP(-LN(2)/25)*BQ107+(1-EXP(-LN(2)/25))/(LN(2)/25)*Calculateur!BL108*Calculateur!BN108*VLOOKUP('Données projet'!$B$11,Paramètres!$A$1:$I$89,3,0)*0.475*44/12</f>
        <v>1.3427843571358757</v>
      </c>
      <c r="BR108" s="21">
        <f>EXP(-LN(2)/2)*BR107+(1-EXP(-LN(2)/2))/(LN(2)/2)*BL108*BO108*VLOOKUP('Données projet'!$B$11,Paramètres!$A$1:$I$89,3,0)*0.475*44/12</f>
        <v>3.2546383186903856E-12</v>
      </c>
      <c r="BS108" s="22">
        <f t="shared" si="63"/>
        <v>13.678250085051067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7">
        <f t="shared" si="56"/>
        <v>183.33333333333334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112.82287576550925</v>
      </c>
      <c r="T109" s="59">
        <f t="shared" si="88"/>
        <v>317.78570695363294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10.95140381848463</v>
      </c>
      <c r="AA109" s="21">
        <f>EXP(-LN(2)/25)*AA108+(1-EXP(-LN(2)/25))/(LN(2)/25)*Calculateur!V109*Calculateur!X109*VLOOKUP('Données projet'!$B$9,Paramètres!$A$1:$I$89,3,0)*0.475*44/12</f>
        <v>1.1827151848277428</v>
      </c>
      <c r="AB109" s="21">
        <f>EXP(-LN(2)/2)*AB108+(1-EXP(-LN(2)/2))/(LN(2)/2)*V109*Y109*VLOOKUP('Données projet'!$B$9,Paramètres!$A$1:$I$89,3,0)*0.475*44/12</f>
        <v>2.0840245697180855E-12</v>
      </c>
      <c r="AC109" s="22">
        <f t="shared" si="57"/>
        <v>12.134119003314456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>
        <f>AI109*VLOOKUP('Données projet'!$B$10,Paramètres!$A$1:$I$89,3,0)*VLOOKUP('Données projet'!$B$10,Paramètres!$A$1:$I$89,5,0)</f>
        <v>0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123.44750406183283</v>
      </c>
      <c r="AO109" s="59">
        <f t="shared" si="90"/>
        <v>346.72009411328929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12.093574768878755</v>
      </c>
      <c r="AV109" s="21">
        <f>EXP(-LN(2)/25)*AV108+(1-EXP(-LN(2)/25))/(LN(2)/25)*Calculateur!AQ109*Calculateur!AS109*VLOOKUP('Données projet'!$B$10,Paramètres!$A$1:$I$89,3,0)*0.475*44/12</f>
        <v>1.3060658482760348</v>
      </c>
      <c r="AW109" s="21">
        <f>EXP(-LN(2)/2)*AW108+(1-EXP(-LN(2)/2))/(LN(2)/2)*AQ109*AT109*VLOOKUP('Données projet'!$B$10,Paramètres!$A$1:$I$89,3,0)*0.475*44/12</f>
        <v>2.3013768254555554E-12</v>
      </c>
      <c r="AX109" s="21">
        <f t="shared" si="60"/>
        <v>13.399640617157091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>
        <f>BD109*VLOOKUP('Données projet'!$B$11,Paramètres!$A$1:$I$89,3,0)*VLOOKUP('Données projet'!$B$11,Paramètres!$A$1:$I$89,5,0)</f>
        <v>0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123.44750406183283</v>
      </c>
      <c r="BJ109" s="59">
        <f t="shared" si="92"/>
        <v>346.72009411328929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12.093574768878755</v>
      </c>
      <c r="BQ109" s="21">
        <f>EXP(-LN(2)/25)*BQ108+(1-EXP(-LN(2)/25))/(LN(2)/25)*Calculateur!BL109*Calculateur!BN109*VLOOKUP('Données projet'!$B$11,Paramètres!$A$1:$I$89,3,0)*0.475*44/12</f>
        <v>1.3060658482760348</v>
      </c>
      <c r="BR109" s="21">
        <f>EXP(-LN(2)/2)*BR108+(1-EXP(-LN(2)/2))/(LN(2)/2)*BL109*BO109*VLOOKUP('Données projet'!$B$11,Paramètres!$A$1:$I$89,3,0)*0.475*44/12</f>
        <v>2.3013768254555554E-12</v>
      </c>
      <c r="BS109" s="22">
        <f t="shared" si="63"/>
        <v>13.399640617157091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7">
        <f t="shared" si="56"/>
        <v>183.33333333333334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112.82287576550925</v>
      </c>
      <c r="T110" s="59">
        <f t="shared" si="88"/>
        <v>317.78570695363294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10.736653469300911</v>
      </c>
      <c r="AA110" s="21">
        <f>EXP(-LN(2)/25)*AA109+(1-EXP(-LN(2)/25))/(LN(2)/25)*Calculateur!V110*Calculateur!X110*VLOOKUP('Données projet'!$B$9,Paramètres!$A$1:$I$89,3,0)*0.475*44/12</f>
        <v>1.1503737759023398</v>
      </c>
      <c r="AB110" s="21">
        <f>EXP(-LN(2)/2)*AB109+(1-EXP(-LN(2)/2))/(LN(2)/2)*V110*Y110*VLOOKUP('Données projet'!$B$9,Paramètres!$A$1:$I$89,3,0)*0.475*44/12</f>
        <v>1.4736279054070352E-12</v>
      </c>
      <c r="AC110" s="22">
        <f t="shared" si="57"/>
        <v>11.887027245204726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>
        <f>AI110*VLOOKUP('Données projet'!$B$10,Paramètres!$A$1:$I$89,3,0)*VLOOKUP('Données projet'!$B$10,Paramètres!$A$1:$I$89,5,0)</f>
        <v>0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123.44750406183283</v>
      </c>
      <c r="AO110" s="59">
        <f t="shared" si="90"/>
        <v>346.72009411328929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11.856427144013297</v>
      </c>
      <c r="AV110" s="21">
        <f>EXP(-LN(2)/25)*AV109+(1-EXP(-LN(2)/25))/(LN(2)/25)*Calculateur!AQ110*Calculateur!AS110*VLOOKUP('Données projet'!$B$10,Paramètres!$A$1:$I$89,3,0)*0.475*44/12</f>
        <v>1.2703514089719088</v>
      </c>
      <c r="AW110" s="21">
        <f>EXP(-LN(2)/2)*AW109+(1-EXP(-LN(2)/2))/(LN(2)/2)*AQ110*AT110*VLOOKUP('Données projet'!$B$10,Paramètres!$A$1:$I$89,3,0)*0.475*44/12</f>
        <v>1.6273191593451928E-12</v>
      </c>
      <c r="AX110" s="21">
        <f t="shared" si="60"/>
        <v>13.126778552986833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>
        <f>BD110*VLOOKUP('Données projet'!$B$11,Paramètres!$A$1:$I$89,3,0)*VLOOKUP('Données projet'!$B$11,Paramètres!$A$1:$I$89,5,0)</f>
        <v>0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123.44750406183283</v>
      </c>
      <c r="BJ110" s="59">
        <f t="shared" si="92"/>
        <v>346.72009411328929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11.856427144013297</v>
      </c>
      <c r="BQ110" s="21">
        <f>EXP(-LN(2)/25)*BQ109+(1-EXP(-LN(2)/25))/(LN(2)/25)*Calculateur!BL110*Calculateur!BN110*VLOOKUP('Données projet'!$B$11,Paramètres!$A$1:$I$89,3,0)*0.475*44/12</f>
        <v>1.2703514089719088</v>
      </c>
      <c r="BR110" s="21">
        <f>EXP(-LN(2)/2)*BR109+(1-EXP(-LN(2)/2))/(LN(2)/2)*BL110*BO110*VLOOKUP('Données projet'!$B$11,Paramètres!$A$1:$I$89,3,0)*0.475*44/12</f>
        <v>1.6273191593451928E-12</v>
      </c>
      <c r="BS110" s="22">
        <f t="shared" si="63"/>
        <v>13.126778552986833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7">
        <f t="shared" si="56"/>
        <v>183.33333333333334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112.82287576550925</v>
      </c>
      <c r="T111" s="59">
        <f t="shared" si="88"/>
        <v>317.78570695363294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10.526114243479904</v>
      </c>
      <c r="AA111" s="21">
        <f>EXP(-LN(2)/25)*AA110+(1-EXP(-LN(2)/25))/(LN(2)/25)*Calculateur!V111*Calculateur!X111*VLOOKUP('Données projet'!$B$9,Paramètres!$A$1:$I$89,3,0)*0.475*44/12</f>
        <v>1.1189167445047628</v>
      </c>
      <c r="AB111" s="21">
        <f>EXP(-LN(2)/2)*AB110+(1-EXP(-LN(2)/2))/(LN(2)/2)*V111*Y111*VLOOKUP('Données projet'!$B$9,Paramètres!$A$1:$I$89,3,0)*0.475*44/12</f>
        <v>1.0420122848590428E-12</v>
      </c>
      <c r="AC111" s="22">
        <f t="shared" si="57"/>
        <v>11.645030987985709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>
        <f>AI111*VLOOKUP('Données projet'!$B$10,Paramètres!$A$1:$I$89,3,0)*VLOOKUP('Données projet'!$B$10,Paramètres!$A$1:$I$89,5,0)</f>
        <v>0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123.44750406183283</v>
      </c>
      <c r="AO111" s="59">
        <f t="shared" si="90"/>
        <v>346.72009411328929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11.623929839425683</v>
      </c>
      <c r="AV111" s="21">
        <f>EXP(-LN(2)/25)*AV110+(1-EXP(-LN(2)/25))/(LN(2)/25)*Calculateur!AQ111*Calculateur!AS111*VLOOKUP('Données projet'!$B$10,Paramètres!$A$1:$I$89,3,0)*0.475*44/12</f>
        <v>1.2356135828886947</v>
      </c>
      <c r="AW111" s="21">
        <f>EXP(-LN(2)/2)*AW110+(1-EXP(-LN(2)/2))/(LN(2)/2)*AQ111*AT111*VLOOKUP('Données projet'!$B$10,Paramètres!$A$1:$I$89,3,0)*0.475*44/12</f>
        <v>1.1506884127277777E-12</v>
      </c>
      <c r="AX111" s="21">
        <f t="shared" si="60"/>
        <v>12.859543422315529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>
        <f>BD111*VLOOKUP('Données projet'!$B$11,Paramètres!$A$1:$I$89,3,0)*VLOOKUP('Données projet'!$B$11,Paramètres!$A$1:$I$89,5,0)</f>
        <v>0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123.44750406183283</v>
      </c>
      <c r="BJ111" s="59">
        <f t="shared" si="92"/>
        <v>346.72009411328929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11.623929839425683</v>
      </c>
      <c r="BQ111" s="21">
        <f>EXP(-LN(2)/25)*BQ110+(1-EXP(-LN(2)/25))/(LN(2)/25)*Calculateur!BL111*Calculateur!BN111*VLOOKUP('Données projet'!$B$11,Paramètres!$A$1:$I$89,3,0)*0.475*44/12</f>
        <v>1.2356135828886947</v>
      </c>
      <c r="BR111" s="21">
        <f>EXP(-LN(2)/2)*BR110+(1-EXP(-LN(2)/2))/(LN(2)/2)*BL111*BO111*VLOOKUP('Données projet'!$B$11,Paramètres!$A$1:$I$89,3,0)*0.475*44/12</f>
        <v>1.1506884127277777E-12</v>
      </c>
      <c r="BS111" s="22">
        <f t="shared" si="63"/>
        <v>12.859543422315529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7">
        <f t="shared" si="56"/>
        <v>183.33333333333334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112.82287576550925</v>
      </c>
      <c r="T112" s="59">
        <f t="shared" si="88"/>
        <v>317.78570695363294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10.319703563461001</v>
      </c>
      <c r="AA112" s="21">
        <f>EXP(-LN(2)/25)*AA111+(1-EXP(-LN(2)/25))/(LN(2)/25)*Calculateur!V112*Calculateur!X112*VLOOKUP('Données projet'!$B$9,Paramètres!$A$1:$I$89,3,0)*0.475*44/12</f>
        <v>1.0883199072850058</v>
      </c>
      <c r="AB112" s="21">
        <f>EXP(-LN(2)/2)*AB111+(1-EXP(-LN(2)/2))/(LN(2)/2)*V112*Y112*VLOOKUP('Données projet'!$B$9,Paramètres!$A$1:$I$89,3,0)*0.475*44/12</f>
        <v>7.3681395270351758E-13</v>
      </c>
      <c r="AC112" s="22">
        <f t="shared" si="57"/>
        <v>11.408023470746745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>
        <f>AI112*VLOOKUP('Données projet'!$B$10,Paramètres!$A$1:$I$89,3,0)*VLOOKUP('Données projet'!$B$10,Paramètres!$A$1:$I$89,5,0)</f>
        <v>0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123.44750406183283</v>
      </c>
      <c r="AO112" s="59">
        <f t="shared" si="90"/>
        <v>346.72009411328929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11.395991665171678</v>
      </c>
      <c r="AV112" s="21">
        <f>EXP(-LN(2)/25)*AV111+(1-EXP(-LN(2)/25))/(LN(2)/25)*Calculateur!AQ112*Calculateur!AS112*VLOOKUP('Données projet'!$B$10,Paramètres!$A$1:$I$89,3,0)*0.475*44/12</f>
        <v>1.2018256644865091</v>
      </c>
      <c r="AW112" s="21">
        <f>EXP(-LN(2)/2)*AW111+(1-EXP(-LN(2)/2))/(LN(2)/2)*AQ112*AT112*VLOOKUP('Données projet'!$B$10,Paramètres!$A$1:$I$89,3,0)*0.475*44/12</f>
        <v>8.1365957967259641E-13</v>
      </c>
      <c r="AX112" s="21">
        <f t="shared" si="60"/>
        <v>12.597817329659001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>
        <f>BD112*VLOOKUP('Données projet'!$B$11,Paramètres!$A$1:$I$89,3,0)*VLOOKUP('Données projet'!$B$11,Paramètres!$A$1:$I$89,5,0)</f>
        <v>0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123.44750406183283</v>
      </c>
      <c r="BJ112" s="59">
        <f t="shared" si="92"/>
        <v>346.72009411328929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11.395991665171678</v>
      </c>
      <c r="BQ112" s="21">
        <f>EXP(-LN(2)/25)*BQ111+(1-EXP(-LN(2)/25))/(LN(2)/25)*Calculateur!BL112*Calculateur!BN112*VLOOKUP('Données projet'!$B$11,Paramètres!$A$1:$I$89,3,0)*0.475*44/12</f>
        <v>1.2018256644865091</v>
      </c>
      <c r="BR112" s="21">
        <f>EXP(-LN(2)/2)*BR111+(1-EXP(-LN(2)/2))/(LN(2)/2)*BL112*BO112*VLOOKUP('Données projet'!$B$11,Paramètres!$A$1:$I$89,3,0)*0.475*44/12</f>
        <v>8.1365957967259641E-13</v>
      </c>
      <c r="BS112" s="22">
        <f t="shared" si="63"/>
        <v>12.597817329659001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7">
        <f t="shared" si="56"/>
        <v>183.33333333333334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112.82287576550925</v>
      </c>
      <c r="T113" s="59">
        <f t="shared" si="88"/>
        <v>317.78570695363294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10.117340470979185</v>
      </c>
      <c r="AA113" s="21">
        <f>EXP(-LN(2)/25)*AA112+(1-EXP(-LN(2)/25))/(LN(2)/25)*Calculateur!V113*Calculateur!X113*VLOOKUP('Données projet'!$B$9,Paramètres!$A$1:$I$89,3,0)*0.475*44/12</f>
        <v>1.0585597421880408</v>
      </c>
      <c r="AB113" s="21">
        <f>EXP(-LN(2)/2)*AB112+(1-EXP(-LN(2)/2))/(LN(2)/2)*V113*Y113*VLOOKUP('Données projet'!$B$9,Paramètres!$A$1:$I$89,3,0)*0.475*44/12</f>
        <v>5.2100614242952138E-13</v>
      </c>
      <c r="AC113" s="22">
        <f t="shared" si="57"/>
        <v>11.175900213167747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>
        <f>AI113*VLOOKUP('Données projet'!$B$10,Paramètres!$A$1:$I$89,3,0)*VLOOKUP('Données projet'!$B$10,Paramètres!$A$1:$I$89,5,0)</f>
        <v>0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123.44750406183283</v>
      </c>
      <c r="AO113" s="59">
        <f t="shared" si="90"/>
        <v>346.72009411328929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11.172523219486235</v>
      </c>
      <c r="AV113" s="21">
        <f>EXP(-LN(2)/25)*AV112+(1-EXP(-LN(2)/25))/(LN(2)/25)*Calculateur!AQ113*Calculateur!AS113*VLOOKUP('Données projet'!$B$10,Paramètres!$A$1:$I$89,3,0)*0.475*44/12</f>
        <v>1.1689616784898607</v>
      </c>
      <c r="AW113" s="21">
        <f>EXP(-LN(2)/2)*AW112+(1-EXP(-LN(2)/2))/(LN(2)/2)*AQ113*AT113*VLOOKUP('Données projet'!$B$10,Paramètres!$A$1:$I$89,3,0)*0.475*44/12</f>
        <v>5.7534420636388885E-13</v>
      </c>
      <c r="AX113" s="21">
        <f t="shared" si="60"/>
        <v>12.341484897976672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>
        <f>BD113*VLOOKUP('Données projet'!$B$11,Paramètres!$A$1:$I$89,3,0)*VLOOKUP('Données projet'!$B$11,Paramètres!$A$1:$I$89,5,0)</f>
        <v>0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123.44750406183283</v>
      </c>
      <c r="BJ113" s="59">
        <f t="shared" si="92"/>
        <v>346.72009411328929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11.172523219486235</v>
      </c>
      <c r="BQ113" s="21">
        <f>EXP(-LN(2)/25)*BQ112+(1-EXP(-LN(2)/25))/(LN(2)/25)*Calculateur!BL113*Calculateur!BN113*VLOOKUP('Données projet'!$B$11,Paramètres!$A$1:$I$89,3,0)*0.475*44/12</f>
        <v>1.1689616784898607</v>
      </c>
      <c r="BR113" s="21">
        <f>EXP(-LN(2)/2)*BR112+(1-EXP(-LN(2)/2))/(LN(2)/2)*BL113*BO113*VLOOKUP('Données projet'!$B$11,Paramètres!$A$1:$I$89,3,0)*0.475*44/12</f>
        <v>5.7534420636388885E-13</v>
      </c>
      <c r="BS113" s="22">
        <f t="shared" si="63"/>
        <v>12.341484897976672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7">
        <f t="shared" si="56"/>
        <v>183.33333333333334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112.82287576550925</v>
      </c>
      <c r="T114" s="59">
        <f t="shared" si="88"/>
        <v>317.78570695363294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9.9189455953116372</v>
      </c>
      <c r="AA114" s="21">
        <f>EXP(-LN(2)/25)*AA113+(1-EXP(-LN(2)/25))/(LN(2)/25)*Calculateur!V114*Calculateur!X114*VLOOKUP('Données projet'!$B$9,Paramètres!$A$1:$I$89,3,0)*0.475*44/12</f>
        <v>1.0296133703706714</v>
      </c>
      <c r="AB114" s="21">
        <f>EXP(-LN(2)/2)*AB113+(1-EXP(-LN(2)/2))/(LN(2)/2)*V114*Y114*VLOOKUP('Données projet'!$B$9,Paramètres!$A$1:$I$89,3,0)*0.475*44/12</f>
        <v>3.6840697635175879E-13</v>
      </c>
      <c r="AC114" s="22">
        <f t="shared" si="57"/>
        <v>10.948558965682677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>
        <f>AI114*VLOOKUP('Données projet'!$B$10,Paramètres!$A$1:$I$89,3,0)*VLOOKUP('Données projet'!$B$10,Paramètres!$A$1:$I$89,5,0)</f>
        <v>0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123.44750406183283</v>
      </c>
      <c r="AO114" s="59">
        <f t="shared" si="90"/>
        <v>346.72009411328929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10.953436853718392</v>
      </c>
      <c r="AV114" s="21">
        <f>EXP(-LN(2)/25)*AV113+(1-EXP(-LN(2)/25))/(LN(2)/25)*Calculateur!AQ114*Calculateur!AS114*VLOOKUP('Données projet'!$B$10,Paramètres!$A$1:$I$89,3,0)*0.475*44/12</f>
        <v>1.1369963599185324</v>
      </c>
      <c r="AW114" s="21">
        <f>EXP(-LN(2)/2)*AW113+(1-EXP(-LN(2)/2))/(LN(2)/2)*AQ114*AT114*VLOOKUP('Données projet'!$B$10,Paramètres!$A$1:$I$89,3,0)*0.475*44/12</f>
        <v>4.068297898362982E-13</v>
      </c>
      <c r="AX114" s="21">
        <f t="shared" si="60"/>
        <v>12.090433213637331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>
        <f>BD114*VLOOKUP('Données projet'!$B$11,Paramètres!$A$1:$I$89,3,0)*VLOOKUP('Données projet'!$B$11,Paramètres!$A$1:$I$89,5,0)</f>
        <v>0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123.44750406183283</v>
      </c>
      <c r="BJ114" s="59">
        <f t="shared" si="92"/>
        <v>346.72009411328929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10.953436853718392</v>
      </c>
      <c r="BQ114" s="21">
        <f>EXP(-LN(2)/25)*BQ113+(1-EXP(-LN(2)/25))/(LN(2)/25)*Calculateur!BL114*Calculateur!BN114*VLOOKUP('Données projet'!$B$11,Paramètres!$A$1:$I$89,3,0)*0.475*44/12</f>
        <v>1.1369963599185324</v>
      </c>
      <c r="BR114" s="21">
        <f>EXP(-LN(2)/2)*BR113+(1-EXP(-LN(2)/2))/(LN(2)/2)*BL114*BO114*VLOOKUP('Données projet'!$B$11,Paramètres!$A$1:$I$89,3,0)*0.475*44/12</f>
        <v>4.068297898362982E-13</v>
      </c>
      <c r="BS114" s="22">
        <f t="shared" si="63"/>
        <v>12.090433213637331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7">
        <f t="shared" si="56"/>
        <v>183.33333333333334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112.82287576550925</v>
      </c>
      <c r="T115" s="59">
        <f t="shared" si="88"/>
        <v>317.78570695363294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9.724441122147006</v>
      </c>
      <c r="AA115" s="21">
        <f>EXP(-LN(2)/25)*AA114+(1-EXP(-LN(2)/25))/(LN(2)/25)*Calculateur!V115*Calculateur!X115*VLOOKUP('Données projet'!$B$9,Paramètres!$A$1:$I$89,3,0)*0.475*44/12</f>
        <v>1.0014585386128714</v>
      </c>
      <c r="AB115" s="21">
        <f>EXP(-LN(2)/2)*AB114+(1-EXP(-LN(2)/2))/(LN(2)/2)*V115*Y115*VLOOKUP('Données projet'!$B$9,Paramètres!$A$1:$I$89,3,0)*0.475*44/12</f>
        <v>2.6050307121476069E-13</v>
      </c>
      <c r="AC115" s="22">
        <f t="shared" si="57"/>
        <v>10.725899660760138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>
        <f>AI115*VLOOKUP('Données projet'!$B$10,Paramètres!$A$1:$I$89,3,0)*VLOOKUP('Données projet'!$B$10,Paramètres!$A$1:$I$89,5,0)</f>
        <v>0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123.44750406183283</v>
      </c>
      <c r="AO115" s="59">
        <f t="shared" si="90"/>
        <v>346.72009411328929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10.738646637953767</v>
      </c>
      <c r="AV115" s="21">
        <f>EXP(-LN(2)/25)*AV114+(1-EXP(-LN(2)/25))/(LN(2)/25)*Calculateur!AQ115*Calculateur!AS115*VLOOKUP('Données projet'!$B$10,Paramètres!$A$1:$I$89,3,0)*0.475*44/12</f>
        <v>1.1059051346645203</v>
      </c>
      <c r="AW115" s="21">
        <f>EXP(-LN(2)/2)*AW114+(1-EXP(-LN(2)/2))/(LN(2)/2)*AQ115*AT115*VLOOKUP('Données projet'!$B$10,Paramètres!$A$1:$I$89,3,0)*0.475*44/12</f>
        <v>2.8767210318194443E-13</v>
      </c>
      <c r="AX115" s="21">
        <f t="shared" si="60"/>
        <v>11.844551772618576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>
        <f>BD115*VLOOKUP('Données projet'!$B$11,Paramètres!$A$1:$I$89,3,0)*VLOOKUP('Données projet'!$B$11,Paramètres!$A$1:$I$89,5,0)</f>
        <v>0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123.44750406183283</v>
      </c>
      <c r="BJ115" s="59">
        <f t="shared" si="92"/>
        <v>346.72009411328929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10.738646637953767</v>
      </c>
      <c r="BQ115" s="21">
        <f>EXP(-LN(2)/25)*BQ114+(1-EXP(-LN(2)/25))/(LN(2)/25)*Calculateur!BL115*Calculateur!BN115*VLOOKUP('Données projet'!$B$11,Paramètres!$A$1:$I$89,3,0)*0.475*44/12</f>
        <v>1.1059051346645203</v>
      </c>
      <c r="BR115" s="21">
        <f>EXP(-LN(2)/2)*BR114+(1-EXP(-LN(2)/2))/(LN(2)/2)*BL115*BO115*VLOOKUP('Données projet'!$B$11,Paramètres!$A$1:$I$89,3,0)*0.475*44/12</f>
        <v>2.8767210318194443E-13</v>
      </c>
      <c r="BS115" s="22">
        <f t="shared" si="63"/>
        <v>11.844551772618576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7">
        <f t="shared" si="56"/>
        <v>183.33333333333334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112.82287576550925</v>
      </c>
      <c r="T116" s="59">
        <f t="shared" si="88"/>
        <v>317.78570695363294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9.5337507630651182</v>
      </c>
      <c r="AA116" s="21">
        <f>EXP(-LN(2)/25)*AA115+(1-EXP(-LN(2)/25))/(LN(2)/25)*Calculateur!V116*Calculateur!X116*VLOOKUP('Données projet'!$B$9,Paramètres!$A$1:$I$89,3,0)*0.475*44/12</f>
        <v>0.97407360221008676</v>
      </c>
      <c r="AB116" s="21">
        <f>EXP(-LN(2)/2)*AB115+(1-EXP(-LN(2)/2))/(LN(2)/2)*V116*Y116*VLOOKUP('Données projet'!$B$9,Paramètres!$A$1:$I$89,3,0)*0.475*44/12</f>
        <v>1.8420348817587939E-13</v>
      </c>
      <c r="AC116" s="22">
        <f t="shared" si="57"/>
        <v>10.50782436527539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>
        <f>AI116*VLOOKUP('Données projet'!$B$10,Paramètres!$A$1:$I$89,3,0)*VLOOKUP('Données projet'!$B$10,Paramètres!$A$1:$I$89,5,0)</f>
        <v>0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123.44750406183283</v>
      </c>
      <c r="AO116" s="59">
        <f t="shared" si="90"/>
        <v>346.72009411328929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10.528068327311191</v>
      </c>
      <c r="AV116" s="21">
        <f>EXP(-LN(2)/25)*AV115+(1-EXP(-LN(2)/25))/(LN(2)/25)*Calculateur!AQ116*Calculateur!AS116*VLOOKUP('Données projet'!$B$10,Paramètres!$A$1:$I$89,3,0)*0.475*44/12</f>
        <v>1.0756641006000955</v>
      </c>
      <c r="AW116" s="21">
        <f>EXP(-LN(2)/2)*AW115+(1-EXP(-LN(2)/2))/(LN(2)/2)*AQ116*AT116*VLOOKUP('Données projet'!$B$10,Paramètres!$A$1:$I$89,3,0)*0.475*44/12</f>
        <v>2.034148949181491E-13</v>
      </c>
      <c r="AX116" s="21">
        <f t="shared" si="60"/>
        <v>11.60373242791149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>
        <f>BD116*VLOOKUP('Données projet'!$B$11,Paramètres!$A$1:$I$89,3,0)*VLOOKUP('Données projet'!$B$11,Paramètres!$A$1:$I$89,5,0)</f>
        <v>0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123.44750406183283</v>
      </c>
      <c r="BJ116" s="59">
        <f t="shared" si="92"/>
        <v>346.72009411328929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10.528068327311191</v>
      </c>
      <c r="BQ116" s="21">
        <f>EXP(-LN(2)/25)*BQ115+(1-EXP(-LN(2)/25))/(LN(2)/25)*Calculateur!BL116*Calculateur!BN116*VLOOKUP('Données projet'!$B$11,Paramètres!$A$1:$I$89,3,0)*0.475*44/12</f>
        <v>1.0756641006000955</v>
      </c>
      <c r="BR116" s="21">
        <f>EXP(-LN(2)/2)*BR115+(1-EXP(-LN(2)/2))/(LN(2)/2)*BL116*BO116*VLOOKUP('Données projet'!$B$11,Paramètres!$A$1:$I$89,3,0)*0.475*44/12</f>
        <v>2.034148949181491E-13</v>
      </c>
      <c r="BS116" s="22">
        <f t="shared" si="63"/>
        <v>11.60373242791149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7">
        <f t="shared" si="56"/>
        <v>183.33333333333334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112.82287576550925</v>
      </c>
      <c r="T117" s="59">
        <f t="shared" si="88"/>
        <v>317.78570695363294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9.3467997256151918</v>
      </c>
      <c r="AA117" s="21">
        <f>EXP(-LN(2)/25)*AA116+(1-EXP(-LN(2)/25))/(LN(2)/25)*Calculateur!V117*Calculateur!X117*VLOOKUP('Données projet'!$B$9,Paramètres!$A$1:$I$89,3,0)*0.475*44/12</f>
        <v>0.9474375083333475</v>
      </c>
      <c r="AB117" s="21">
        <f>EXP(-LN(2)/2)*AB116+(1-EXP(-LN(2)/2))/(LN(2)/2)*V117*Y117*VLOOKUP('Données projet'!$B$9,Paramètres!$A$1:$I$89,3,0)*0.475*44/12</f>
        <v>1.3025153560738034E-13</v>
      </c>
      <c r="AC117" s="22">
        <f t="shared" si="57"/>
        <v>10.294237233948669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>
        <f>AI117*VLOOKUP('Données projet'!$B$10,Paramètres!$A$1:$I$89,3,0)*VLOOKUP('Données projet'!$B$10,Paramètres!$A$1:$I$89,5,0)</f>
        <v>0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123.44750406183283</v>
      </c>
      <c r="AO117" s="59">
        <f t="shared" si="90"/>
        <v>346.72009411328929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10.321619328900228</v>
      </c>
      <c r="AV117" s="21">
        <f>EXP(-LN(2)/25)*AV116+(1-EXP(-LN(2)/25))/(LN(2)/25)*Calculateur!AQ117*Calculateur!AS117*VLOOKUP('Données projet'!$B$10,Paramètres!$A$1:$I$89,3,0)*0.475*44/12</f>
        <v>1.0462500092024694</v>
      </c>
      <c r="AW117" s="21">
        <f>EXP(-LN(2)/2)*AW116+(1-EXP(-LN(2)/2))/(LN(2)/2)*AQ117*AT117*VLOOKUP('Données projet'!$B$10,Paramètres!$A$1:$I$89,3,0)*0.475*44/12</f>
        <v>1.4383605159097221E-13</v>
      </c>
      <c r="AX117" s="21">
        <f t="shared" si="60"/>
        <v>11.367869338102841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>
        <f>BD117*VLOOKUP('Données projet'!$B$11,Paramètres!$A$1:$I$89,3,0)*VLOOKUP('Données projet'!$B$11,Paramètres!$A$1:$I$89,5,0)</f>
        <v>0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123.44750406183283</v>
      </c>
      <c r="BJ117" s="59">
        <f t="shared" si="92"/>
        <v>346.72009411328929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10.321619328900228</v>
      </c>
      <c r="BQ117" s="21">
        <f>EXP(-LN(2)/25)*BQ116+(1-EXP(-LN(2)/25))/(LN(2)/25)*Calculateur!BL117*Calculateur!BN117*VLOOKUP('Données projet'!$B$11,Paramètres!$A$1:$I$89,3,0)*0.475*44/12</f>
        <v>1.0462500092024694</v>
      </c>
      <c r="BR117" s="21">
        <f>EXP(-LN(2)/2)*BR116+(1-EXP(-LN(2)/2))/(LN(2)/2)*BL117*BO117*VLOOKUP('Données projet'!$B$11,Paramètres!$A$1:$I$89,3,0)*0.475*44/12</f>
        <v>1.4383605159097221E-13</v>
      </c>
      <c r="BS117" s="22">
        <f t="shared" si="63"/>
        <v>11.367869338102841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7">
        <f t="shared" si="56"/>
        <v>183.33333333333334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112.82287576550925</v>
      </c>
      <c r="T118" s="59">
        <f t="shared" si="88"/>
        <v>317.78570695363294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9.1635146839807842</v>
      </c>
      <c r="AA118" s="21">
        <f>EXP(-LN(2)/25)*AA117+(1-EXP(-LN(2)/25))/(LN(2)/25)*Calculateur!V118*Calculateur!X118*VLOOKUP('Données projet'!$B$9,Paramètres!$A$1:$I$89,3,0)*0.475*44/12</f>
        <v>0.92152977984439899</v>
      </c>
      <c r="AB118" s="21">
        <f>EXP(-LN(2)/2)*AB117+(1-EXP(-LN(2)/2))/(LN(2)/2)*V118*Y118*VLOOKUP('Données projet'!$B$9,Paramètres!$A$1:$I$89,3,0)*0.475*44/12</f>
        <v>9.2101744087939697E-14</v>
      </c>
      <c r="AC118" s="22">
        <f t="shared" si="57"/>
        <v>10.085044463825275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>
        <f>AI118*VLOOKUP('Données projet'!$B$10,Paramètres!$A$1:$I$89,3,0)*VLOOKUP('Données projet'!$B$10,Paramètres!$A$1:$I$89,5,0)</f>
        <v>0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123.44750406183283</v>
      </c>
      <c r="AO118" s="59">
        <f t="shared" si="90"/>
        <v>346.72009411328929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10.119218669426649</v>
      </c>
      <c r="AV118" s="21">
        <f>EXP(-LN(2)/25)*AV117+(1-EXP(-LN(2)/25))/(LN(2)/25)*Calculateur!AQ118*Calculateur!AS118*VLOOKUP('Données projet'!$B$10,Paramètres!$A$1:$I$89,3,0)*0.475*44/12</f>
        <v>1.017640247680931</v>
      </c>
      <c r="AW118" s="21">
        <f>EXP(-LN(2)/2)*AW117+(1-EXP(-LN(2)/2))/(LN(2)/2)*AQ118*AT118*VLOOKUP('Données projet'!$B$10,Paramètres!$A$1:$I$89,3,0)*0.475*44/12</f>
        <v>1.0170744745907455E-13</v>
      </c>
      <c r="AX118" s="21">
        <f t="shared" si="60"/>
        <v>11.136858917107682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>
        <f>BD118*VLOOKUP('Données projet'!$B$11,Paramètres!$A$1:$I$89,3,0)*VLOOKUP('Données projet'!$B$11,Paramètres!$A$1:$I$89,5,0)</f>
        <v>0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123.44750406183283</v>
      </c>
      <c r="BJ118" s="59">
        <f t="shared" si="92"/>
        <v>346.72009411328929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10.119218669426649</v>
      </c>
      <c r="BQ118" s="21">
        <f>EXP(-LN(2)/25)*BQ117+(1-EXP(-LN(2)/25))/(LN(2)/25)*Calculateur!BL118*Calculateur!BN118*VLOOKUP('Données projet'!$B$11,Paramètres!$A$1:$I$89,3,0)*0.475*44/12</f>
        <v>1.017640247680931</v>
      </c>
      <c r="BR118" s="21">
        <f>EXP(-LN(2)/2)*BR117+(1-EXP(-LN(2)/2))/(LN(2)/2)*BL118*BO118*VLOOKUP('Données projet'!$B$11,Paramètres!$A$1:$I$89,3,0)*0.475*44/12</f>
        <v>1.0170744745907455E-13</v>
      </c>
      <c r="BS118" s="22">
        <f t="shared" si="63"/>
        <v>11.136858917107682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7">
        <f t="shared" si="56"/>
        <v>183.33333333333334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112.82287576550925</v>
      </c>
      <c r="T119" s="59">
        <f t="shared" si="88"/>
        <v>317.78570695363294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8.983823750219992</v>
      </c>
      <c r="AA119" s="21">
        <f>EXP(-LN(2)/25)*AA118+(1-EXP(-LN(2)/25))/(LN(2)/25)*Calculateur!V119*Calculateur!X119*VLOOKUP('Données projet'!$B$9,Paramètres!$A$1:$I$89,3,0)*0.475*44/12</f>
        <v>0.89633049955340893</v>
      </c>
      <c r="AB119" s="21">
        <f>EXP(-LN(2)/2)*AB118+(1-EXP(-LN(2)/2))/(LN(2)/2)*V119*Y119*VLOOKUP('Données projet'!$B$9,Paramètres!$A$1:$I$89,3,0)*0.475*44/12</f>
        <v>6.5125767803690172E-14</v>
      </c>
      <c r="AC119" s="22">
        <f t="shared" si="57"/>
        <v>9.8801542497734669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>
        <f>AI119*VLOOKUP('Données projet'!$B$10,Paramètres!$A$1:$I$89,3,0)*VLOOKUP('Données projet'!$B$10,Paramètres!$A$1:$I$89,5,0)</f>
        <v>0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123.44750406183283</v>
      </c>
      <c r="AO119" s="59">
        <f t="shared" si="90"/>
        <v>346.72009411328929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9.9207869634331356</v>
      </c>
      <c r="AV119" s="21">
        <f>EXP(-LN(2)/25)*AV118+(1-EXP(-LN(2)/25))/(LN(2)/25)*Calculateur!AQ119*Calculateur!AS119*VLOOKUP('Données projet'!$B$10,Paramètres!$A$1:$I$89,3,0)*0.475*44/12</f>
        <v>0.9898128215927211</v>
      </c>
      <c r="AW119" s="21">
        <f>EXP(-LN(2)/2)*AW118+(1-EXP(-LN(2)/2))/(LN(2)/2)*AQ119*AT119*VLOOKUP('Données projet'!$B$10,Paramètres!$A$1:$I$89,3,0)*0.475*44/12</f>
        <v>7.1918025795486106E-14</v>
      </c>
      <c r="AX119" s="21">
        <f t="shared" si="60"/>
        <v>10.910599785025928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>
        <f>BD119*VLOOKUP('Données projet'!$B$11,Paramètres!$A$1:$I$89,3,0)*VLOOKUP('Données projet'!$B$11,Paramètres!$A$1:$I$89,5,0)</f>
        <v>0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123.44750406183283</v>
      </c>
      <c r="BJ119" s="59">
        <f t="shared" si="92"/>
        <v>346.72009411328929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9.9207869634331356</v>
      </c>
      <c r="BQ119" s="21">
        <f>EXP(-LN(2)/25)*BQ118+(1-EXP(-LN(2)/25))/(LN(2)/25)*Calculateur!BL119*Calculateur!BN119*VLOOKUP('Données projet'!$B$11,Paramètres!$A$1:$I$89,3,0)*0.475*44/12</f>
        <v>0.9898128215927211</v>
      </c>
      <c r="BR119" s="21">
        <f>EXP(-LN(2)/2)*BR118+(1-EXP(-LN(2)/2))/(LN(2)/2)*BL119*BO119*VLOOKUP('Données projet'!$B$11,Paramètres!$A$1:$I$89,3,0)*0.475*44/12</f>
        <v>7.1918025795486106E-14</v>
      </c>
      <c r="BS119" s="22">
        <f t="shared" si="63"/>
        <v>10.910599785025928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7">
        <f t="shared" si="56"/>
        <v>183.33333333333334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112.82287576550925</v>
      </c>
      <c r="T120" s="59">
        <f t="shared" si="88"/>
        <v>317.78570695363294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8.8076564460696005</v>
      </c>
      <c r="AA120" s="21">
        <f>EXP(-LN(2)/25)*AA119+(1-EXP(-LN(2)/25))/(LN(2)/25)*Calculateur!V120*Calculateur!X120*VLOOKUP('Données projet'!$B$9,Paramètres!$A$1:$I$89,3,0)*0.475*44/12</f>
        <v>0.87182029490714863</v>
      </c>
      <c r="AB120" s="21">
        <f>EXP(-LN(2)/2)*AB119+(1-EXP(-LN(2)/2))/(LN(2)/2)*V120*Y120*VLOOKUP('Données projet'!$B$9,Paramètres!$A$1:$I$89,3,0)*0.475*44/12</f>
        <v>4.6050872043969849E-14</v>
      </c>
      <c r="AC120" s="22">
        <f t="shared" si="57"/>
        <v>9.6794767409767957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>
        <f>AI120*VLOOKUP('Données projet'!$B$10,Paramètres!$A$1:$I$89,3,0)*VLOOKUP('Données projet'!$B$10,Paramètres!$A$1:$I$89,5,0)</f>
        <v>0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123.44750406183283</v>
      </c>
      <c r="AO120" s="59">
        <f t="shared" si="90"/>
        <v>346.72009411328929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9.7262463821627652</v>
      </c>
      <c r="AV120" s="21">
        <f>EXP(-LN(2)/25)*AV119+(1-EXP(-LN(2)/25))/(LN(2)/25)*Calculateur!AQ120*Calculateur!AS120*VLOOKUP('Données projet'!$B$10,Paramètres!$A$1:$I$89,3,0)*0.475*44/12</f>
        <v>0.96274633793427411</v>
      </c>
      <c r="AW120" s="21">
        <f>EXP(-LN(2)/2)*AW119+(1-EXP(-LN(2)/2))/(LN(2)/2)*AQ120*AT120*VLOOKUP('Données projet'!$B$10,Paramètres!$A$1:$I$89,3,0)*0.475*44/12</f>
        <v>5.0853723729537276E-14</v>
      </c>
      <c r="AX120" s="21">
        <f t="shared" si="60"/>
        <v>10.68899272009709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>
        <f>BD120*VLOOKUP('Données projet'!$B$11,Paramètres!$A$1:$I$89,3,0)*VLOOKUP('Données projet'!$B$11,Paramètres!$A$1:$I$89,5,0)</f>
        <v>0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123.44750406183283</v>
      </c>
      <c r="BJ120" s="59">
        <f t="shared" si="92"/>
        <v>346.72009411328929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9.7262463821627652</v>
      </c>
      <c r="BQ120" s="21">
        <f>EXP(-LN(2)/25)*BQ119+(1-EXP(-LN(2)/25))/(LN(2)/25)*Calculateur!BL120*Calculateur!BN120*VLOOKUP('Données projet'!$B$11,Paramètres!$A$1:$I$89,3,0)*0.475*44/12</f>
        <v>0.96274633793427411</v>
      </c>
      <c r="BR120" s="21">
        <f>EXP(-LN(2)/2)*BR119+(1-EXP(-LN(2)/2))/(LN(2)/2)*BL120*BO120*VLOOKUP('Données projet'!$B$11,Paramètres!$A$1:$I$89,3,0)*0.475*44/12</f>
        <v>5.0853723729537276E-14</v>
      </c>
      <c r="BS120" s="22">
        <f t="shared" si="63"/>
        <v>10.68899272009709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7">
        <f t="shared" si="56"/>
        <v>183.33333333333334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112.82287576550925</v>
      </c>
      <c r="T121" s="59">
        <f t="shared" si="88"/>
        <v>317.78570695363294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8.6349436753021536</v>
      </c>
      <c r="AA121" s="21">
        <f>EXP(-LN(2)/25)*AA120+(1-EXP(-LN(2)/25))/(LN(2)/25)*Calculateur!V121*Calculateur!X121*VLOOKUP('Données projet'!$B$9,Paramètres!$A$1:$I$89,3,0)*0.475*44/12</f>
        <v>0.8479803230958759</v>
      </c>
      <c r="AB121" s="21">
        <f>EXP(-LN(2)/2)*AB120+(1-EXP(-LN(2)/2))/(LN(2)/2)*V121*Y121*VLOOKUP('Données projet'!$B$9,Paramètres!$A$1:$I$89,3,0)*0.475*44/12</f>
        <v>3.2562883901845086E-14</v>
      </c>
      <c r="AC121" s="22">
        <f t="shared" si="57"/>
        <v>9.4829239983980607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>
        <f>AI121*VLOOKUP('Données projet'!$B$10,Paramètres!$A$1:$I$89,3,0)*VLOOKUP('Données projet'!$B$10,Paramètres!$A$1:$I$89,5,0)</f>
        <v>0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123.44750406183283</v>
      </c>
      <c r="AO121" s="59">
        <f t="shared" si="90"/>
        <v>346.72009411328929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9.5355206230330687</v>
      </c>
      <c r="AV121" s="21">
        <f>EXP(-LN(2)/25)*AV120+(1-EXP(-LN(2)/25))/(LN(2)/25)*Calculateur!AQ121*Calculateur!AS121*VLOOKUP('Données projet'!$B$10,Paramètres!$A$1:$I$89,3,0)*0.475*44/12</f>
        <v>0.9364199886948319</v>
      </c>
      <c r="AW121" s="21">
        <f>EXP(-LN(2)/2)*AW120+(1-EXP(-LN(2)/2))/(LN(2)/2)*AQ121*AT121*VLOOKUP('Données projet'!$B$10,Paramètres!$A$1:$I$89,3,0)*0.475*44/12</f>
        <v>3.5959012897743053E-14</v>
      </c>
      <c r="AX121" s="21">
        <f t="shared" si="60"/>
        <v>10.471940611727936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>
        <f>BD121*VLOOKUP('Données projet'!$B$11,Paramètres!$A$1:$I$89,3,0)*VLOOKUP('Données projet'!$B$11,Paramètres!$A$1:$I$89,5,0)</f>
        <v>0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123.44750406183283</v>
      </c>
      <c r="BJ121" s="59">
        <f t="shared" si="92"/>
        <v>346.72009411328929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9.5355206230330687</v>
      </c>
      <c r="BQ121" s="21">
        <f>EXP(-LN(2)/25)*BQ120+(1-EXP(-LN(2)/25))/(LN(2)/25)*Calculateur!BL121*Calculateur!BN121*VLOOKUP('Données projet'!$B$11,Paramètres!$A$1:$I$89,3,0)*0.475*44/12</f>
        <v>0.9364199886948319</v>
      </c>
      <c r="BR121" s="21">
        <f>EXP(-LN(2)/2)*BR120+(1-EXP(-LN(2)/2))/(LN(2)/2)*BL121*BO121*VLOOKUP('Données projet'!$B$11,Paramètres!$A$1:$I$89,3,0)*0.475*44/12</f>
        <v>3.5959012897743053E-14</v>
      </c>
      <c r="BS121" s="22">
        <f t="shared" si="63"/>
        <v>10.471940611727936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7">
        <f t="shared" si="56"/>
        <v>183.33333333333334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112.82287576550925</v>
      </c>
      <c r="T122" s="59">
        <f t="shared" si="88"/>
        <v>317.78570695363294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8.4656176966250669</v>
      </c>
      <c r="AA122" s="21">
        <f>EXP(-LN(2)/25)*AA121+(1-EXP(-LN(2)/25))/(LN(2)/25)*Calculateur!V122*Calculateur!X122*VLOOKUP('Données projet'!$B$9,Paramètres!$A$1:$I$89,3,0)*0.475*44/12</f>
        <v>0.82479225656747202</v>
      </c>
      <c r="AB122" s="21">
        <f>EXP(-LN(2)/2)*AB121+(1-EXP(-LN(2)/2))/(LN(2)/2)*V122*Y122*VLOOKUP('Données projet'!$B$9,Paramètres!$A$1:$I$89,3,0)*0.475*44/12</f>
        <v>2.3025436021984924E-14</v>
      </c>
      <c r="AC122" s="22">
        <f t="shared" si="57"/>
        <v>9.2904099531925617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>
        <f>AI122*VLOOKUP('Données projet'!$B$10,Paramètres!$A$1:$I$89,3,0)*VLOOKUP('Données projet'!$B$10,Paramètres!$A$1:$I$89,5,0)</f>
        <v>0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123.44750406183283</v>
      </c>
      <c r="AO122" s="59">
        <f t="shared" si="90"/>
        <v>346.72009411328929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9.3485348797086782</v>
      </c>
      <c r="AV122" s="21">
        <f>EXP(-LN(2)/25)*AV121+(1-EXP(-LN(2)/25))/(LN(2)/25)*Calculateur!AQ122*Calculateur!AS122*VLOOKUP('Données projet'!$B$10,Paramètres!$A$1:$I$89,3,0)*0.475*44/12</f>
        <v>0.91081353485978478</v>
      </c>
      <c r="AW122" s="21">
        <f>EXP(-LN(2)/2)*AW121+(1-EXP(-LN(2)/2))/(LN(2)/2)*AQ122*AT122*VLOOKUP('Données projet'!$B$10,Paramètres!$A$1:$I$89,3,0)*0.475*44/12</f>
        <v>2.5426861864768638E-14</v>
      </c>
      <c r="AX122" s="21">
        <f t="shared" si="60"/>
        <v>10.259348414568487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>
        <f>BD122*VLOOKUP('Données projet'!$B$11,Paramètres!$A$1:$I$89,3,0)*VLOOKUP('Données projet'!$B$11,Paramètres!$A$1:$I$89,5,0)</f>
        <v>0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123.44750406183283</v>
      </c>
      <c r="BJ122" s="59">
        <f t="shared" si="92"/>
        <v>346.72009411328929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9.3485348797086782</v>
      </c>
      <c r="BQ122" s="21">
        <f>EXP(-LN(2)/25)*BQ121+(1-EXP(-LN(2)/25))/(LN(2)/25)*Calculateur!BL122*Calculateur!BN122*VLOOKUP('Données projet'!$B$11,Paramètres!$A$1:$I$89,3,0)*0.475*44/12</f>
        <v>0.91081353485978478</v>
      </c>
      <c r="BR122" s="21">
        <f>EXP(-LN(2)/2)*BR121+(1-EXP(-LN(2)/2))/(LN(2)/2)*BL122*BO122*VLOOKUP('Données projet'!$B$11,Paramètres!$A$1:$I$89,3,0)*0.475*44/12</f>
        <v>2.5426861864768638E-14</v>
      </c>
      <c r="BS122" s="22">
        <f t="shared" si="63"/>
        <v>10.259348414568487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7">
        <f t="shared" si="56"/>
        <v>183.33333333333334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112.82287576550925</v>
      </c>
      <c r="T123" s="59">
        <f t="shared" si="88"/>
        <v>317.78570695363294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8.29961209711119</v>
      </c>
      <c r="AA123" s="21">
        <f>EXP(-LN(2)/25)*AA122+(1-EXP(-LN(2)/25))/(LN(2)/25)*Calculateur!V123*Calculateur!X123*VLOOKUP('Données projet'!$B$9,Paramètres!$A$1:$I$89,3,0)*0.475*44/12</f>
        <v>0.80223826893769479</v>
      </c>
      <c r="AB123" s="21">
        <f>EXP(-LN(2)/2)*AB122+(1-EXP(-LN(2)/2))/(LN(2)/2)*V123*Y123*VLOOKUP('Données projet'!$B$9,Paramètres!$A$1:$I$89,3,0)*0.475*44/12</f>
        <v>1.6281441950922543E-14</v>
      </c>
      <c r="AC123" s="22">
        <f t="shared" si="57"/>
        <v>9.1018503660489003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>
        <f>AI123*VLOOKUP('Données projet'!$B$10,Paramètres!$A$1:$I$89,3,0)*VLOOKUP('Données projet'!$B$10,Paramètres!$A$1:$I$89,5,0)</f>
        <v>0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123.44750406183283</v>
      </c>
      <c r="AO123" s="59">
        <f t="shared" si="90"/>
        <v>346.72009411328929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9.1652158127608381</v>
      </c>
      <c r="AV123" s="21">
        <f>EXP(-LN(2)/25)*AV122+(1-EXP(-LN(2)/25))/(LN(2)/25)*Calculateur!AQ123*Calculateur!AS123*VLOOKUP('Données projet'!$B$10,Paramètres!$A$1:$I$89,3,0)*0.475*44/12</f>
        <v>0.88590729085144182</v>
      </c>
      <c r="AW123" s="21">
        <f>EXP(-LN(2)/2)*AW122+(1-EXP(-LN(2)/2))/(LN(2)/2)*AQ123*AT123*VLOOKUP('Données projet'!$B$10,Paramètres!$A$1:$I$89,3,0)*0.475*44/12</f>
        <v>1.7979506448871527E-14</v>
      </c>
      <c r="AX123" s="21">
        <f t="shared" si="60"/>
        <v>10.051123103612298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>
        <f>BD123*VLOOKUP('Données projet'!$B$11,Paramètres!$A$1:$I$89,3,0)*VLOOKUP('Données projet'!$B$11,Paramètres!$A$1:$I$89,5,0)</f>
        <v>0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123.44750406183283</v>
      </c>
      <c r="BJ123" s="59">
        <f t="shared" si="92"/>
        <v>346.72009411328929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9.1652158127608381</v>
      </c>
      <c r="BQ123" s="21">
        <f>EXP(-LN(2)/25)*BQ122+(1-EXP(-LN(2)/25))/(LN(2)/25)*Calculateur!BL123*Calculateur!BN123*VLOOKUP('Données projet'!$B$11,Paramètres!$A$1:$I$89,3,0)*0.475*44/12</f>
        <v>0.88590729085144182</v>
      </c>
      <c r="BR123" s="21">
        <f>EXP(-LN(2)/2)*BR122+(1-EXP(-LN(2)/2))/(LN(2)/2)*BL123*BO123*VLOOKUP('Données projet'!$B$11,Paramètres!$A$1:$I$89,3,0)*0.475*44/12</f>
        <v>1.7979506448871527E-14</v>
      </c>
      <c r="BS123" s="22">
        <f t="shared" si="63"/>
        <v>10.051123103612298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7">
        <f t="shared" si="56"/>
        <v>183.33333333333334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112.82287576550925</v>
      </c>
      <c r="T124" s="59">
        <f t="shared" si="88"/>
        <v>317.78570695363294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8.1368617661503624</v>
      </c>
      <c r="AA124" s="21">
        <f>EXP(-LN(2)/25)*AA123+(1-EXP(-LN(2)/25))/(LN(2)/25)*Calculateur!V124*Calculateur!X124*VLOOKUP('Données projet'!$B$9,Paramètres!$A$1:$I$89,3,0)*0.475*44/12</f>
        <v>0.78030102128571655</v>
      </c>
      <c r="AB124" s="21">
        <f>EXP(-LN(2)/2)*AB123+(1-EXP(-LN(2)/2))/(LN(2)/2)*V124*Y124*VLOOKUP('Données projet'!$B$9,Paramètres!$A$1:$I$89,3,0)*0.475*44/12</f>
        <v>1.1512718010992462E-14</v>
      </c>
      <c r="AC124" s="22">
        <f t="shared" si="57"/>
        <v>8.917162787436089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>
        <f>AI124*VLOOKUP('Données projet'!$B$10,Paramètres!$A$1:$I$89,3,0)*VLOOKUP('Données projet'!$B$10,Paramètres!$A$1:$I$89,5,0)</f>
        <v>0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123.44750406183283</v>
      </c>
      <c r="AO124" s="59">
        <f t="shared" si="90"/>
        <v>346.72009411328929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8.9854915209022543</v>
      </c>
      <c r="AV124" s="21">
        <f>EXP(-LN(2)/25)*AV123+(1-EXP(-LN(2)/25))/(LN(2)/25)*Calculateur!AQ124*Calculateur!AS124*VLOOKUP('Données projet'!$B$10,Paramètres!$A$1:$I$89,3,0)*0.475*44/12</f>
        <v>0.86168210939526946</v>
      </c>
      <c r="AW124" s="21">
        <f>EXP(-LN(2)/2)*AW123+(1-EXP(-LN(2)/2))/(LN(2)/2)*AQ124*AT124*VLOOKUP('Données projet'!$B$10,Paramètres!$A$1:$I$89,3,0)*0.475*44/12</f>
        <v>1.2713430932384319E-14</v>
      </c>
      <c r="AX124" s="21">
        <f t="shared" si="60"/>
        <v>9.8471736302975366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>
        <f>BD124*VLOOKUP('Données projet'!$B$11,Paramètres!$A$1:$I$89,3,0)*VLOOKUP('Données projet'!$B$11,Paramètres!$A$1:$I$89,5,0)</f>
        <v>0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123.44750406183283</v>
      </c>
      <c r="BJ124" s="59">
        <f t="shared" si="92"/>
        <v>346.72009411328929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8.9854915209022543</v>
      </c>
      <c r="BQ124" s="21">
        <f>EXP(-LN(2)/25)*BQ123+(1-EXP(-LN(2)/25))/(LN(2)/25)*Calculateur!BL124*Calculateur!BN124*VLOOKUP('Données projet'!$B$11,Paramètres!$A$1:$I$89,3,0)*0.475*44/12</f>
        <v>0.86168210939526946</v>
      </c>
      <c r="BR124" s="21">
        <f>EXP(-LN(2)/2)*BR123+(1-EXP(-LN(2)/2))/(LN(2)/2)*BL124*BO124*VLOOKUP('Données projet'!$B$11,Paramètres!$A$1:$I$89,3,0)*0.475*44/12</f>
        <v>1.2713430932384319E-14</v>
      </c>
      <c r="BS124" s="22">
        <f t="shared" si="63"/>
        <v>9.8471736302975366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7">
        <f t="shared" si="56"/>
        <v>183.33333333333334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112.82287576550925</v>
      </c>
      <c r="T125" s="59">
        <f t="shared" si="88"/>
        <v>317.78570695363294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7.9773028699117763</v>
      </c>
      <c r="AA125" s="21">
        <f>EXP(-LN(2)/25)*AA124+(1-EXP(-LN(2)/25))/(LN(2)/25)*Calculateur!V125*Calculateur!X125*VLOOKUP('Données projet'!$B$9,Paramètres!$A$1:$I$89,3,0)*0.475*44/12</f>
        <v>0.75896364882441136</v>
      </c>
      <c r="AB125" s="21">
        <f>EXP(-LN(2)/2)*AB124+(1-EXP(-LN(2)/2))/(LN(2)/2)*V125*Y125*VLOOKUP('Données projet'!$B$9,Paramètres!$A$1:$I$89,3,0)*0.475*44/12</f>
        <v>8.1407209754612715E-15</v>
      </c>
      <c r="AC125" s="22">
        <f t="shared" si="57"/>
        <v>8.7362665187361959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>
        <f>AI125*VLOOKUP('Données projet'!$B$10,Paramètres!$A$1:$I$89,3,0)*VLOOKUP('Données projet'!$B$10,Paramètres!$A$1:$I$89,5,0)</f>
        <v>0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123.44750406183283</v>
      </c>
      <c r="AO125" s="59">
        <f t="shared" si="90"/>
        <v>346.72009411328929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8.8092915127860234</v>
      </c>
      <c r="AV125" s="21">
        <f>EXP(-LN(2)/25)*AV124+(1-EXP(-LN(2)/25))/(LN(2)/25)*Calculateur!AQ125*Calculateur!AS125*VLOOKUP('Données projet'!$B$10,Paramètres!$A$1:$I$89,3,0)*0.475*44/12</f>
        <v>0.83811936679996313</v>
      </c>
      <c r="AW125" s="21">
        <f>EXP(-LN(2)/2)*AW124+(1-EXP(-LN(2)/2))/(LN(2)/2)*AQ125*AT125*VLOOKUP('Données projet'!$B$10,Paramètres!$A$1:$I$89,3,0)*0.475*44/12</f>
        <v>8.9897532244357633E-15</v>
      </c>
      <c r="AX125" s="21">
        <f t="shared" si="60"/>
        <v>9.6474108795859959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>
        <f>BD125*VLOOKUP('Données projet'!$B$11,Paramètres!$A$1:$I$89,3,0)*VLOOKUP('Données projet'!$B$11,Paramètres!$A$1:$I$89,5,0)</f>
        <v>0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123.44750406183283</v>
      </c>
      <c r="BJ125" s="59">
        <f t="shared" si="92"/>
        <v>346.72009411328929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8.8092915127860234</v>
      </c>
      <c r="BQ125" s="21">
        <f>EXP(-LN(2)/25)*BQ124+(1-EXP(-LN(2)/25))/(LN(2)/25)*Calculateur!BL125*Calculateur!BN125*VLOOKUP('Données projet'!$B$11,Paramètres!$A$1:$I$89,3,0)*0.475*44/12</f>
        <v>0.83811936679996313</v>
      </c>
      <c r="BR125" s="21">
        <f>EXP(-LN(2)/2)*BR124+(1-EXP(-LN(2)/2))/(LN(2)/2)*BL125*BO125*VLOOKUP('Données projet'!$B$11,Paramètres!$A$1:$I$89,3,0)*0.475*44/12</f>
        <v>8.9897532244357633E-15</v>
      </c>
      <c r="BS125" s="22">
        <f t="shared" si="63"/>
        <v>9.6474108795859959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7">
        <f t="shared" si="56"/>
        <v>183.33333333333334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112.82287576550925</v>
      </c>
      <c r="T126" s="59">
        <f t="shared" si="88"/>
        <v>317.78570695363294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7.8208728263071112</v>
      </c>
      <c r="AA126" s="21">
        <f>EXP(-LN(2)/25)*AA125+(1-EXP(-LN(2)/25))/(LN(2)/25)*Calculateur!V126*Calculateur!X126*VLOOKUP('Données projet'!$B$9,Paramètres!$A$1:$I$89,3,0)*0.475*44/12</f>
        <v>0.73820974793514416</v>
      </c>
      <c r="AB126" s="21">
        <f>EXP(-LN(2)/2)*AB125+(1-EXP(-LN(2)/2))/(LN(2)/2)*V126*Y126*VLOOKUP('Données projet'!$B$9,Paramètres!$A$1:$I$89,3,0)*0.475*44/12</f>
        <v>5.7563590054962311E-15</v>
      </c>
      <c r="AC126" s="22">
        <f t="shared" si="57"/>
        <v>8.5590825742422609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>
        <f>AI126*VLOOKUP('Données projet'!$B$10,Paramètres!$A$1:$I$89,3,0)*VLOOKUP('Données projet'!$B$10,Paramètres!$A$1:$I$89,5,0)</f>
        <v>0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123.44750406183283</v>
      </c>
      <c r="AO126" s="59">
        <f t="shared" si="90"/>
        <v>346.72009411328929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8.6365466793575596</v>
      </c>
      <c r="AV126" s="21">
        <f>EXP(-LN(2)/25)*AV125+(1-EXP(-LN(2)/25))/(LN(2)/25)*Calculateur!AQ126*Calculateur!AS126*VLOOKUP('Données projet'!$B$10,Paramètres!$A$1:$I$89,3,0)*0.475*44/12</f>
        <v>0.81520094864003623</v>
      </c>
      <c r="AW126" s="21">
        <f>EXP(-LN(2)/2)*AW125+(1-EXP(-LN(2)/2))/(LN(2)/2)*AQ126*AT126*VLOOKUP('Données projet'!$B$10,Paramètres!$A$1:$I$89,3,0)*0.475*44/12</f>
        <v>6.3567154661921594E-15</v>
      </c>
      <c r="AX126" s="21">
        <f t="shared" si="60"/>
        <v>9.4517476279976034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>
        <f>BD126*VLOOKUP('Données projet'!$B$11,Paramètres!$A$1:$I$89,3,0)*VLOOKUP('Données projet'!$B$11,Paramètres!$A$1:$I$89,5,0)</f>
        <v>0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123.44750406183283</v>
      </c>
      <c r="BJ126" s="59">
        <f t="shared" si="92"/>
        <v>346.72009411328929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8.6365466793575596</v>
      </c>
      <c r="BQ126" s="21">
        <f>EXP(-LN(2)/25)*BQ125+(1-EXP(-LN(2)/25))/(LN(2)/25)*Calculateur!BL126*Calculateur!BN126*VLOOKUP('Données projet'!$B$11,Paramètres!$A$1:$I$89,3,0)*0.475*44/12</f>
        <v>0.81520094864003623</v>
      </c>
      <c r="BR126" s="21">
        <f>EXP(-LN(2)/2)*BR125+(1-EXP(-LN(2)/2))/(LN(2)/2)*BL126*BO126*VLOOKUP('Données projet'!$B$11,Paramètres!$A$1:$I$89,3,0)*0.475*44/12</f>
        <v>6.3567154661921594E-15</v>
      </c>
      <c r="BS126" s="22">
        <f t="shared" si="63"/>
        <v>9.4517476279976034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7">
        <f t="shared" si="56"/>
        <v>183.33333333333334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112.82287576550925</v>
      </c>
      <c r="T127" s="59">
        <f t="shared" si="88"/>
        <v>317.78570695363294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7.6675102804446285</v>
      </c>
      <c r="AA127" s="21">
        <f>EXP(-LN(2)/25)*AA126+(1-EXP(-LN(2)/25))/(LN(2)/25)*Calculateur!V127*Calculateur!X127*VLOOKUP('Données projet'!$B$9,Paramètres!$A$1:$I$89,3,0)*0.475*44/12</f>
        <v>0.71802336355709417</v>
      </c>
      <c r="AB127" s="21">
        <f>EXP(-LN(2)/2)*AB126+(1-EXP(-LN(2)/2))/(LN(2)/2)*V127*Y127*VLOOKUP('Données projet'!$B$9,Paramètres!$A$1:$I$89,3,0)*0.475*44/12</f>
        <v>4.0703604877306358E-15</v>
      </c>
      <c r="AC127" s="22">
        <f t="shared" si="57"/>
        <v>8.3855336440017254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>
        <f>AI127*VLOOKUP('Données projet'!$B$10,Paramètres!$A$1:$I$89,3,0)*VLOOKUP('Données projet'!$B$10,Paramètres!$A$1:$I$89,5,0)</f>
        <v>0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123.44750406183283</v>
      </c>
      <c r="AO127" s="59">
        <f t="shared" si="90"/>
        <v>346.72009411328929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8.467189266748683</v>
      </c>
      <c r="AV127" s="21">
        <f>EXP(-LN(2)/25)*AV126+(1-EXP(-LN(2)/25))/(LN(2)/25)*Calculateur!AQ127*Calculateur!AS127*VLOOKUP('Données projet'!$B$10,Paramètres!$A$1:$I$89,3,0)*0.475*44/12</f>
        <v>0.79290923582991968</v>
      </c>
      <c r="AW127" s="21">
        <f>EXP(-LN(2)/2)*AW126+(1-EXP(-LN(2)/2))/(LN(2)/2)*AQ127*AT127*VLOOKUP('Données projet'!$B$10,Paramètres!$A$1:$I$89,3,0)*0.475*44/12</f>
        <v>4.4948766122178816E-15</v>
      </c>
      <c r="AX127" s="21">
        <f t="shared" si="60"/>
        <v>9.2600985025786073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>
        <f>BD127*VLOOKUP('Données projet'!$B$11,Paramètres!$A$1:$I$89,3,0)*VLOOKUP('Données projet'!$B$11,Paramètres!$A$1:$I$89,5,0)</f>
        <v>0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123.44750406183283</v>
      </c>
      <c r="BJ127" s="59">
        <f t="shared" si="92"/>
        <v>346.72009411328929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8.467189266748683</v>
      </c>
      <c r="BQ127" s="21">
        <f>EXP(-LN(2)/25)*BQ126+(1-EXP(-LN(2)/25))/(LN(2)/25)*Calculateur!BL127*Calculateur!BN127*VLOOKUP('Données projet'!$B$11,Paramètres!$A$1:$I$89,3,0)*0.475*44/12</f>
        <v>0.79290923582991968</v>
      </c>
      <c r="BR127" s="21">
        <f>EXP(-LN(2)/2)*BR126+(1-EXP(-LN(2)/2))/(LN(2)/2)*BL127*BO127*VLOOKUP('Données projet'!$B$11,Paramètres!$A$1:$I$89,3,0)*0.475*44/12</f>
        <v>4.4948766122178816E-15</v>
      </c>
      <c r="BS127" s="22">
        <f t="shared" si="63"/>
        <v>9.2600985025786073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7">
        <f t="shared" si="56"/>
        <v>183.33333333333334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112.82287576550925</v>
      </c>
      <c r="T128" s="59">
        <f t="shared" si="88"/>
        <v>317.78570695363294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7.517155080564593</v>
      </c>
      <c r="AA128" s="21">
        <f>EXP(-LN(2)/25)*AA127+(1-EXP(-LN(2)/25))/(LN(2)/25)*Calculateur!V128*Calculateur!X128*VLOOKUP('Données projet'!$B$9,Paramètres!$A$1:$I$89,3,0)*0.475*44/12</f>
        <v>0.69838897692141777</v>
      </c>
      <c r="AB128" s="21">
        <f>EXP(-LN(2)/2)*AB127+(1-EXP(-LN(2)/2))/(LN(2)/2)*V128*Y128*VLOOKUP('Données projet'!$B$9,Paramètres!$A$1:$I$89,3,0)*0.475*44/12</f>
        <v>2.8781795027481155E-15</v>
      </c>
      <c r="AC128" s="22">
        <f t="shared" si="57"/>
        <v>8.2155440574860137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>
        <f>AI128*VLOOKUP('Données projet'!$B$10,Paramètres!$A$1:$I$89,3,0)*VLOOKUP('Données projet'!$B$10,Paramètres!$A$1:$I$89,5,0)</f>
        <v>0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123.44750406183283</v>
      </c>
      <c r="AO128" s="59">
        <f t="shared" si="90"/>
        <v>346.72009411328929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8.3011528497032447</v>
      </c>
      <c r="AV128" s="21">
        <f>EXP(-LN(2)/25)*AV127+(1-EXP(-LN(2)/25))/(LN(2)/25)*Calculateur!AQ128*Calculateur!AS128*VLOOKUP('Données projet'!$B$10,Paramètres!$A$1:$I$89,3,0)*0.475*44/12</f>
        <v>0.771227091078866</v>
      </c>
      <c r="AW128" s="21">
        <f>EXP(-LN(2)/2)*AW127+(1-EXP(-LN(2)/2))/(LN(2)/2)*AQ128*AT128*VLOOKUP('Données projet'!$B$10,Paramètres!$A$1:$I$89,3,0)*0.475*44/12</f>
        <v>3.1783577330960797E-15</v>
      </c>
      <c r="AX128" s="21">
        <f t="shared" si="60"/>
        <v>9.0723799407821151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>
        <f>BD128*VLOOKUP('Données projet'!$B$11,Paramètres!$A$1:$I$89,3,0)*VLOOKUP('Données projet'!$B$11,Paramètres!$A$1:$I$89,5,0)</f>
        <v>0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123.44750406183283</v>
      </c>
      <c r="BJ128" s="59">
        <f t="shared" si="92"/>
        <v>346.72009411328929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8.3011528497032447</v>
      </c>
      <c r="BQ128" s="21">
        <f>EXP(-LN(2)/25)*BQ127+(1-EXP(-LN(2)/25))/(LN(2)/25)*Calculateur!BL128*Calculateur!BN128*VLOOKUP('Données projet'!$B$11,Paramètres!$A$1:$I$89,3,0)*0.475*44/12</f>
        <v>0.771227091078866</v>
      </c>
      <c r="BR128" s="21">
        <f>EXP(-LN(2)/2)*BR127+(1-EXP(-LN(2)/2))/(LN(2)/2)*BL128*BO128*VLOOKUP('Données projet'!$B$11,Paramètres!$A$1:$I$89,3,0)*0.475*44/12</f>
        <v>3.1783577330960797E-15</v>
      </c>
      <c r="BS128" s="22">
        <f t="shared" si="63"/>
        <v>9.0723799407821151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7">
        <f t="shared" si="56"/>
        <v>183.33333333333334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112.82287576550925</v>
      </c>
      <c r="T129" s="59">
        <f t="shared" si="88"/>
        <v>317.78570695363294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7.3697482544465878</v>
      </c>
      <c r="AA129" s="21">
        <f>EXP(-LN(2)/25)*AA128+(1-EXP(-LN(2)/25))/(LN(2)/25)*Calculateur!V129*Calculateur!X129*VLOOKUP('Données projet'!$B$9,Paramètres!$A$1:$I$89,3,0)*0.475*44/12</f>
        <v>0.67929149362082153</v>
      </c>
      <c r="AB129" s="21">
        <f>EXP(-LN(2)/2)*AB128+(1-EXP(-LN(2)/2))/(LN(2)/2)*V129*Y129*VLOOKUP('Données projet'!$B$9,Paramètres!$A$1:$I$89,3,0)*0.475*44/12</f>
        <v>2.0351802438653179E-15</v>
      </c>
      <c r="AC129" s="22">
        <f t="shared" si="57"/>
        <v>8.0490397480674112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>
        <f>AI129*VLOOKUP('Données projet'!$B$10,Paramètres!$A$1:$I$89,3,0)*VLOOKUP('Données projet'!$B$10,Paramètres!$A$1:$I$89,5,0)</f>
        <v>0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123.44750406183283</v>
      </c>
      <c r="AO129" s="59">
        <f t="shared" si="90"/>
        <v>346.72009411328929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8.1383723055238519</v>
      </c>
      <c r="AV129" s="21">
        <f>EXP(-LN(2)/25)*AV128+(1-EXP(-LN(2)/25))/(LN(2)/25)*Calculateur!AQ129*Calculateur!AS129*VLOOKUP('Données projet'!$B$10,Paramètres!$A$1:$I$89,3,0)*0.475*44/12</f>
        <v>0.75013784571624431</v>
      </c>
      <c r="AW129" s="21">
        <f>EXP(-LN(2)/2)*AW128+(1-EXP(-LN(2)/2))/(LN(2)/2)*AQ129*AT129*VLOOKUP('Données projet'!$B$10,Paramètres!$A$1:$I$89,3,0)*0.475*44/12</f>
        <v>2.2474383061089408E-15</v>
      </c>
      <c r="AX129" s="21">
        <f t="shared" si="60"/>
        <v>8.8885101512400979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>
        <f>BD129*VLOOKUP('Données projet'!$B$11,Paramètres!$A$1:$I$89,3,0)*VLOOKUP('Données projet'!$B$11,Paramètres!$A$1:$I$89,5,0)</f>
        <v>0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123.44750406183283</v>
      </c>
      <c r="BJ129" s="59">
        <f t="shared" si="92"/>
        <v>346.72009411328929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8.1383723055238519</v>
      </c>
      <c r="BQ129" s="21">
        <f>EXP(-LN(2)/25)*BQ128+(1-EXP(-LN(2)/25))/(LN(2)/25)*Calculateur!BL129*Calculateur!BN129*VLOOKUP('Données projet'!$B$11,Paramètres!$A$1:$I$89,3,0)*0.475*44/12</f>
        <v>0.75013784571624431</v>
      </c>
      <c r="BR129" s="21">
        <f>EXP(-LN(2)/2)*BR128+(1-EXP(-LN(2)/2))/(LN(2)/2)*BL129*BO129*VLOOKUP('Données projet'!$B$11,Paramètres!$A$1:$I$89,3,0)*0.475*44/12</f>
        <v>2.2474383061089408E-15</v>
      </c>
      <c r="BS129" s="22">
        <f t="shared" si="63"/>
        <v>8.8885101512400979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7">
        <f t="shared" si="56"/>
        <v>183.33333333333334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112.82287576550925</v>
      </c>
      <c r="T130" s="59">
        <f t="shared" si="88"/>
        <v>317.78570695363294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7.2252319862794705</v>
      </c>
      <c r="AA130" s="21">
        <f>EXP(-LN(2)/25)*AA129+(1-EXP(-LN(2)/25))/(LN(2)/25)*Calculateur!V130*Calculateur!X130*VLOOKUP('Données projet'!$B$9,Paramètres!$A$1:$I$89,3,0)*0.475*44/12</f>
        <v>0.66071623200537311</v>
      </c>
      <c r="AB130" s="21">
        <f>EXP(-LN(2)/2)*AB129+(1-EXP(-LN(2)/2))/(LN(2)/2)*V130*Y130*VLOOKUP('Données projet'!$B$9,Paramètres!$A$1:$I$89,3,0)*0.475*44/12</f>
        <v>1.4390897513740578E-15</v>
      </c>
      <c r="AC130" s="22">
        <f t="shared" si="57"/>
        <v>7.8859482182848453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>
        <f>AI130*VLOOKUP('Données projet'!$B$10,Paramètres!$A$1:$I$89,3,0)*VLOOKUP('Données projet'!$B$10,Paramètres!$A$1:$I$89,5,0)</f>
        <v>0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123.44750406183283</v>
      </c>
      <c r="AO130" s="59">
        <f t="shared" si="90"/>
        <v>346.72009411328929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7.9787837885294897</v>
      </c>
      <c r="AV130" s="21">
        <f>EXP(-LN(2)/25)*AV129+(1-EXP(-LN(2)/25))/(LN(2)/25)*Calculateur!AQ130*Calculateur!AS130*VLOOKUP('Données projet'!$B$10,Paramètres!$A$1:$I$89,3,0)*0.475*44/12</f>
        <v>0.72962528687709882</v>
      </c>
      <c r="AW130" s="21">
        <f>EXP(-LN(2)/2)*AW129+(1-EXP(-LN(2)/2))/(LN(2)/2)*AQ130*AT130*VLOOKUP('Données projet'!$B$10,Paramètres!$A$1:$I$89,3,0)*0.475*44/12</f>
        <v>1.5891788665480399E-15</v>
      </c>
      <c r="AX130" s="21">
        <f t="shared" si="60"/>
        <v>8.7084090754065908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>
        <f>BD130*VLOOKUP('Données projet'!$B$11,Paramètres!$A$1:$I$89,3,0)*VLOOKUP('Données projet'!$B$11,Paramètres!$A$1:$I$89,5,0)</f>
        <v>0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123.44750406183283</v>
      </c>
      <c r="BJ130" s="59">
        <f t="shared" si="92"/>
        <v>346.72009411328929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7.9787837885294897</v>
      </c>
      <c r="BQ130" s="21">
        <f>EXP(-LN(2)/25)*BQ129+(1-EXP(-LN(2)/25))/(LN(2)/25)*Calculateur!BL130*Calculateur!BN130*VLOOKUP('Données projet'!$B$11,Paramètres!$A$1:$I$89,3,0)*0.475*44/12</f>
        <v>0.72962528687709882</v>
      </c>
      <c r="BR130" s="21">
        <f>EXP(-LN(2)/2)*BR129+(1-EXP(-LN(2)/2))/(LN(2)/2)*BL130*BO130*VLOOKUP('Données projet'!$B$11,Paramètres!$A$1:$I$89,3,0)*0.475*44/12</f>
        <v>1.5891788665480399E-15</v>
      </c>
      <c r="BS130" s="22">
        <f t="shared" si="63"/>
        <v>8.7084090754065908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7">
        <f t="shared" si="56"/>
        <v>183.33333333333334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112.82287576550925</v>
      </c>
      <c r="T131" s="59">
        <f t="shared" si="88"/>
        <v>317.78570695363294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7.0835495939848911</v>
      </c>
      <c r="AA131" s="21">
        <f>EXP(-LN(2)/25)*AA130+(1-EXP(-LN(2)/25))/(LN(2)/25)*Calculateur!V131*Calculateur!X131*VLOOKUP('Données projet'!$B$9,Paramètres!$A$1:$I$89,3,0)*0.475*44/12</f>
        <v>0.64264891189562967</v>
      </c>
      <c r="AB131" s="21">
        <f>EXP(-LN(2)/2)*AB130+(1-EXP(-LN(2)/2))/(LN(2)/2)*V131*Y131*VLOOKUP('Données projet'!$B$9,Paramètres!$A$1:$I$89,3,0)*0.475*44/12</f>
        <v>1.0175901219326589E-15</v>
      </c>
      <c r="AC131" s="22">
        <f t="shared" si="57"/>
        <v>7.7261985058805216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>
        <f>AI131*VLOOKUP('Données projet'!$B$10,Paramètres!$A$1:$I$89,3,0)*VLOOKUP('Données projet'!$B$10,Paramètres!$A$1:$I$89,5,0)</f>
        <v>0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123.44750406183283</v>
      </c>
      <c r="AO131" s="59">
        <f t="shared" si="90"/>
        <v>346.72009411328929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7.8223247050140028</v>
      </c>
      <c r="AV131" s="21">
        <f>EXP(-LN(2)/25)*AV130+(1-EXP(-LN(2)/25))/(LN(2)/25)*Calculateur!AQ131*Calculateur!AS131*VLOOKUP('Données projet'!$B$10,Paramètres!$A$1:$I$89,3,0)*0.475*44/12</f>
        <v>0.70967364503811825</v>
      </c>
      <c r="AW131" s="21">
        <f>EXP(-LN(2)/2)*AW130+(1-EXP(-LN(2)/2))/(LN(2)/2)*AQ131*AT131*VLOOKUP('Données projet'!$B$10,Paramètres!$A$1:$I$89,3,0)*0.475*44/12</f>
        <v>1.1237191530544704E-15</v>
      </c>
      <c r="AX131" s="21">
        <f t="shared" si="60"/>
        <v>8.5319983500521221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>
        <f>BD131*VLOOKUP('Données projet'!$B$11,Paramètres!$A$1:$I$89,3,0)*VLOOKUP('Données projet'!$B$11,Paramètres!$A$1:$I$89,5,0)</f>
        <v>0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123.44750406183283</v>
      </c>
      <c r="BJ131" s="59">
        <f t="shared" si="92"/>
        <v>346.72009411328929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7.8223247050140028</v>
      </c>
      <c r="BQ131" s="21">
        <f>EXP(-LN(2)/25)*BQ130+(1-EXP(-LN(2)/25))/(LN(2)/25)*Calculateur!BL131*Calculateur!BN131*VLOOKUP('Données projet'!$B$11,Paramètres!$A$1:$I$89,3,0)*0.475*44/12</f>
        <v>0.70967364503811825</v>
      </c>
      <c r="BR131" s="21">
        <f>EXP(-LN(2)/2)*BR130+(1-EXP(-LN(2)/2))/(LN(2)/2)*BL131*BO131*VLOOKUP('Données projet'!$B$11,Paramètres!$A$1:$I$89,3,0)*0.475*44/12</f>
        <v>1.1237191530544704E-15</v>
      </c>
      <c r="BS131" s="22">
        <f t="shared" si="63"/>
        <v>8.5319983500521221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7">
        <f t="shared" ref="H132:H195" si="110">(B132+E132+F132)*44/12+(C132+D132)*0.475*44/12</f>
        <v>183.33333333333334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112.82287576550925</v>
      </c>
      <c r="T132" s="59">
        <f t="shared" si="88"/>
        <v>317.78570695363294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6.9446455069854824</v>
      </c>
      <c r="AA132" s="21">
        <f>EXP(-LN(2)/25)*AA131+(1-EXP(-LN(2)/25))/(LN(2)/25)*Calculateur!V132*Calculateur!X132*VLOOKUP('Données projet'!$B$9,Paramètres!$A$1:$I$89,3,0)*0.475*44/12</f>
        <v>0.62507564360440615</v>
      </c>
      <c r="AB132" s="21">
        <f>EXP(-LN(2)/2)*AB131+(1-EXP(-LN(2)/2))/(LN(2)/2)*V132*Y132*VLOOKUP('Données projet'!$B$9,Paramètres!$A$1:$I$89,3,0)*0.475*44/12</f>
        <v>7.1954487568702889E-16</v>
      </c>
      <c r="AC132" s="22">
        <f t="shared" ref="AC132:AC153" si="111">SUM(Z132:AB132)</f>
        <v>7.5697211505898894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>
        <f>AI132*VLOOKUP('Données projet'!$B$10,Paramètres!$A$1:$I$89,3,0)*VLOOKUP('Données projet'!$B$10,Paramètres!$A$1:$I$89,5,0)</f>
        <v>0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123.44750406183283</v>
      </c>
      <c r="AO132" s="59">
        <f t="shared" si="90"/>
        <v>346.72009411328929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7.6689336886956365</v>
      </c>
      <c r="AV132" s="21">
        <f>EXP(-LN(2)/25)*AV131+(1-EXP(-LN(2)/25))/(LN(2)/25)*Calculateur!AQ132*Calculateur!AS132*VLOOKUP('Données projet'!$B$10,Paramètres!$A$1:$I$89,3,0)*0.475*44/12</f>
        <v>0.69026758189443593</v>
      </c>
      <c r="AW132" s="21">
        <f>EXP(-LN(2)/2)*AW131+(1-EXP(-LN(2)/2))/(LN(2)/2)*AQ132*AT132*VLOOKUP('Données projet'!$B$10,Paramètres!$A$1:$I$89,3,0)*0.475*44/12</f>
        <v>7.9458943327401993E-16</v>
      </c>
      <c r="AX132" s="21">
        <f t="shared" ref="AX132:AX153" si="114">SUM(AU132:AW132)</f>
        <v>8.3592012705900718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>
        <f>BD132*VLOOKUP('Données projet'!$B$11,Paramètres!$A$1:$I$89,3,0)*VLOOKUP('Données projet'!$B$11,Paramètres!$A$1:$I$89,5,0)</f>
        <v>0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123.44750406183283</v>
      </c>
      <c r="BJ132" s="59">
        <f t="shared" si="92"/>
        <v>346.72009411328929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7.6689336886956365</v>
      </c>
      <c r="BQ132" s="21">
        <f>EXP(-LN(2)/25)*BQ131+(1-EXP(-LN(2)/25))/(LN(2)/25)*Calculateur!BL132*Calculateur!BN132*VLOOKUP('Données projet'!$B$11,Paramètres!$A$1:$I$89,3,0)*0.475*44/12</f>
        <v>0.69026758189443593</v>
      </c>
      <c r="BR132" s="21">
        <f>EXP(-LN(2)/2)*BR131+(1-EXP(-LN(2)/2))/(LN(2)/2)*BL132*BO132*VLOOKUP('Données projet'!$B$11,Paramètres!$A$1:$I$89,3,0)*0.475*44/12</f>
        <v>7.9458943327401993E-16</v>
      </c>
      <c r="BS132" s="22">
        <f t="shared" ref="BS132:BS153" si="117">SUM(BP132:BR132)</f>
        <v>8.3592012705900718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7">
        <f t="shared" si="110"/>
        <v>183.33333333333334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112.82287576550925</v>
      </c>
      <c r="T133" s="59">
        <f t="shared" ref="T133:T196" si="142">$T$3</f>
        <v>317.78570695363294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6.8084652444090041</v>
      </c>
      <c r="AA133" s="21">
        <f>EXP(-LN(2)/25)*AA132+(1-EXP(-LN(2)/25))/(LN(2)/25)*Calculateur!V133*Calculateur!X133*VLOOKUP('Données projet'!$B$9,Paramètres!$A$1:$I$89,3,0)*0.475*44/12</f>
        <v>0.6079829172587442</v>
      </c>
      <c r="AB133" s="21">
        <f>EXP(-LN(2)/2)*AB132+(1-EXP(-LN(2)/2))/(LN(2)/2)*V133*Y133*VLOOKUP('Données projet'!$B$9,Paramètres!$A$1:$I$89,3,0)*0.475*44/12</f>
        <v>5.0879506096632947E-16</v>
      </c>
      <c r="AC133" s="22">
        <f t="shared" si="111"/>
        <v>7.4164481616677493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>
        <f>AI133*VLOOKUP('Données projet'!$B$10,Paramètres!$A$1:$I$89,3,0)*VLOOKUP('Données projet'!$B$10,Paramètres!$A$1:$I$89,5,0)</f>
        <v>0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123.44750406183283</v>
      </c>
      <c r="AO133" s="59">
        <f t="shared" ref="AO133:AO196" si="144">$AO$3</f>
        <v>346.72009411328929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7.5185505766479919</v>
      </c>
      <c r="AV133" s="21">
        <f>EXP(-LN(2)/25)*AV132+(1-EXP(-LN(2)/25))/(LN(2)/25)*Calculateur!AQ133*Calculateur!AS133*VLOOKUP('Données projet'!$B$10,Paramètres!$A$1:$I$89,3,0)*0.475*44/12</f>
        <v>0.67139217856793809</v>
      </c>
      <c r="AW133" s="21">
        <f>EXP(-LN(2)/2)*AW132+(1-EXP(-LN(2)/2))/(LN(2)/2)*AQ133*AT133*VLOOKUP('Données projet'!$B$10,Paramètres!$A$1:$I$89,3,0)*0.475*44/12</f>
        <v>5.6185957652723521E-16</v>
      </c>
      <c r="AX133" s="21">
        <f t="shared" si="114"/>
        <v>8.1899427552159292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>
        <f>BD133*VLOOKUP('Données projet'!$B$11,Paramètres!$A$1:$I$89,3,0)*VLOOKUP('Données projet'!$B$11,Paramètres!$A$1:$I$89,5,0)</f>
        <v>0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123.44750406183283</v>
      </c>
      <c r="BJ133" s="59">
        <f t="shared" ref="BJ133:BJ196" si="146">$BJ$3</f>
        <v>346.72009411328929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7.5185505766479919</v>
      </c>
      <c r="BQ133" s="21">
        <f>EXP(-LN(2)/25)*BQ132+(1-EXP(-LN(2)/25))/(LN(2)/25)*Calculateur!BL133*Calculateur!BN133*VLOOKUP('Données projet'!$B$11,Paramètres!$A$1:$I$89,3,0)*0.475*44/12</f>
        <v>0.67139217856793809</v>
      </c>
      <c r="BR133" s="21">
        <f>EXP(-LN(2)/2)*BR132+(1-EXP(-LN(2)/2))/(LN(2)/2)*BL133*BO133*VLOOKUP('Données projet'!$B$11,Paramètres!$A$1:$I$89,3,0)*0.475*44/12</f>
        <v>5.6185957652723521E-16</v>
      </c>
      <c r="BS133" s="22">
        <f t="shared" si="117"/>
        <v>8.1899427552159292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7">
        <f t="shared" si="110"/>
        <v>183.33333333333334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112.82287576550925</v>
      </c>
      <c r="T134" s="59">
        <f t="shared" si="142"/>
        <v>317.78570695363294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6.674955393719892</v>
      </c>
      <c r="AA134" s="21">
        <f>EXP(-LN(2)/25)*AA133+(1-EXP(-LN(2)/25))/(LN(2)/25)*Calculateur!V134*Calculateur!X134*VLOOKUP('Données projet'!$B$9,Paramètres!$A$1:$I$89,3,0)*0.475*44/12</f>
        <v>0.59135759241387176</v>
      </c>
      <c r="AB134" s="21">
        <f>EXP(-LN(2)/2)*AB133+(1-EXP(-LN(2)/2))/(LN(2)/2)*V134*Y134*VLOOKUP('Données projet'!$B$9,Paramètres!$A$1:$I$89,3,0)*0.475*44/12</f>
        <v>3.5977243784351444E-16</v>
      </c>
      <c r="AC134" s="22">
        <f t="shared" si="111"/>
        <v>7.2663129861337641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>
        <f>AI134*VLOOKUP('Données projet'!$B$10,Paramètres!$A$1:$I$89,3,0)*VLOOKUP('Données projet'!$B$10,Paramètres!$A$1:$I$89,5,0)</f>
        <v>0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123.44750406183283</v>
      </c>
      <c r="AO134" s="59">
        <f t="shared" si="144"/>
        <v>346.72009411328929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7.37111638570296</v>
      </c>
      <c r="AV134" s="21">
        <f>EXP(-LN(2)/25)*AV133+(1-EXP(-LN(2)/25))/(LN(2)/25)*Calculateur!AQ134*Calculateur!AS134*VLOOKUP('Données projet'!$B$10,Paramètres!$A$1:$I$89,3,0)*0.475*44/12</f>
        <v>0.65303292413801761</v>
      </c>
      <c r="AW134" s="21">
        <f>EXP(-LN(2)/2)*AW133+(1-EXP(-LN(2)/2))/(LN(2)/2)*AQ134*AT134*VLOOKUP('Données projet'!$B$10,Paramètres!$A$1:$I$89,3,0)*0.475*44/12</f>
        <v>3.9729471663700997E-16</v>
      </c>
      <c r="AX134" s="21">
        <f t="shared" si="114"/>
        <v>8.0241493098409773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>
        <f>BD134*VLOOKUP('Données projet'!$B$11,Paramètres!$A$1:$I$89,3,0)*VLOOKUP('Données projet'!$B$11,Paramètres!$A$1:$I$89,5,0)</f>
        <v>0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123.44750406183283</v>
      </c>
      <c r="BJ134" s="59">
        <f t="shared" si="146"/>
        <v>346.72009411328929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7.37111638570296</v>
      </c>
      <c r="BQ134" s="21">
        <f>EXP(-LN(2)/25)*BQ133+(1-EXP(-LN(2)/25))/(LN(2)/25)*Calculateur!BL134*Calculateur!BN134*VLOOKUP('Données projet'!$B$11,Paramètres!$A$1:$I$89,3,0)*0.475*44/12</f>
        <v>0.65303292413801761</v>
      </c>
      <c r="BR134" s="21">
        <f>EXP(-LN(2)/2)*BR133+(1-EXP(-LN(2)/2))/(LN(2)/2)*BL134*BO134*VLOOKUP('Données projet'!$B$11,Paramètres!$A$1:$I$89,3,0)*0.475*44/12</f>
        <v>3.9729471663700997E-16</v>
      </c>
      <c r="BS134" s="22">
        <f t="shared" si="117"/>
        <v>8.0241493098409773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7">
        <f t="shared" si="110"/>
        <v>183.33333333333334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112.82287576550925</v>
      </c>
      <c r="T135" s="59">
        <f t="shared" si="142"/>
        <v>317.78570695363294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6.5440635897698254</v>
      </c>
      <c r="AA135" s="21">
        <f>EXP(-LN(2)/25)*AA134+(1-EXP(-LN(2)/25))/(LN(2)/25)*Calculateur!V135*Calculateur!X135*VLOOKUP('Données projet'!$B$9,Paramètres!$A$1:$I$89,3,0)*0.475*44/12</f>
        <v>0.57518688795117023</v>
      </c>
      <c r="AB135" s="21">
        <f>EXP(-LN(2)/2)*AB134+(1-EXP(-LN(2)/2))/(LN(2)/2)*V135*Y135*VLOOKUP('Données projet'!$B$9,Paramètres!$A$1:$I$89,3,0)*0.475*44/12</f>
        <v>2.5439753048316474E-16</v>
      </c>
      <c r="AC135" s="22">
        <f t="shared" si="111"/>
        <v>7.1192504777209953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>
        <f>AI135*VLOOKUP('Données projet'!$B$10,Paramètres!$A$1:$I$89,3,0)*VLOOKUP('Données projet'!$B$10,Paramètres!$A$1:$I$89,5,0)</f>
        <v>0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123.44750406183283</v>
      </c>
      <c r="AO135" s="59">
        <f t="shared" si="144"/>
        <v>346.72009411328929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7.2265732893163834</v>
      </c>
      <c r="AV135" s="21">
        <f>EXP(-LN(2)/25)*AV134+(1-EXP(-LN(2)/25))/(LN(2)/25)*Calculateur!AQ135*Calculateur!AS135*VLOOKUP('Données projet'!$B$10,Paramètres!$A$1:$I$89,3,0)*0.475*44/12</f>
        <v>0.63517570448595462</v>
      </c>
      <c r="AW135" s="21">
        <f>EXP(-LN(2)/2)*AW134+(1-EXP(-LN(2)/2))/(LN(2)/2)*AQ135*AT135*VLOOKUP('Données projet'!$B$10,Paramètres!$A$1:$I$89,3,0)*0.475*44/12</f>
        <v>2.809297882636176E-16</v>
      </c>
      <c r="AX135" s="21">
        <f t="shared" si="114"/>
        <v>7.8617489938023377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>
        <f>BD135*VLOOKUP('Données projet'!$B$11,Paramètres!$A$1:$I$89,3,0)*VLOOKUP('Données projet'!$B$11,Paramètres!$A$1:$I$89,5,0)</f>
        <v>0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123.44750406183283</v>
      </c>
      <c r="BJ135" s="59">
        <f t="shared" si="146"/>
        <v>346.72009411328929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7.2265732893163834</v>
      </c>
      <c r="BQ135" s="21">
        <f>EXP(-LN(2)/25)*BQ134+(1-EXP(-LN(2)/25))/(LN(2)/25)*Calculateur!BL135*Calculateur!BN135*VLOOKUP('Données projet'!$B$11,Paramètres!$A$1:$I$89,3,0)*0.475*44/12</f>
        <v>0.63517570448595462</v>
      </c>
      <c r="BR135" s="21">
        <f>EXP(-LN(2)/2)*BR134+(1-EXP(-LN(2)/2))/(LN(2)/2)*BL135*BO135*VLOOKUP('Données projet'!$B$11,Paramètres!$A$1:$I$89,3,0)*0.475*44/12</f>
        <v>2.809297882636176E-16</v>
      </c>
      <c r="BS135" s="22">
        <f t="shared" si="117"/>
        <v>7.8617489938023377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7">
        <f t="shared" si="110"/>
        <v>183.33333333333334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112.82287576550925</v>
      </c>
      <c r="T136" s="59">
        <f t="shared" si="142"/>
        <v>317.78570695363294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6.4157384942591023</v>
      </c>
      <c r="AA136" s="21">
        <f>EXP(-LN(2)/25)*AA135+(1-EXP(-LN(2)/25))/(LN(2)/25)*Calculateur!V136*Calculateur!X136*VLOOKUP('Données projet'!$B$9,Paramètres!$A$1:$I$89,3,0)*0.475*44/12</f>
        <v>0.55945837225238171</v>
      </c>
      <c r="AB136" s="21">
        <f>EXP(-LN(2)/2)*AB135+(1-EXP(-LN(2)/2))/(LN(2)/2)*V136*Y136*VLOOKUP('Données projet'!$B$9,Paramètres!$A$1:$I$89,3,0)*0.475*44/12</f>
        <v>1.7988621892175722E-16</v>
      </c>
      <c r="AC136" s="22">
        <f t="shared" si="111"/>
        <v>6.9751968665114843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>
        <f>AI136*VLOOKUP('Données projet'!$B$10,Paramètres!$A$1:$I$89,3,0)*VLOOKUP('Données projet'!$B$10,Paramètres!$A$1:$I$89,5,0)</f>
        <v>0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123.44750406183283</v>
      </c>
      <c r="AO136" s="59">
        <f t="shared" si="144"/>
        <v>346.72009411328929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7.0848645948873639</v>
      </c>
      <c r="AV136" s="21">
        <f>EXP(-LN(2)/25)*AV135+(1-EXP(-LN(2)/25))/(LN(2)/25)*Calculateur!AQ136*Calculateur!AS136*VLOOKUP('Données projet'!$B$10,Paramètres!$A$1:$I$89,3,0)*0.475*44/12</f>
        <v>0.61780679144434758</v>
      </c>
      <c r="AW136" s="21">
        <f>EXP(-LN(2)/2)*AW135+(1-EXP(-LN(2)/2))/(LN(2)/2)*AQ136*AT136*VLOOKUP('Données projet'!$B$10,Paramètres!$A$1:$I$89,3,0)*0.475*44/12</f>
        <v>1.9864735831850498E-16</v>
      </c>
      <c r="AX136" s="21">
        <f t="shared" si="114"/>
        <v>7.7026713863317111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>
        <f>BD136*VLOOKUP('Données projet'!$B$11,Paramètres!$A$1:$I$89,3,0)*VLOOKUP('Données projet'!$B$11,Paramètres!$A$1:$I$89,5,0)</f>
        <v>0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123.44750406183283</v>
      </c>
      <c r="BJ136" s="59">
        <f t="shared" si="146"/>
        <v>346.72009411328929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7.0848645948873639</v>
      </c>
      <c r="BQ136" s="21">
        <f>EXP(-LN(2)/25)*BQ135+(1-EXP(-LN(2)/25))/(LN(2)/25)*Calculateur!BL136*Calculateur!BN136*VLOOKUP('Données projet'!$B$11,Paramètres!$A$1:$I$89,3,0)*0.475*44/12</f>
        <v>0.61780679144434758</v>
      </c>
      <c r="BR136" s="21">
        <f>EXP(-LN(2)/2)*BR135+(1-EXP(-LN(2)/2))/(LN(2)/2)*BL136*BO136*VLOOKUP('Données projet'!$B$11,Paramètres!$A$1:$I$89,3,0)*0.475*44/12</f>
        <v>1.9864735831850498E-16</v>
      </c>
      <c r="BS136" s="22">
        <f t="shared" si="117"/>
        <v>7.7026713863317111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7">
        <f t="shared" si="110"/>
        <v>183.33333333333334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112.82287576550925</v>
      </c>
      <c r="T137" s="59">
        <f t="shared" si="142"/>
        <v>317.78570695363294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6.2899297756007648</v>
      </c>
      <c r="AA137" s="21">
        <f>EXP(-LN(2)/25)*AA136+(1-EXP(-LN(2)/25))/(LN(2)/25)*Calculateur!V137*Calculateur!X137*VLOOKUP('Données projet'!$B$9,Paramètres!$A$1:$I$89,3,0)*0.475*44/12</f>
        <v>0.54415995364250325</v>
      </c>
      <c r="AB137" s="21">
        <f>EXP(-LN(2)/2)*AB136+(1-EXP(-LN(2)/2))/(LN(2)/2)*V137*Y137*VLOOKUP('Données projet'!$B$9,Paramètres!$A$1:$I$89,3,0)*0.475*44/12</f>
        <v>1.2719876524158237E-16</v>
      </c>
      <c r="AC137" s="22">
        <f t="shared" si="111"/>
        <v>6.8340897292432681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>
        <f>AI137*VLOOKUP('Données projet'!$B$10,Paramètres!$A$1:$I$89,3,0)*VLOOKUP('Données projet'!$B$10,Paramètres!$A$1:$I$89,5,0)</f>
        <v>0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123.44750406183283</v>
      </c>
      <c r="AO137" s="59">
        <f t="shared" si="144"/>
        <v>346.72009411328929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6.9459347215223284</v>
      </c>
      <c r="AV137" s="21">
        <f>EXP(-LN(2)/25)*AV136+(1-EXP(-LN(2)/25))/(LN(2)/25)*Calculateur!AQ137*Calculateur!AS137*VLOOKUP('Données projet'!$B$10,Paramètres!$A$1:$I$89,3,0)*0.475*44/12</f>
        <v>0.60091283224325476</v>
      </c>
      <c r="AW137" s="21">
        <f>EXP(-LN(2)/2)*AW136+(1-EXP(-LN(2)/2))/(LN(2)/2)*AQ137*AT137*VLOOKUP('Données projet'!$B$10,Paramètres!$A$1:$I$89,3,0)*0.475*44/12</f>
        <v>1.404648941318088E-16</v>
      </c>
      <c r="AX137" s="21">
        <f t="shared" si="114"/>
        <v>7.5468475537655832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>
        <f>BD137*VLOOKUP('Données projet'!$B$11,Paramètres!$A$1:$I$89,3,0)*VLOOKUP('Données projet'!$B$11,Paramètres!$A$1:$I$89,5,0)</f>
        <v>0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123.44750406183283</v>
      </c>
      <c r="BJ137" s="59">
        <f t="shared" si="146"/>
        <v>346.72009411328929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6.9459347215223284</v>
      </c>
      <c r="BQ137" s="21">
        <f>EXP(-LN(2)/25)*BQ136+(1-EXP(-LN(2)/25))/(LN(2)/25)*Calculateur!BL137*Calculateur!BN137*VLOOKUP('Données projet'!$B$11,Paramètres!$A$1:$I$89,3,0)*0.475*44/12</f>
        <v>0.60091283224325476</v>
      </c>
      <c r="BR137" s="21">
        <f>EXP(-LN(2)/2)*BR136+(1-EXP(-LN(2)/2))/(LN(2)/2)*BL137*BO137*VLOOKUP('Données projet'!$B$11,Paramètres!$A$1:$I$89,3,0)*0.475*44/12</f>
        <v>1.404648941318088E-16</v>
      </c>
      <c r="BS137" s="22">
        <f t="shared" si="117"/>
        <v>7.5468475537655832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7">
        <f t="shared" si="110"/>
        <v>183.33333333333334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112.82287576550925</v>
      </c>
      <c r="T138" s="59">
        <f t="shared" si="142"/>
        <v>317.78570695363294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6.1665880891795766</v>
      </c>
      <c r="AA138" s="21">
        <f>EXP(-LN(2)/25)*AA137+(1-EXP(-LN(2)/25))/(LN(2)/25)*Calculateur!V138*Calculateur!X138*VLOOKUP('Données projet'!$B$9,Paramètres!$A$1:$I$89,3,0)*0.475*44/12</f>
        <v>0.52927987109402075</v>
      </c>
      <c r="AB138" s="21">
        <f>EXP(-LN(2)/2)*AB137+(1-EXP(-LN(2)/2))/(LN(2)/2)*V138*Y138*VLOOKUP('Données projet'!$B$9,Paramètres!$A$1:$I$89,3,0)*0.475*44/12</f>
        <v>8.9943109460878611E-17</v>
      </c>
      <c r="AC138" s="22">
        <f t="shared" si="111"/>
        <v>6.6958679602735973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>
        <f>AI138*VLOOKUP('Données projet'!$B$10,Paramètres!$A$1:$I$89,3,0)*VLOOKUP('Données projet'!$B$10,Paramètres!$A$1:$I$89,5,0)</f>
        <v>0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123.44750406183283</v>
      </c>
      <c r="AO138" s="59">
        <f t="shared" si="144"/>
        <v>346.72009411328929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6.8097291782351261</v>
      </c>
      <c r="AV138" s="21">
        <f>EXP(-LN(2)/25)*AV137+(1-EXP(-LN(2)/25))/(LN(2)/25)*Calculateur!AQ138*Calculateur!AS138*VLOOKUP('Données projet'!$B$10,Paramètres!$A$1:$I$89,3,0)*0.475*44/12</f>
        <v>0.58448083924493055</v>
      </c>
      <c r="AW138" s="21">
        <f>EXP(-LN(2)/2)*AW137+(1-EXP(-LN(2)/2))/(LN(2)/2)*AQ138*AT138*VLOOKUP('Données projet'!$B$10,Paramètres!$A$1:$I$89,3,0)*0.475*44/12</f>
        <v>9.9323679159252491E-17</v>
      </c>
      <c r="AX138" s="21">
        <f t="shared" si="114"/>
        <v>7.3942100174800567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>
        <f>BD138*VLOOKUP('Données projet'!$B$11,Paramètres!$A$1:$I$89,3,0)*VLOOKUP('Données projet'!$B$11,Paramètres!$A$1:$I$89,5,0)</f>
        <v>0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123.44750406183283</v>
      </c>
      <c r="BJ138" s="59">
        <f t="shared" si="146"/>
        <v>346.72009411328929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6.8097291782351261</v>
      </c>
      <c r="BQ138" s="21">
        <f>EXP(-LN(2)/25)*BQ137+(1-EXP(-LN(2)/25))/(LN(2)/25)*Calculateur!BL138*Calculateur!BN138*VLOOKUP('Données projet'!$B$11,Paramètres!$A$1:$I$89,3,0)*0.475*44/12</f>
        <v>0.58448083924493055</v>
      </c>
      <c r="BR138" s="21">
        <f>EXP(-LN(2)/2)*BR137+(1-EXP(-LN(2)/2))/(LN(2)/2)*BL138*BO138*VLOOKUP('Données projet'!$B$11,Paramètres!$A$1:$I$89,3,0)*0.475*44/12</f>
        <v>9.9323679159252491E-17</v>
      </c>
      <c r="BS138" s="22">
        <f t="shared" si="117"/>
        <v>7.3942100174800567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7">
        <f t="shared" si="110"/>
        <v>183.33333333333334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112.82287576550925</v>
      </c>
      <c r="T139" s="59">
        <f t="shared" si="142"/>
        <v>317.78570695363294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6.0456650579981073</v>
      </c>
      <c r="AA139" s="21">
        <f>EXP(-LN(2)/25)*AA138+(1-EXP(-LN(2)/25))/(LN(2)/25)*Calculateur!V139*Calculateur!X139*VLOOKUP('Données projet'!$B$9,Paramètres!$A$1:$I$89,3,0)*0.475*44/12</f>
        <v>0.51480668518533601</v>
      </c>
      <c r="AB139" s="21">
        <f>EXP(-LN(2)/2)*AB138+(1-EXP(-LN(2)/2))/(LN(2)/2)*V139*Y139*VLOOKUP('Données projet'!$B$9,Paramètres!$A$1:$I$89,3,0)*0.475*44/12</f>
        <v>6.3599382620791184E-17</v>
      </c>
      <c r="AC139" s="22">
        <f t="shared" si="111"/>
        <v>6.5604717431834434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>
        <f>AI139*VLOOKUP('Données projet'!$B$10,Paramètres!$A$1:$I$89,3,0)*VLOOKUP('Données projet'!$B$10,Paramètres!$A$1:$I$89,5,0)</f>
        <v>0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123.44750406183283</v>
      </c>
      <c r="AO139" s="59">
        <f t="shared" si="144"/>
        <v>346.72009411328929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6.6761945425746072</v>
      </c>
      <c r="AV139" s="21">
        <f>EXP(-LN(2)/25)*AV138+(1-EXP(-LN(2)/25))/(LN(2)/25)*Calculateur!AQ139*Calculateur!AS139*VLOOKUP('Données projet'!$B$10,Paramètres!$A$1:$I$89,3,0)*0.475*44/12</f>
        <v>0.56849817995926644</v>
      </c>
      <c r="AW139" s="21">
        <f>EXP(-LN(2)/2)*AW138+(1-EXP(-LN(2)/2))/(LN(2)/2)*AQ139*AT139*VLOOKUP('Données projet'!$B$10,Paramètres!$A$1:$I$89,3,0)*0.475*44/12</f>
        <v>7.0232447065904401E-17</v>
      </c>
      <c r="AX139" s="21">
        <f t="shared" si="114"/>
        <v>7.2446927225338733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>
        <f>BD139*VLOOKUP('Données projet'!$B$11,Paramètres!$A$1:$I$89,3,0)*VLOOKUP('Données projet'!$B$11,Paramètres!$A$1:$I$89,5,0)</f>
        <v>0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123.44750406183283</v>
      </c>
      <c r="BJ139" s="59">
        <f t="shared" si="146"/>
        <v>346.72009411328929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6.6761945425746072</v>
      </c>
      <c r="BQ139" s="21">
        <f>EXP(-LN(2)/25)*BQ138+(1-EXP(-LN(2)/25))/(LN(2)/25)*Calculateur!BL139*Calculateur!BN139*VLOOKUP('Données projet'!$B$11,Paramètres!$A$1:$I$89,3,0)*0.475*44/12</f>
        <v>0.56849817995926644</v>
      </c>
      <c r="BR139" s="21">
        <f>EXP(-LN(2)/2)*BR138+(1-EXP(-LN(2)/2))/(LN(2)/2)*BL139*BO139*VLOOKUP('Données projet'!$B$11,Paramètres!$A$1:$I$89,3,0)*0.475*44/12</f>
        <v>7.0232447065904401E-17</v>
      </c>
      <c r="BS139" s="22">
        <f t="shared" si="117"/>
        <v>7.2446927225338733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7">
        <f t="shared" si="110"/>
        <v>183.33333333333334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112.82287576550925</v>
      </c>
      <c r="T140" s="59">
        <f t="shared" si="142"/>
        <v>317.78570695363294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5.9271132537023403</v>
      </c>
      <c r="AA140" s="21">
        <f>EXP(-LN(2)/25)*AA139+(1-EXP(-LN(2)/25))/(LN(2)/25)*Calculateur!V140*Calculateur!X140*VLOOKUP('Données projet'!$B$9,Paramètres!$A$1:$I$89,3,0)*0.475*44/12</f>
        <v>0.50072926930643602</v>
      </c>
      <c r="AB140" s="21">
        <f>EXP(-LN(2)/2)*AB139+(1-EXP(-LN(2)/2))/(LN(2)/2)*V140*Y140*VLOOKUP('Données projet'!$B$9,Paramètres!$A$1:$I$89,3,0)*0.475*44/12</f>
        <v>4.4971554730439305E-17</v>
      </c>
      <c r="AC140" s="22">
        <f t="shared" si="111"/>
        <v>6.4278425230087759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>
        <f>AI140*VLOOKUP('Données projet'!$B$10,Paramètres!$A$1:$I$89,3,0)*VLOOKUP('Données projet'!$B$10,Paramètres!$A$1:$I$89,5,0)</f>
        <v>0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123.44750406183283</v>
      </c>
      <c r="AO140" s="59">
        <f t="shared" si="144"/>
        <v>346.72009411328929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6.5452784396713062</v>
      </c>
      <c r="AV140" s="21">
        <f>EXP(-LN(2)/25)*AV139+(1-EXP(-LN(2)/25))/(LN(2)/25)*Calculateur!AQ140*Calculateur!AS140*VLOOKUP('Données projet'!$B$10,Paramètres!$A$1:$I$89,3,0)*0.475*44/12</f>
        <v>0.55295256733226028</v>
      </c>
      <c r="AW140" s="21">
        <f>EXP(-LN(2)/2)*AW139+(1-EXP(-LN(2)/2))/(LN(2)/2)*AQ140*AT140*VLOOKUP('Données projet'!$B$10,Paramètres!$A$1:$I$89,3,0)*0.475*44/12</f>
        <v>4.9661839579626246E-17</v>
      </c>
      <c r="AX140" s="21">
        <f t="shared" si="114"/>
        <v>7.0982310070035668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>
        <f>BD140*VLOOKUP('Données projet'!$B$11,Paramètres!$A$1:$I$89,3,0)*VLOOKUP('Données projet'!$B$11,Paramètres!$A$1:$I$89,5,0)</f>
        <v>0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123.44750406183283</v>
      </c>
      <c r="BJ140" s="59">
        <f t="shared" si="146"/>
        <v>346.72009411328929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6.5452784396713062</v>
      </c>
      <c r="BQ140" s="21">
        <f>EXP(-LN(2)/25)*BQ139+(1-EXP(-LN(2)/25))/(LN(2)/25)*Calculateur!BL140*Calculateur!BN140*VLOOKUP('Données projet'!$B$11,Paramètres!$A$1:$I$89,3,0)*0.475*44/12</f>
        <v>0.55295256733226028</v>
      </c>
      <c r="BR140" s="21">
        <f>EXP(-LN(2)/2)*BR139+(1-EXP(-LN(2)/2))/(LN(2)/2)*BL140*BO140*VLOOKUP('Données projet'!$B$11,Paramètres!$A$1:$I$89,3,0)*0.475*44/12</f>
        <v>4.9661839579626246E-17</v>
      </c>
      <c r="BS140" s="22">
        <f t="shared" si="117"/>
        <v>7.0982310070035668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7">
        <f t="shared" si="110"/>
        <v>183.33333333333334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112.82287576550925</v>
      </c>
      <c r="T141" s="59">
        <f t="shared" si="142"/>
        <v>317.78570695363294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5.810886177979353</v>
      </c>
      <c r="AA141" s="21">
        <f>EXP(-LN(2)/25)*AA140+(1-EXP(-LN(2)/25))/(LN(2)/25)*Calculateur!V141*Calculateur!X141*VLOOKUP('Données projet'!$B$9,Paramètres!$A$1:$I$89,3,0)*0.475*44/12</f>
        <v>0.48703680110504366</v>
      </c>
      <c r="AB141" s="21">
        <f>EXP(-LN(2)/2)*AB140+(1-EXP(-LN(2)/2))/(LN(2)/2)*V141*Y141*VLOOKUP('Données projet'!$B$9,Paramètres!$A$1:$I$89,3,0)*0.475*44/12</f>
        <v>3.1799691310395592E-17</v>
      </c>
      <c r="AC141" s="22">
        <f t="shared" si="111"/>
        <v>6.2979229790843965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>
        <f>AI141*VLOOKUP('Données projet'!$B$10,Paramètres!$A$1:$I$89,3,0)*VLOOKUP('Données projet'!$B$10,Paramètres!$A$1:$I$89,5,0)</f>
        <v>0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123.44750406183283</v>
      </c>
      <c r="AO141" s="59">
        <f t="shared" si="144"/>
        <v>346.72009411328929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6.4169295216950006</v>
      </c>
      <c r="AV141" s="21">
        <f>EXP(-LN(2)/25)*AV140+(1-EXP(-LN(2)/25))/(LN(2)/25)*Calculateur!AQ141*Calculateur!AS141*VLOOKUP('Données projet'!$B$10,Paramètres!$A$1:$I$89,3,0)*0.475*44/12</f>
        <v>0.53783205030004788</v>
      </c>
      <c r="AW141" s="21">
        <f>EXP(-LN(2)/2)*AW140+(1-EXP(-LN(2)/2))/(LN(2)/2)*AQ141*AT141*VLOOKUP('Données projet'!$B$10,Paramètres!$A$1:$I$89,3,0)*0.475*44/12</f>
        <v>3.51162235329522E-17</v>
      </c>
      <c r="AX141" s="21">
        <f t="shared" si="114"/>
        <v>6.9547615719950482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>
        <f>BD141*VLOOKUP('Données projet'!$B$11,Paramètres!$A$1:$I$89,3,0)*VLOOKUP('Données projet'!$B$11,Paramètres!$A$1:$I$89,5,0)</f>
        <v>0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123.44750406183283</v>
      </c>
      <c r="BJ141" s="59">
        <f t="shared" si="146"/>
        <v>346.72009411328929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6.4169295216950006</v>
      </c>
      <c r="BQ141" s="21">
        <f>EXP(-LN(2)/25)*BQ140+(1-EXP(-LN(2)/25))/(LN(2)/25)*Calculateur!BL141*Calculateur!BN141*VLOOKUP('Données projet'!$B$11,Paramètres!$A$1:$I$89,3,0)*0.475*44/12</f>
        <v>0.53783205030004788</v>
      </c>
      <c r="BR141" s="21">
        <f>EXP(-LN(2)/2)*BR140+(1-EXP(-LN(2)/2))/(LN(2)/2)*BL141*BO141*VLOOKUP('Données projet'!$B$11,Paramètres!$A$1:$I$89,3,0)*0.475*44/12</f>
        <v>3.51162235329522E-17</v>
      </c>
      <c r="BS141" s="22">
        <f t="shared" si="117"/>
        <v>6.9547615719950482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7">
        <f t="shared" si="110"/>
        <v>183.33333333333334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112.82287576550925</v>
      </c>
      <c r="T142" s="59">
        <f t="shared" si="142"/>
        <v>317.78570695363294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5.6969382443197771</v>
      </c>
      <c r="AA142" s="21">
        <f>EXP(-LN(2)/25)*AA141+(1-EXP(-LN(2)/25))/(LN(2)/25)*Calculateur!V142*Calculateur!X142*VLOOKUP('Données projet'!$B$9,Paramètres!$A$1:$I$89,3,0)*0.475*44/12</f>
        <v>0.47371875416667403</v>
      </c>
      <c r="AB142" s="21">
        <f>EXP(-LN(2)/2)*AB141+(1-EXP(-LN(2)/2))/(LN(2)/2)*V142*Y142*VLOOKUP('Données projet'!$B$9,Paramètres!$A$1:$I$89,3,0)*0.475*44/12</f>
        <v>2.2485777365219653E-17</v>
      </c>
      <c r="AC142" s="22">
        <f t="shared" si="111"/>
        <v>6.170656998486451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>
        <f>AI142*VLOOKUP('Données projet'!$B$10,Paramètres!$A$1:$I$89,3,0)*VLOOKUP('Données projet'!$B$10,Paramètres!$A$1:$I$89,5,0)</f>
        <v>0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123.44750406183283</v>
      </c>
      <c r="AO142" s="59">
        <f t="shared" si="144"/>
        <v>346.72009411328929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6.2910974477151003</v>
      </c>
      <c r="AV142" s="21">
        <f>EXP(-LN(2)/25)*AV141+(1-EXP(-LN(2)/25))/(LN(2)/25)*Calculateur!AQ142*Calculateur!AS142*VLOOKUP('Données projet'!$B$10,Paramètres!$A$1:$I$89,3,0)*0.475*44/12</f>
        <v>0.52312500460123479</v>
      </c>
      <c r="AW142" s="21">
        <f>EXP(-LN(2)/2)*AW141+(1-EXP(-LN(2)/2))/(LN(2)/2)*AQ142*AT142*VLOOKUP('Données projet'!$B$10,Paramètres!$A$1:$I$89,3,0)*0.475*44/12</f>
        <v>2.4830919789813123E-17</v>
      </c>
      <c r="AX142" s="21">
        <f t="shared" si="114"/>
        <v>6.8142224523163346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>
        <f>BD142*VLOOKUP('Données projet'!$B$11,Paramètres!$A$1:$I$89,3,0)*VLOOKUP('Données projet'!$B$11,Paramètres!$A$1:$I$89,5,0)</f>
        <v>0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123.44750406183283</v>
      </c>
      <c r="BJ142" s="59">
        <f t="shared" si="146"/>
        <v>346.72009411328929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6.2910974477151003</v>
      </c>
      <c r="BQ142" s="21">
        <f>EXP(-LN(2)/25)*BQ141+(1-EXP(-LN(2)/25))/(LN(2)/25)*Calculateur!BL142*Calculateur!BN142*VLOOKUP('Données projet'!$B$11,Paramètres!$A$1:$I$89,3,0)*0.475*44/12</f>
        <v>0.52312500460123479</v>
      </c>
      <c r="BR142" s="21">
        <f>EXP(-LN(2)/2)*BR141+(1-EXP(-LN(2)/2))/(LN(2)/2)*BL142*BO142*VLOOKUP('Données projet'!$B$11,Paramètres!$A$1:$I$89,3,0)*0.475*44/12</f>
        <v>2.4830919789813123E-17</v>
      </c>
      <c r="BS142" s="22">
        <f t="shared" si="117"/>
        <v>6.8142224523163346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7">
        <f t="shared" si="110"/>
        <v>183.33333333333334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112.82287576550925</v>
      </c>
      <c r="T143" s="59">
        <f t="shared" si="142"/>
        <v>317.78570695363294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5.5852247601378888</v>
      </c>
      <c r="AA143" s="21">
        <f>EXP(-LN(2)/25)*AA142+(1-EXP(-LN(2)/25))/(LN(2)/25)*Calculateur!V143*Calculateur!X143*VLOOKUP('Données projet'!$B$9,Paramètres!$A$1:$I$89,3,0)*0.475*44/12</f>
        <v>0.46076488992219972</v>
      </c>
      <c r="AB143" s="21">
        <f>EXP(-LN(2)/2)*AB142+(1-EXP(-LN(2)/2))/(LN(2)/2)*V143*Y143*VLOOKUP('Données projet'!$B$9,Paramètres!$A$1:$I$89,3,0)*0.475*44/12</f>
        <v>1.5899845655197796E-17</v>
      </c>
      <c r="AC143" s="22">
        <f t="shared" si="111"/>
        <v>6.0459896500600889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>
        <f>AI143*VLOOKUP('Données projet'!$B$10,Paramètres!$A$1:$I$89,3,0)*VLOOKUP('Données projet'!$B$10,Paramètres!$A$1:$I$89,5,0)</f>
        <v>0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123.44750406183283</v>
      </c>
      <c r="AO143" s="59">
        <f t="shared" si="144"/>
        <v>346.72009411328929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6.1677328639559592</v>
      </c>
      <c r="AV143" s="21">
        <f>EXP(-LN(2)/25)*AV142+(1-EXP(-LN(2)/25))/(LN(2)/25)*Calculateur!AQ143*Calculateur!AS143*VLOOKUP('Données projet'!$B$10,Paramètres!$A$1:$I$89,3,0)*0.475*44/12</f>
        <v>0.5088201238404656</v>
      </c>
      <c r="AW143" s="21">
        <f>EXP(-LN(2)/2)*AW142+(1-EXP(-LN(2)/2))/(LN(2)/2)*AQ143*AT143*VLOOKUP('Données projet'!$B$10,Paramètres!$A$1:$I$89,3,0)*0.475*44/12</f>
        <v>1.75581117664761E-17</v>
      </c>
      <c r="AX143" s="21">
        <f t="shared" si="114"/>
        <v>6.6765529877964251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>
        <f>BD143*VLOOKUP('Données projet'!$B$11,Paramètres!$A$1:$I$89,3,0)*VLOOKUP('Données projet'!$B$11,Paramètres!$A$1:$I$89,5,0)</f>
        <v>0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123.44750406183283</v>
      </c>
      <c r="BJ143" s="59">
        <f t="shared" si="146"/>
        <v>346.72009411328929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6.1677328639559592</v>
      </c>
      <c r="BQ143" s="21">
        <f>EXP(-LN(2)/25)*BQ142+(1-EXP(-LN(2)/25))/(LN(2)/25)*Calculateur!BL143*Calculateur!BN143*VLOOKUP('Données projet'!$B$11,Paramètres!$A$1:$I$89,3,0)*0.475*44/12</f>
        <v>0.5088201238404656</v>
      </c>
      <c r="BR143" s="21">
        <f>EXP(-LN(2)/2)*BR142+(1-EXP(-LN(2)/2))/(LN(2)/2)*BL143*BO143*VLOOKUP('Données projet'!$B$11,Paramètres!$A$1:$I$89,3,0)*0.475*44/12</f>
        <v>1.75581117664761E-17</v>
      </c>
      <c r="BS143" s="22">
        <f t="shared" si="117"/>
        <v>6.6765529877964251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7">
        <f t="shared" si="110"/>
        <v>183.33333333333334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112.82287576550925</v>
      </c>
      <c r="T144" s="59">
        <f t="shared" si="142"/>
        <v>317.78570695363294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5.4757019092423098</v>
      </c>
      <c r="AA144" s="21">
        <f>EXP(-LN(2)/25)*AA143+(1-EXP(-LN(2)/25))/(LN(2)/25)*Calculateur!V144*Calculateur!X144*VLOOKUP('Données projet'!$B$9,Paramètres!$A$1:$I$89,3,0)*0.475*44/12</f>
        <v>0.44816524977670469</v>
      </c>
      <c r="AB144" s="21">
        <f>EXP(-LN(2)/2)*AB143+(1-EXP(-LN(2)/2))/(LN(2)/2)*V144*Y144*VLOOKUP('Données projet'!$B$9,Paramètres!$A$1:$I$89,3,0)*0.475*44/12</f>
        <v>1.1242888682609826E-17</v>
      </c>
      <c r="AC144" s="22">
        <f t="shared" si="111"/>
        <v>5.9238671590190144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>
        <f>AI144*VLOOKUP('Données projet'!$B$10,Paramètres!$A$1:$I$89,3,0)*VLOOKUP('Données projet'!$B$10,Paramètres!$A$1:$I$89,5,0)</f>
        <v>0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123.44750406183283</v>
      </c>
      <c r="AO144" s="59">
        <f t="shared" si="144"/>
        <v>346.72009411328929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6.0467873844393685</v>
      </c>
      <c r="AV144" s="21">
        <f>EXP(-LN(2)/25)*AV143+(1-EXP(-LN(2)/25))/(LN(2)/25)*Calculateur!AQ144*Calculateur!AS144*VLOOKUP('Données projet'!$B$10,Paramètres!$A$1:$I$89,3,0)*0.475*44/12</f>
        <v>0.49490641079636066</v>
      </c>
      <c r="AW144" s="21">
        <f>EXP(-LN(2)/2)*AW143+(1-EXP(-LN(2)/2))/(LN(2)/2)*AQ144*AT144*VLOOKUP('Données projet'!$B$10,Paramètres!$A$1:$I$89,3,0)*0.475*44/12</f>
        <v>1.2415459894906561E-17</v>
      </c>
      <c r="AX144" s="21">
        <f t="shared" si="114"/>
        <v>6.5416937952357292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>
        <f>BD144*VLOOKUP('Données projet'!$B$11,Paramètres!$A$1:$I$89,3,0)*VLOOKUP('Données projet'!$B$11,Paramètres!$A$1:$I$89,5,0)</f>
        <v>0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123.44750406183283</v>
      </c>
      <c r="BJ144" s="59">
        <f t="shared" si="146"/>
        <v>346.72009411328929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6.0467873844393685</v>
      </c>
      <c r="BQ144" s="21">
        <f>EXP(-LN(2)/25)*BQ143+(1-EXP(-LN(2)/25))/(LN(2)/25)*Calculateur!BL144*Calculateur!BN144*VLOOKUP('Données projet'!$B$11,Paramètres!$A$1:$I$89,3,0)*0.475*44/12</f>
        <v>0.49490641079636066</v>
      </c>
      <c r="BR144" s="21">
        <f>EXP(-LN(2)/2)*BR143+(1-EXP(-LN(2)/2))/(LN(2)/2)*BL144*BO144*VLOOKUP('Données projet'!$B$11,Paramètres!$A$1:$I$89,3,0)*0.475*44/12</f>
        <v>1.2415459894906561E-17</v>
      </c>
      <c r="BS144" s="22">
        <f t="shared" si="117"/>
        <v>6.5416937952357292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7">
        <f t="shared" si="110"/>
        <v>183.33333333333334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112.82287576550925</v>
      </c>
      <c r="T145" s="59">
        <f t="shared" si="142"/>
        <v>317.78570695363294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5.3683267346504504</v>
      </c>
      <c r="AA145" s="21">
        <f>EXP(-LN(2)/25)*AA144+(1-EXP(-LN(2)/25))/(LN(2)/25)*Calculateur!V145*Calculateur!X145*VLOOKUP('Données projet'!$B$9,Paramètres!$A$1:$I$89,3,0)*0.475*44/12</f>
        <v>0.43591014745357448</v>
      </c>
      <c r="AB145" s="21">
        <f>EXP(-LN(2)/2)*AB144+(1-EXP(-LN(2)/2))/(LN(2)/2)*V145*Y145*VLOOKUP('Données projet'!$B$9,Paramètres!$A$1:$I$89,3,0)*0.475*44/12</f>
        <v>7.949922827598898E-18</v>
      </c>
      <c r="AC145" s="22">
        <f t="shared" si="111"/>
        <v>5.8042368821040249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>
        <f>AI145*VLOOKUP('Données projet'!$B$10,Paramètres!$A$1:$I$89,3,0)*VLOOKUP('Données projet'!$B$10,Paramètres!$A$1:$I$89,5,0)</f>
        <v>0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123.44750406183283</v>
      </c>
      <c r="AO145" s="59">
        <f t="shared" si="144"/>
        <v>346.72009411328929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5.9282135720066398</v>
      </c>
      <c r="AV145" s="21">
        <f>EXP(-LN(2)/25)*AV144+(1-EXP(-LN(2)/25))/(LN(2)/25)*Calculateur!AQ145*Calculateur!AS145*VLOOKUP('Données projet'!$B$10,Paramètres!$A$1:$I$89,3,0)*0.475*44/12</f>
        <v>0.48137316896713717</v>
      </c>
      <c r="AW145" s="21">
        <f>EXP(-LN(2)/2)*AW144+(1-EXP(-LN(2)/2))/(LN(2)/2)*AQ145*AT145*VLOOKUP('Données projet'!$B$10,Paramètres!$A$1:$I$89,3,0)*0.475*44/12</f>
        <v>8.7790558832380501E-18</v>
      </c>
      <c r="AX145" s="21">
        <f t="shared" si="114"/>
        <v>6.4095867409737766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>
        <f>BD145*VLOOKUP('Données projet'!$B$11,Paramètres!$A$1:$I$89,3,0)*VLOOKUP('Données projet'!$B$11,Paramètres!$A$1:$I$89,5,0)</f>
        <v>0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123.44750406183283</v>
      </c>
      <c r="BJ145" s="59">
        <f t="shared" si="146"/>
        <v>346.72009411328929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5.9282135720066398</v>
      </c>
      <c r="BQ145" s="21">
        <f>EXP(-LN(2)/25)*BQ144+(1-EXP(-LN(2)/25))/(LN(2)/25)*Calculateur!BL145*Calculateur!BN145*VLOOKUP('Données projet'!$B$11,Paramètres!$A$1:$I$89,3,0)*0.475*44/12</f>
        <v>0.48137316896713717</v>
      </c>
      <c r="BR145" s="21">
        <f>EXP(-LN(2)/2)*BR144+(1-EXP(-LN(2)/2))/(LN(2)/2)*BL145*BO145*VLOOKUP('Données projet'!$B$11,Paramètres!$A$1:$I$89,3,0)*0.475*44/12</f>
        <v>8.7790558832380501E-18</v>
      </c>
      <c r="BS145" s="22">
        <f t="shared" si="117"/>
        <v>6.4095867409737766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7">
        <f t="shared" si="110"/>
        <v>183.33333333333334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112.82287576550925</v>
      </c>
      <c r="T146" s="59">
        <f t="shared" si="142"/>
        <v>317.78570695363294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5.2630571217399478</v>
      </c>
      <c r="AA146" s="21">
        <f>EXP(-LN(2)/25)*AA145+(1-EXP(-LN(2)/25))/(LN(2)/25)*Calculateur!V146*Calculateur!X146*VLOOKUP('Données projet'!$B$9,Paramètres!$A$1:$I$89,3,0)*0.475*44/12</f>
        <v>0.42399016154793812</v>
      </c>
      <c r="AB146" s="21">
        <f>EXP(-LN(2)/2)*AB145+(1-EXP(-LN(2)/2))/(LN(2)/2)*V146*Y146*VLOOKUP('Données projet'!$B$9,Paramètres!$A$1:$I$89,3,0)*0.475*44/12</f>
        <v>5.6214443413049132E-18</v>
      </c>
      <c r="AC146" s="22">
        <f t="shared" si="111"/>
        <v>5.6870472832878862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>
        <f>AI146*VLOOKUP('Données projet'!$B$10,Paramètres!$A$1:$I$89,3,0)*VLOOKUP('Données projet'!$B$10,Paramètres!$A$1:$I$89,5,0)</f>
        <v>0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123.44750406183283</v>
      </c>
      <c r="AO146" s="59">
        <f t="shared" si="144"/>
        <v>346.72009411328929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5.8119649197128327</v>
      </c>
      <c r="AV146" s="21">
        <f>EXP(-LN(2)/25)*AV145+(1-EXP(-LN(2)/25))/(LN(2)/25)*Calculateur!AQ146*Calculateur!AS146*VLOOKUP('Données projet'!$B$10,Paramètres!$A$1:$I$89,3,0)*0.475*44/12</f>
        <v>0.46820999434741606</v>
      </c>
      <c r="AW146" s="21">
        <f>EXP(-LN(2)/2)*AW145+(1-EXP(-LN(2)/2))/(LN(2)/2)*AQ146*AT146*VLOOKUP('Données projet'!$B$10,Paramètres!$A$1:$I$89,3,0)*0.475*44/12</f>
        <v>6.2077299474532807E-18</v>
      </c>
      <c r="AX146" s="21">
        <f t="shared" si="114"/>
        <v>6.2801749140602485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>
        <f>BD146*VLOOKUP('Données projet'!$B$11,Paramètres!$A$1:$I$89,3,0)*VLOOKUP('Données projet'!$B$11,Paramètres!$A$1:$I$89,5,0)</f>
        <v>0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123.44750406183283</v>
      </c>
      <c r="BJ146" s="59">
        <f t="shared" si="146"/>
        <v>346.72009411328929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5.8119649197128327</v>
      </c>
      <c r="BQ146" s="21">
        <f>EXP(-LN(2)/25)*BQ145+(1-EXP(-LN(2)/25))/(LN(2)/25)*Calculateur!BL146*Calculateur!BN146*VLOOKUP('Données projet'!$B$11,Paramètres!$A$1:$I$89,3,0)*0.475*44/12</f>
        <v>0.46820999434741606</v>
      </c>
      <c r="BR146" s="21">
        <f>EXP(-LN(2)/2)*BR145+(1-EXP(-LN(2)/2))/(LN(2)/2)*BL146*BO146*VLOOKUP('Données projet'!$B$11,Paramètres!$A$1:$I$89,3,0)*0.475*44/12</f>
        <v>6.2077299474532807E-18</v>
      </c>
      <c r="BS146" s="22">
        <f t="shared" si="117"/>
        <v>6.2801749140602485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7">
        <f t="shared" si="110"/>
        <v>183.33333333333334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112.82287576550925</v>
      </c>
      <c r="T147" s="59">
        <f t="shared" si="142"/>
        <v>317.78570695363294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5.1598517817304961</v>
      </c>
      <c r="AA147" s="21">
        <f>EXP(-LN(2)/25)*AA146+(1-EXP(-LN(2)/25))/(LN(2)/25)*Calculateur!V147*Calculateur!X147*VLOOKUP('Données projet'!$B$9,Paramètres!$A$1:$I$89,3,0)*0.475*44/12</f>
        <v>0.41239612828373617</v>
      </c>
      <c r="AB147" s="21">
        <f>EXP(-LN(2)/2)*AB146+(1-EXP(-LN(2)/2))/(LN(2)/2)*V147*Y147*VLOOKUP('Données projet'!$B$9,Paramètres!$A$1:$I$89,3,0)*0.475*44/12</f>
        <v>3.974961413799449E-18</v>
      </c>
      <c r="AC147" s="22">
        <f t="shared" si="111"/>
        <v>5.5722479100142319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>
        <f>AI147*VLOOKUP('Données projet'!$B$10,Paramètres!$A$1:$I$89,3,0)*VLOOKUP('Données projet'!$B$10,Paramètres!$A$1:$I$89,5,0)</f>
        <v>0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123.44750406183283</v>
      </c>
      <c r="AO147" s="59">
        <f t="shared" si="144"/>
        <v>346.72009411328929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5.6979958325858302</v>
      </c>
      <c r="AV147" s="21">
        <f>EXP(-LN(2)/25)*AV146+(1-EXP(-LN(2)/25))/(LN(2)/25)*Calculateur!AQ147*Calculateur!AS147*VLOOKUP('Données projet'!$B$10,Paramètres!$A$1:$I$89,3,0)*0.475*44/12</f>
        <v>0.45540676742989245</v>
      </c>
      <c r="AW147" s="21">
        <f>EXP(-LN(2)/2)*AW146+(1-EXP(-LN(2)/2))/(LN(2)/2)*AQ147*AT147*VLOOKUP('Données projet'!$B$10,Paramètres!$A$1:$I$89,3,0)*0.475*44/12</f>
        <v>4.389527941619025E-18</v>
      </c>
      <c r="AX147" s="21">
        <f t="shared" si="114"/>
        <v>6.1534026000157223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>
        <f>BD147*VLOOKUP('Données projet'!$B$11,Paramètres!$A$1:$I$89,3,0)*VLOOKUP('Données projet'!$B$11,Paramètres!$A$1:$I$89,5,0)</f>
        <v>0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123.44750406183283</v>
      </c>
      <c r="BJ147" s="59">
        <f t="shared" si="146"/>
        <v>346.72009411328929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5.6979958325858302</v>
      </c>
      <c r="BQ147" s="21">
        <f>EXP(-LN(2)/25)*BQ146+(1-EXP(-LN(2)/25))/(LN(2)/25)*Calculateur!BL147*Calculateur!BN147*VLOOKUP('Données projet'!$B$11,Paramètres!$A$1:$I$89,3,0)*0.475*44/12</f>
        <v>0.45540676742989245</v>
      </c>
      <c r="BR147" s="21">
        <f>EXP(-LN(2)/2)*BR146+(1-EXP(-LN(2)/2))/(LN(2)/2)*BL147*BO147*VLOOKUP('Données projet'!$B$11,Paramètres!$A$1:$I$89,3,0)*0.475*44/12</f>
        <v>4.389527941619025E-18</v>
      </c>
      <c r="BS147" s="22">
        <f t="shared" si="117"/>
        <v>6.1534026000157223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7">
        <f t="shared" si="110"/>
        <v>183.33333333333334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112.82287576550925</v>
      </c>
      <c r="T148" s="59">
        <f t="shared" si="142"/>
        <v>317.78570695363294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5.0586702354895881</v>
      </c>
      <c r="AA148" s="21">
        <f>EXP(-LN(2)/25)*AA147+(1-EXP(-LN(2)/25))/(LN(2)/25)*Calculateur!V148*Calculateur!X148*VLOOKUP('Données projet'!$B$9,Paramètres!$A$1:$I$89,3,0)*0.475*44/12</f>
        <v>0.40111913446884756</v>
      </c>
      <c r="AB148" s="21">
        <f>EXP(-LN(2)/2)*AB147+(1-EXP(-LN(2)/2))/(LN(2)/2)*V148*Y148*VLOOKUP('Données projet'!$B$9,Paramètres!$A$1:$I$89,3,0)*0.475*44/12</f>
        <v>2.8107221706524566E-18</v>
      </c>
      <c r="AC148" s="22">
        <f t="shared" si="111"/>
        <v>5.4597893699584352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>
        <f>AI148*VLOOKUP('Données projet'!$B$10,Paramètres!$A$1:$I$89,3,0)*VLOOKUP('Données projet'!$B$10,Paramètres!$A$1:$I$89,5,0)</f>
        <v>0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123.44750406183283</v>
      </c>
      <c r="AO148" s="59">
        <f t="shared" si="144"/>
        <v>346.72009411328929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5.5862616097431097</v>
      </c>
      <c r="AV148" s="21">
        <f>EXP(-LN(2)/25)*AV147+(1-EXP(-LN(2)/25))/(LN(2)/25)*Calculateur!AQ148*Calculateur!AS148*VLOOKUP('Données projet'!$B$10,Paramètres!$A$1:$I$89,3,0)*0.475*44/12</f>
        <v>0.44295364542572097</v>
      </c>
      <c r="AW148" s="21">
        <f>EXP(-LN(2)/2)*AW147+(1-EXP(-LN(2)/2))/(LN(2)/2)*AQ148*AT148*VLOOKUP('Données projet'!$B$10,Paramètres!$A$1:$I$89,3,0)*0.475*44/12</f>
        <v>3.1038649737266404E-18</v>
      </c>
      <c r="AX148" s="21">
        <f t="shared" si="114"/>
        <v>6.0292152551688307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>
        <f>BD148*VLOOKUP('Données projet'!$B$11,Paramètres!$A$1:$I$89,3,0)*VLOOKUP('Données projet'!$B$11,Paramètres!$A$1:$I$89,5,0)</f>
        <v>0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123.44750406183283</v>
      </c>
      <c r="BJ148" s="59">
        <f t="shared" si="146"/>
        <v>346.72009411328929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5.5862616097431097</v>
      </c>
      <c r="BQ148" s="21">
        <f>EXP(-LN(2)/25)*BQ147+(1-EXP(-LN(2)/25))/(LN(2)/25)*Calculateur!BL148*Calculateur!BN148*VLOOKUP('Données projet'!$B$11,Paramètres!$A$1:$I$89,3,0)*0.475*44/12</f>
        <v>0.44295364542572097</v>
      </c>
      <c r="BR148" s="21">
        <f>EXP(-LN(2)/2)*BR147+(1-EXP(-LN(2)/2))/(LN(2)/2)*BL148*BO148*VLOOKUP('Données projet'!$B$11,Paramètres!$A$1:$I$89,3,0)*0.475*44/12</f>
        <v>3.1038649737266404E-18</v>
      </c>
      <c r="BS148" s="22">
        <f t="shared" si="117"/>
        <v>6.0292152551688307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7">
        <f t="shared" si="110"/>
        <v>183.33333333333334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112.82287576550925</v>
      </c>
      <c r="T149" s="59">
        <f t="shared" si="142"/>
        <v>317.78570695363294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4.9594727976558151</v>
      </c>
      <c r="AA149" s="21">
        <f>EXP(-LN(2)/25)*AA148+(1-EXP(-LN(2)/25))/(LN(2)/25)*Calculateur!V149*Calculateur!X149*VLOOKUP('Données projet'!$B$9,Paramètres!$A$1:$I$89,3,0)*0.475*44/12</f>
        <v>0.39015051064285844</v>
      </c>
      <c r="AB149" s="21">
        <f>EXP(-LN(2)/2)*AB148+(1-EXP(-LN(2)/2))/(LN(2)/2)*V149*Y149*VLOOKUP('Données projet'!$B$9,Paramètres!$A$1:$I$89,3,0)*0.475*44/12</f>
        <v>1.9874807068997245E-18</v>
      </c>
      <c r="AC149" s="22">
        <f t="shared" si="111"/>
        <v>5.3496233082986731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>
        <f>AI149*VLOOKUP('Données projet'!$B$10,Paramètres!$A$1:$I$89,3,0)*VLOOKUP('Données projet'!$B$10,Paramètres!$A$1:$I$89,5,0)</f>
        <v>0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123.44750406183283</v>
      </c>
      <c r="AO149" s="59">
        <f t="shared" si="144"/>
        <v>346.72009411328929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5.476718426859188</v>
      </c>
      <c r="AV149" s="21">
        <f>EXP(-LN(2)/25)*AV148+(1-EXP(-LN(2)/25))/(LN(2)/25)*Calculateur!AQ149*Calculateur!AS149*VLOOKUP('Données projet'!$B$10,Paramètres!$A$1:$I$89,3,0)*0.475*44/12</f>
        <v>0.43084105469763478</v>
      </c>
      <c r="AW149" s="21">
        <f>EXP(-LN(2)/2)*AW148+(1-EXP(-LN(2)/2))/(LN(2)/2)*AQ149*AT149*VLOOKUP('Données projet'!$B$10,Paramètres!$A$1:$I$89,3,0)*0.475*44/12</f>
        <v>2.1947639708095125E-18</v>
      </c>
      <c r="AX149" s="21">
        <f t="shared" si="114"/>
        <v>5.9075594815568229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>
        <f>BD149*VLOOKUP('Données projet'!$B$11,Paramètres!$A$1:$I$89,3,0)*VLOOKUP('Données projet'!$B$11,Paramètres!$A$1:$I$89,5,0)</f>
        <v>0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123.44750406183283</v>
      </c>
      <c r="BJ149" s="59">
        <f t="shared" si="146"/>
        <v>346.72009411328929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5.476718426859188</v>
      </c>
      <c r="BQ149" s="21">
        <f>EXP(-LN(2)/25)*BQ148+(1-EXP(-LN(2)/25))/(LN(2)/25)*Calculateur!BL149*Calculateur!BN149*VLOOKUP('Données projet'!$B$11,Paramètres!$A$1:$I$89,3,0)*0.475*44/12</f>
        <v>0.43084105469763478</v>
      </c>
      <c r="BR149" s="21">
        <f>EXP(-LN(2)/2)*BR148+(1-EXP(-LN(2)/2))/(LN(2)/2)*BL149*BO149*VLOOKUP('Données projet'!$B$11,Paramètres!$A$1:$I$89,3,0)*0.475*44/12</f>
        <v>2.1947639708095125E-18</v>
      </c>
      <c r="BS149" s="22">
        <f t="shared" si="117"/>
        <v>5.9075594815568229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7">
        <f t="shared" si="110"/>
        <v>183.33333333333334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112.82287576550925</v>
      </c>
      <c r="T150" s="59">
        <f t="shared" si="142"/>
        <v>317.78570695363294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4.8622205610734994</v>
      </c>
      <c r="AA150" s="21">
        <f>EXP(-LN(2)/25)*AA149+(1-EXP(-LN(2)/25))/(LN(2)/25)*Calculateur!V150*Calculateur!X150*VLOOKUP('Données projet'!$B$9,Paramètres!$A$1:$I$89,3,0)*0.475*44/12</f>
        <v>0.37948182441220585</v>
      </c>
      <c r="AB150" s="21">
        <f>EXP(-LN(2)/2)*AB149+(1-EXP(-LN(2)/2))/(LN(2)/2)*V150*Y150*VLOOKUP('Données projet'!$B$9,Paramètres!$A$1:$I$89,3,0)*0.475*44/12</f>
        <v>1.4053610853262283E-18</v>
      </c>
      <c r="AC150" s="22">
        <f t="shared" si="111"/>
        <v>5.2417023854857057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>
        <f>AI150*VLOOKUP('Données projet'!$B$10,Paramètres!$A$1:$I$89,3,0)*VLOOKUP('Données projet'!$B$10,Paramètres!$A$1:$I$89,5,0)</f>
        <v>0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123.44750406183283</v>
      </c>
      <c r="AO150" s="59">
        <f t="shared" si="144"/>
        <v>346.72009411328929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5.3693233189768756</v>
      </c>
      <c r="AV150" s="21">
        <f>EXP(-LN(2)/25)*AV149+(1-EXP(-LN(2)/25))/(LN(2)/25)*Calculateur!AQ150*Calculateur!AS150*VLOOKUP('Données projet'!$B$10,Paramètres!$A$1:$I$89,3,0)*0.475*44/12</f>
        <v>0.41905968339998162</v>
      </c>
      <c r="AW150" s="21">
        <f>EXP(-LN(2)/2)*AW149+(1-EXP(-LN(2)/2))/(LN(2)/2)*AQ150*AT150*VLOOKUP('Données projet'!$B$10,Paramètres!$A$1:$I$89,3,0)*0.475*44/12</f>
        <v>1.5519324868633202E-18</v>
      </c>
      <c r="AX150" s="21">
        <f t="shared" si="114"/>
        <v>5.7883830023768574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>
        <f>BD150*VLOOKUP('Données projet'!$B$11,Paramètres!$A$1:$I$89,3,0)*VLOOKUP('Données projet'!$B$11,Paramètres!$A$1:$I$89,5,0)</f>
        <v>0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123.44750406183283</v>
      </c>
      <c r="BJ150" s="59">
        <f t="shared" si="146"/>
        <v>346.72009411328929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5.3693233189768756</v>
      </c>
      <c r="BQ150" s="21">
        <f>EXP(-LN(2)/25)*BQ149+(1-EXP(-LN(2)/25))/(LN(2)/25)*Calculateur!BL150*Calculateur!BN150*VLOOKUP('Données projet'!$B$11,Paramètres!$A$1:$I$89,3,0)*0.475*44/12</f>
        <v>0.41905968339998162</v>
      </c>
      <c r="BR150" s="21">
        <f>EXP(-LN(2)/2)*BR149+(1-EXP(-LN(2)/2))/(LN(2)/2)*BL150*BO150*VLOOKUP('Données projet'!$B$11,Paramètres!$A$1:$I$89,3,0)*0.475*44/12</f>
        <v>1.5519324868633202E-18</v>
      </c>
      <c r="BS150" s="22">
        <f t="shared" si="117"/>
        <v>5.7883830023768574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7">
        <f t="shared" si="110"/>
        <v>183.33333333333334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112.82287576550925</v>
      </c>
      <c r="T151" s="59">
        <f t="shared" si="142"/>
        <v>317.78570695363294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4.7668753815325555</v>
      </c>
      <c r="AA151" s="21">
        <f>EXP(-LN(2)/25)*AA150+(1-EXP(-LN(2)/25))/(LN(2)/25)*Calculateur!V151*Calculateur!X151*VLOOKUP('Données projet'!$B$9,Paramètres!$A$1:$I$89,3,0)*0.475*44/12</f>
        <v>0.36910487396757224</v>
      </c>
      <c r="AB151" s="21">
        <f>EXP(-LN(2)/2)*AB150+(1-EXP(-LN(2)/2))/(LN(2)/2)*V151*Y151*VLOOKUP('Données projet'!$B$9,Paramètres!$A$1:$I$89,3,0)*0.475*44/12</f>
        <v>9.9374035344986225E-19</v>
      </c>
      <c r="AC151" s="22">
        <f t="shared" si="111"/>
        <v>5.1359802555001277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>
        <f>AI151*VLOOKUP('Données projet'!$B$10,Paramètres!$A$1:$I$89,3,0)*VLOOKUP('Données projet'!$B$10,Paramètres!$A$1:$I$89,5,0)</f>
        <v>0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123.44750406183283</v>
      </c>
      <c r="AO151" s="59">
        <f t="shared" si="144"/>
        <v>346.72009411328929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5.2640341636555883</v>
      </c>
      <c r="AV151" s="21">
        <f>EXP(-LN(2)/25)*AV150+(1-EXP(-LN(2)/25))/(LN(2)/25)*Calculateur!AQ151*Calculateur!AS151*VLOOKUP('Données projet'!$B$10,Paramètres!$A$1:$I$89,3,0)*0.475*44/12</f>
        <v>0.40760047432001817</v>
      </c>
      <c r="AW151" s="21">
        <f>EXP(-LN(2)/2)*AW150+(1-EXP(-LN(2)/2))/(LN(2)/2)*AQ151*AT151*VLOOKUP('Données projet'!$B$10,Paramètres!$A$1:$I$89,3,0)*0.475*44/12</f>
        <v>1.0973819854047563E-18</v>
      </c>
      <c r="AX151" s="21">
        <f t="shared" si="114"/>
        <v>5.6716346379756066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>
        <f>BD151*VLOOKUP('Données projet'!$B$11,Paramètres!$A$1:$I$89,3,0)*VLOOKUP('Données projet'!$B$11,Paramètres!$A$1:$I$89,5,0)</f>
        <v>0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123.44750406183283</v>
      </c>
      <c r="BJ151" s="59">
        <f t="shared" si="146"/>
        <v>346.72009411328929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5.2640341636555883</v>
      </c>
      <c r="BQ151" s="21">
        <f>EXP(-LN(2)/25)*BQ150+(1-EXP(-LN(2)/25))/(LN(2)/25)*Calculateur!BL151*Calculateur!BN151*VLOOKUP('Données projet'!$B$11,Paramètres!$A$1:$I$89,3,0)*0.475*44/12</f>
        <v>0.40760047432001817</v>
      </c>
      <c r="BR151" s="21">
        <f>EXP(-LN(2)/2)*BR150+(1-EXP(-LN(2)/2))/(LN(2)/2)*BL151*BO151*VLOOKUP('Données projet'!$B$11,Paramètres!$A$1:$I$89,3,0)*0.475*44/12</f>
        <v>1.0973819854047563E-18</v>
      </c>
      <c r="BS151" s="22">
        <f t="shared" si="117"/>
        <v>5.6716346379756066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7">
        <f t="shared" si="110"/>
        <v>183.33333333333334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112.82287576550925</v>
      </c>
      <c r="T152" s="59">
        <f t="shared" si="142"/>
        <v>317.78570695363294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4.6733998628075923</v>
      </c>
      <c r="AA152" s="21">
        <f>EXP(-LN(2)/25)*AA151+(1-EXP(-LN(2)/25))/(LN(2)/25)*Calculateur!V152*Calculateur!X152*VLOOKUP('Données projet'!$B$9,Paramètres!$A$1:$I$89,3,0)*0.475*44/12</f>
        <v>0.35901168177854725</v>
      </c>
      <c r="AB152" s="21">
        <f>EXP(-LN(2)/2)*AB151+(1-EXP(-LN(2)/2))/(LN(2)/2)*V152*Y152*VLOOKUP('Données projet'!$B$9,Paramètres!$A$1:$I$89,3,0)*0.475*44/12</f>
        <v>7.0268054266311415E-19</v>
      </c>
      <c r="AC152" s="22">
        <f t="shared" si="111"/>
        <v>5.0324115445861395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>
        <f>AI152*VLOOKUP('Données projet'!$B$10,Paramètres!$A$1:$I$89,3,0)*VLOOKUP('Données projet'!$B$10,Paramètres!$A$1:$I$89,5,0)</f>
        <v>0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123.44750406183283</v>
      </c>
      <c r="AO152" s="59">
        <f t="shared" si="144"/>
        <v>346.72009411328929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5.1608096644501078</v>
      </c>
      <c r="AV152" s="21">
        <f>EXP(-LN(2)/25)*AV151+(1-EXP(-LN(2)/25))/(LN(2)/25)*Calculateur!AQ152*Calculateur!AS152*VLOOKUP('Données projet'!$B$10,Paramètres!$A$1:$I$89,3,0)*0.475*44/12</f>
        <v>0.39645461791495989</v>
      </c>
      <c r="AW152" s="21">
        <f>EXP(-LN(2)/2)*AW151+(1-EXP(-LN(2)/2))/(LN(2)/2)*AQ152*AT152*VLOOKUP('Données projet'!$B$10,Paramètres!$A$1:$I$89,3,0)*0.475*44/12</f>
        <v>7.7596624343166009E-19</v>
      </c>
      <c r="AX152" s="21">
        <f t="shared" si="114"/>
        <v>5.5572642823650673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>
        <f>BD152*VLOOKUP('Données projet'!$B$11,Paramètres!$A$1:$I$89,3,0)*VLOOKUP('Données projet'!$B$11,Paramètres!$A$1:$I$89,5,0)</f>
        <v>0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123.44750406183283</v>
      </c>
      <c r="BJ152" s="59">
        <f t="shared" si="146"/>
        <v>346.72009411328929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5.1608096644501078</v>
      </c>
      <c r="BQ152" s="21">
        <f>EXP(-LN(2)/25)*BQ151+(1-EXP(-LN(2)/25))/(LN(2)/25)*Calculateur!BL152*Calculateur!BN152*VLOOKUP('Données projet'!$B$11,Paramètres!$A$1:$I$89,3,0)*0.475*44/12</f>
        <v>0.39645461791495989</v>
      </c>
      <c r="BR152" s="21">
        <f>EXP(-LN(2)/2)*BR151+(1-EXP(-LN(2)/2))/(LN(2)/2)*BL152*BO152*VLOOKUP('Données projet'!$B$11,Paramètres!$A$1:$I$89,3,0)*0.475*44/12</f>
        <v>7.7596624343166009E-19</v>
      </c>
      <c r="BS152" s="22">
        <f t="shared" si="117"/>
        <v>5.5572642823650673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7">
        <f t="shared" si="110"/>
        <v>183.33333333333334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112.82287576550925</v>
      </c>
      <c r="T153" s="59">
        <f t="shared" si="142"/>
        <v>317.78570695363294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4.5817573419903894</v>
      </c>
      <c r="AA153" s="21">
        <f>EXP(-LN(2)/25)*AA152+(1-EXP(-LN(2)/25))/(LN(2)/25)*Calculateur!V153*Calculateur!X153*VLOOKUP('Données projet'!$B$9,Paramètres!$A$1:$I$89,3,0)*0.475*44/12</f>
        <v>0.34919448846070905</v>
      </c>
      <c r="AB153" s="21">
        <f>EXP(-LN(2)/2)*AB152+(1-EXP(-LN(2)/2))/(LN(2)/2)*V153*Y153*VLOOKUP('Données projet'!$B$9,Paramètres!$A$1:$I$89,3,0)*0.475*44/12</f>
        <v>4.9687017672493112E-19</v>
      </c>
      <c r="AC153" s="22">
        <f t="shared" si="111"/>
        <v>4.9309518304510984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>
        <f>AI153*VLOOKUP('Données projet'!$B$10,Paramètres!$A$1:$I$89,3,0)*VLOOKUP('Données projet'!$B$10,Paramètres!$A$1:$I$89,5,0)</f>
        <v>0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123.44750406183283</v>
      </c>
      <c r="AO153" s="59">
        <f t="shared" si="144"/>
        <v>346.72009411328929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5.0596093347133184</v>
      </c>
      <c r="AV153" s="21">
        <f>EXP(-LN(2)/25)*AV152+(1-EXP(-LN(2)/25))/(LN(2)/25)*Calculateur!AQ153*Calculateur!AS153*VLOOKUP('Données projet'!$B$10,Paramètres!$A$1:$I$89,3,0)*0.475*44/12</f>
        <v>0.38561354553943306</v>
      </c>
      <c r="AW153" s="21">
        <f>EXP(-LN(2)/2)*AW152+(1-EXP(-LN(2)/2))/(LN(2)/2)*AQ153*AT153*VLOOKUP('Données projet'!$B$10,Paramètres!$A$1:$I$89,3,0)*0.475*44/12</f>
        <v>5.4869099270237813E-19</v>
      </c>
      <c r="AX153" s="21">
        <f t="shared" si="114"/>
        <v>5.4452228802527518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>
        <f>BD153*VLOOKUP('Données projet'!$B$11,Paramètres!$A$1:$I$89,3,0)*VLOOKUP('Données projet'!$B$11,Paramètres!$A$1:$I$89,5,0)</f>
        <v>0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123.44750406183283</v>
      </c>
      <c r="BJ153" s="59">
        <f t="shared" si="146"/>
        <v>346.72009411328929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5.0596093347133184</v>
      </c>
      <c r="BQ153" s="21">
        <f>EXP(-LN(2)/25)*BQ152+(1-EXP(-LN(2)/25))/(LN(2)/25)*Calculateur!BL153*Calculateur!BN153*VLOOKUP('Données projet'!$B$11,Paramètres!$A$1:$I$89,3,0)*0.475*44/12</f>
        <v>0.38561354553943306</v>
      </c>
      <c r="BR153" s="21">
        <f>EXP(-LN(2)/2)*BR152+(1-EXP(-LN(2)/2))/(LN(2)/2)*BL153*BO153*VLOOKUP('Données projet'!$B$11,Paramètres!$A$1:$I$89,3,0)*0.475*44/12</f>
        <v>5.4869099270237813E-19</v>
      </c>
      <c r="BS153" s="22">
        <f t="shared" si="117"/>
        <v>5.4452228802527518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7">
        <f t="shared" si="110"/>
        <v>183.33333333333334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112.82287576550925</v>
      </c>
      <c r="T154" s="59">
        <f t="shared" si="142"/>
        <v>317.78570695363294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4.4919118751099933</v>
      </c>
      <c r="AA154" s="21">
        <f>EXP(-LN(2)/25)*AA153+(1-EXP(-LN(2)/25))/(LN(2)/25)*Calculateur!V154*Calculateur!X154*VLOOKUP('Données projet'!$B$9,Paramètres!$A$1:$I$89,3,0)*0.475*44/12</f>
        <v>0.33964574681041093</v>
      </c>
      <c r="AB154" s="21">
        <f>EXP(-LN(2)/2)*AB153+(1-EXP(-LN(2)/2))/(LN(2)/2)*V154*Y154*VLOOKUP('Données projet'!$B$9,Paramètres!$A$1:$I$89,3,0)*0.475*44/12</f>
        <v>3.5134027133155707E-19</v>
      </c>
      <c r="AC154" s="22">
        <f t="shared" ref="AC154:AC203" si="163">SUM(Z154:AB154)</f>
        <v>4.8315576219204042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>
        <f>AI154*VLOOKUP('Données projet'!$B$10,Paramètres!$A$1:$I$89,3,0)*VLOOKUP('Données projet'!$B$10,Paramètres!$A$1:$I$89,5,0)</f>
        <v>0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123.44750406183283</v>
      </c>
      <c r="AO154" s="59">
        <f t="shared" si="144"/>
        <v>346.72009411328929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4.9603934817165616</v>
      </c>
      <c r="AV154" s="21">
        <f>EXP(-LN(2)/25)*AV153+(1-EXP(-LN(2)/25))/(LN(2)/25)*Calculateur!AQ154*Calculateur!AS154*VLOOKUP('Données projet'!$B$10,Paramètres!$A$1:$I$89,3,0)*0.475*44/12</f>
        <v>0.37506892285812221</v>
      </c>
      <c r="AW154" s="21">
        <f>EXP(-LN(2)/2)*AW153+(1-EXP(-LN(2)/2))/(LN(2)/2)*AQ154*AT154*VLOOKUP('Données projet'!$B$10,Paramètres!$A$1:$I$89,3,0)*0.475*44/12</f>
        <v>3.8798312171583004E-19</v>
      </c>
      <c r="AX154" s="21">
        <f t="shared" ref="AX154:AX203" si="166">SUM(AU154:AW154)</f>
        <v>5.3354624045746837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>
        <f>BD154*VLOOKUP('Données projet'!$B$11,Paramètres!$A$1:$I$89,3,0)*VLOOKUP('Données projet'!$B$11,Paramètres!$A$1:$I$89,5,0)</f>
        <v>0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123.44750406183283</v>
      </c>
      <c r="BJ154" s="59">
        <f t="shared" si="146"/>
        <v>346.72009411328929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4.9603934817165616</v>
      </c>
      <c r="BQ154" s="21">
        <f>EXP(-LN(2)/25)*BQ153+(1-EXP(-LN(2)/25))/(LN(2)/25)*Calculateur!BL154*Calculateur!BN154*VLOOKUP('Données projet'!$B$11,Paramètres!$A$1:$I$89,3,0)*0.475*44/12</f>
        <v>0.37506892285812221</v>
      </c>
      <c r="BR154" s="21">
        <f>EXP(-LN(2)/2)*BR153+(1-EXP(-LN(2)/2))/(LN(2)/2)*BL154*BO154*VLOOKUP('Données projet'!$B$11,Paramètres!$A$1:$I$89,3,0)*0.475*44/12</f>
        <v>3.8798312171583004E-19</v>
      </c>
      <c r="BS154" s="22">
        <f t="shared" ref="BS154:BS203" si="169">SUM(BP154:BR154)</f>
        <v>5.3354624045746837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7">
        <f t="shared" si="110"/>
        <v>183.33333333333334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112.82287576550925</v>
      </c>
      <c r="T155" s="59">
        <f t="shared" si="142"/>
        <v>317.78570695363294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4.4038282230347976</v>
      </c>
      <c r="AA155" s="21">
        <f>EXP(-LN(2)/25)*AA154+(1-EXP(-LN(2)/25))/(LN(2)/25)*Calculateur!V155*Calculateur!X155*VLOOKUP('Données projet'!$B$9,Paramètres!$A$1:$I$89,3,0)*0.475*44/12</f>
        <v>0.33035811600268666</v>
      </c>
      <c r="AB155" s="21">
        <f>EXP(-LN(2)/2)*AB154+(1-EXP(-LN(2)/2))/(LN(2)/2)*V155*Y155*VLOOKUP('Données projet'!$B$9,Paramètres!$A$1:$I$89,3,0)*0.475*44/12</f>
        <v>2.4843508836246556E-19</v>
      </c>
      <c r="AC155" s="22">
        <f t="shared" si="163"/>
        <v>4.7341863390374845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>
        <f>AI155*VLOOKUP('Données projet'!$B$10,Paramètres!$A$1:$I$89,3,0)*VLOOKUP('Données projet'!$B$10,Paramètres!$A$1:$I$89,5,0)</f>
        <v>0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123.44750406183283</v>
      </c>
      <c r="AO155" s="59">
        <f t="shared" si="144"/>
        <v>346.72009411328929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4.8631231910813764</v>
      </c>
      <c r="AV155" s="21">
        <f>EXP(-LN(2)/25)*AV154+(1-EXP(-LN(2)/25))/(LN(2)/25)*Calculateur!AQ155*Calculateur!AS155*VLOOKUP('Données projet'!$B$10,Paramètres!$A$1:$I$89,3,0)*0.475*44/12</f>
        <v>0.36481264343854941</v>
      </c>
      <c r="AW155" s="21">
        <f>EXP(-LN(2)/2)*AW154+(1-EXP(-LN(2)/2))/(LN(2)/2)*AQ155*AT155*VLOOKUP('Données projet'!$B$10,Paramètres!$A$1:$I$89,3,0)*0.475*44/12</f>
        <v>2.7434549635118907E-19</v>
      </c>
      <c r="AX155" s="21">
        <f t="shared" si="166"/>
        <v>5.2279358345199256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>
        <f>BD155*VLOOKUP('Données projet'!$B$11,Paramètres!$A$1:$I$89,3,0)*VLOOKUP('Données projet'!$B$11,Paramètres!$A$1:$I$89,5,0)</f>
        <v>0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123.44750406183283</v>
      </c>
      <c r="BJ155" s="59">
        <f t="shared" si="146"/>
        <v>346.72009411328929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4.8631231910813764</v>
      </c>
      <c r="BQ155" s="21">
        <f>EXP(-LN(2)/25)*BQ154+(1-EXP(-LN(2)/25))/(LN(2)/25)*Calculateur!BL155*Calculateur!BN155*VLOOKUP('Données projet'!$B$11,Paramètres!$A$1:$I$89,3,0)*0.475*44/12</f>
        <v>0.36481264343854941</v>
      </c>
      <c r="BR155" s="21">
        <f>EXP(-LN(2)/2)*BR154+(1-EXP(-LN(2)/2))/(LN(2)/2)*BL155*BO155*VLOOKUP('Données projet'!$B$11,Paramètres!$A$1:$I$89,3,0)*0.475*44/12</f>
        <v>2.7434549635118907E-19</v>
      </c>
      <c r="BS155" s="22">
        <f t="shared" si="169"/>
        <v>5.2279358345199256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7">
        <f t="shared" si="110"/>
        <v>183.33333333333334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112.82287576550925</v>
      </c>
      <c r="T156" s="59">
        <f t="shared" si="142"/>
        <v>317.78570695363294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4.3174718376510741</v>
      </c>
      <c r="AA156" s="21">
        <f>EXP(-LN(2)/25)*AA155+(1-EXP(-LN(2)/25))/(LN(2)/25)*Calculateur!V156*Calculateur!X156*VLOOKUP('Données projet'!$B$9,Paramètres!$A$1:$I$89,3,0)*0.475*44/12</f>
        <v>0.32132445594781495</v>
      </c>
      <c r="AB156" s="21">
        <f>EXP(-LN(2)/2)*AB155+(1-EXP(-LN(2)/2))/(LN(2)/2)*V156*Y156*VLOOKUP('Données projet'!$B$9,Paramètres!$A$1:$I$89,3,0)*0.475*44/12</f>
        <v>1.7567013566577854E-19</v>
      </c>
      <c r="AC156" s="22">
        <f t="shared" si="163"/>
        <v>4.6387962935988893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>
        <f>AI156*VLOOKUP('Données projet'!$B$10,Paramètres!$A$1:$I$89,3,0)*VLOOKUP('Données projet'!$B$10,Paramètres!$A$1:$I$89,5,0)</f>
        <v>0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123.44750406183283</v>
      </c>
      <c r="AO156" s="59">
        <f t="shared" si="144"/>
        <v>346.72009411328929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4.7677603115165281</v>
      </c>
      <c r="AV156" s="21">
        <f>EXP(-LN(2)/25)*AV155+(1-EXP(-LN(2)/25))/(LN(2)/25)*Calculateur!AQ156*Calculateur!AS156*VLOOKUP('Données projet'!$B$10,Paramètres!$A$1:$I$89,3,0)*0.475*44/12</f>
        <v>0.35483682251905913</v>
      </c>
      <c r="AW156" s="21">
        <f>EXP(-LN(2)/2)*AW155+(1-EXP(-LN(2)/2))/(LN(2)/2)*AQ156*AT156*VLOOKUP('Données projet'!$B$10,Paramètres!$A$1:$I$89,3,0)*0.475*44/12</f>
        <v>1.9399156085791502E-19</v>
      </c>
      <c r="AX156" s="21">
        <f t="shared" si="166"/>
        <v>5.1225971340355869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>
        <f>BD156*VLOOKUP('Données projet'!$B$11,Paramètres!$A$1:$I$89,3,0)*VLOOKUP('Données projet'!$B$11,Paramètres!$A$1:$I$89,5,0)</f>
        <v>0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123.44750406183283</v>
      </c>
      <c r="BJ156" s="59">
        <f t="shared" si="146"/>
        <v>346.72009411328929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4.7677603115165281</v>
      </c>
      <c r="BQ156" s="21">
        <f>EXP(-LN(2)/25)*BQ155+(1-EXP(-LN(2)/25))/(LN(2)/25)*Calculateur!BL156*Calculateur!BN156*VLOOKUP('Données projet'!$B$11,Paramètres!$A$1:$I$89,3,0)*0.475*44/12</f>
        <v>0.35483682251905913</v>
      </c>
      <c r="BR156" s="21">
        <f>EXP(-LN(2)/2)*BR155+(1-EXP(-LN(2)/2))/(LN(2)/2)*BL156*BO156*VLOOKUP('Données projet'!$B$11,Paramètres!$A$1:$I$89,3,0)*0.475*44/12</f>
        <v>1.9399156085791502E-19</v>
      </c>
      <c r="BS156" s="22">
        <f t="shared" si="169"/>
        <v>5.1225971340355869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7">
        <f t="shared" si="110"/>
        <v>183.33333333333334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112.82287576550925</v>
      </c>
      <c r="T157" s="59">
        <f t="shared" si="142"/>
        <v>317.78570695363294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4.2328088483125308</v>
      </c>
      <c r="AA157" s="21">
        <f>EXP(-LN(2)/25)*AA156+(1-EXP(-LN(2)/25))/(LN(2)/25)*Calculateur!V157*Calculateur!X157*VLOOKUP('Données projet'!$B$9,Paramètres!$A$1:$I$89,3,0)*0.475*44/12</f>
        <v>0.31253782180220319</v>
      </c>
      <c r="AB157" s="21">
        <f>EXP(-LN(2)/2)*AB156+(1-EXP(-LN(2)/2))/(LN(2)/2)*V157*Y157*VLOOKUP('Données projet'!$B$9,Paramètres!$A$1:$I$89,3,0)*0.475*44/12</f>
        <v>1.2421754418123278E-19</v>
      </c>
      <c r="AC157" s="22">
        <f t="shared" si="163"/>
        <v>4.5453466701147338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>
        <f>AI157*VLOOKUP('Données projet'!$B$10,Paramètres!$A$1:$I$89,3,0)*VLOOKUP('Données projet'!$B$10,Paramètres!$A$1:$I$89,5,0)</f>
        <v>0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123.44750406183283</v>
      </c>
      <c r="AO157" s="59">
        <f t="shared" si="144"/>
        <v>346.72009411328929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4.6742674398543329</v>
      </c>
      <c r="AV157" s="21">
        <f>EXP(-LN(2)/25)*AV156+(1-EXP(-LN(2)/25))/(LN(2)/25)*Calculateur!AQ157*Calculateur!AS157*VLOOKUP('Données projet'!$B$10,Paramètres!$A$1:$I$89,3,0)*0.475*44/12</f>
        <v>0.34513379094721797</v>
      </c>
      <c r="AW157" s="21">
        <f>EXP(-LN(2)/2)*AW156+(1-EXP(-LN(2)/2))/(LN(2)/2)*AQ157*AT157*VLOOKUP('Données projet'!$B$10,Paramètres!$A$1:$I$89,3,0)*0.475*44/12</f>
        <v>1.3717274817559453E-19</v>
      </c>
      <c r="AX157" s="21">
        <f t="shared" si="166"/>
        <v>5.0194012308015505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>
        <f>BD157*VLOOKUP('Données projet'!$B$11,Paramètres!$A$1:$I$89,3,0)*VLOOKUP('Données projet'!$B$11,Paramètres!$A$1:$I$89,5,0)</f>
        <v>0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123.44750406183283</v>
      </c>
      <c r="BJ157" s="59">
        <f t="shared" si="146"/>
        <v>346.72009411328929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4.6742674398543329</v>
      </c>
      <c r="BQ157" s="21">
        <f>EXP(-LN(2)/25)*BQ156+(1-EXP(-LN(2)/25))/(LN(2)/25)*Calculateur!BL157*Calculateur!BN157*VLOOKUP('Données projet'!$B$11,Paramètres!$A$1:$I$89,3,0)*0.475*44/12</f>
        <v>0.34513379094721797</v>
      </c>
      <c r="BR157" s="21">
        <f>EXP(-LN(2)/2)*BR156+(1-EXP(-LN(2)/2))/(LN(2)/2)*BL157*BO157*VLOOKUP('Données projet'!$B$11,Paramètres!$A$1:$I$89,3,0)*0.475*44/12</f>
        <v>1.3717274817559453E-19</v>
      </c>
      <c r="BS157" s="22">
        <f t="shared" si="169"/>
        <v>5.0194012308015505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7">
        <f t="shared" si="110"/>
        <v>183.33333333333334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112.82287576550925</v>
      </c>
      <c r="T158" s="59">
        <f t="shared" si="142"/>
        <v>317.78570695363294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4.1498060485555923</v>
      </c>
      <c r="AA158" s="21">
        <f>EXP(-LN(2)/25)*AA157+(1-EXP(-LN(2)/25))/(LN(2)/25)*Calculateur!V158*Calculateur!X158*VLOOKUP('Données projet'!$B$9,Paramètres!$A$1:$I$89,3,0)*0.475*44/12</f>
        <v>0.30399145862937221</v>
      </c>
      <c r="AB158" s="21">
        <f>EXP(-LN(2)/2)*AB157+(1-EXP(-LN(2)/2))/(LN(2)/2)*V158*Y158*VLOOKUP('Données projet'!$B$9,Paramètres!$A$1:$I$89,3,0)*0.475*44/12</f>
        <v>8.7835067832889268E-20</v>
      </c>
      <c r="AC158" s="22">
        <f t="shared" si="163"/>
        <v>4.4537975071849649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>
        <f>AI158*VLOOKUP('Données projet'!$B$10,Paramètres!$A$1:$I$89,3,0)*VLOOKUP('Données projet'!$B$10,Paramètres!$A$1:$I$89,5,0)</f>
        <v>0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123.44750406183283</v>
      </c>
      <c r="AO158" s="59">
        <f t="shared" si="144"/>
        <v>346.72009411328929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4.5826079063804128</v>
      </c>
      <c r="AV158" s="21">
        <f>EXP(-LN(2)/25)*AV157+(1-EXP(-LN(2)/25))/(LN(2)/25)*Calculateur!AQ158*Calculateur!AS158*VLOOKUP('Données projet'!$B$10,Paramètres!$A$1:$I$89,3,0)*0.475*44/12</f>
        <v>0.33569608928396905</v>
      </c>
      <c r="AW158" s="21">
        <f>EXP(-LN(2)/2)*AW157+(1-EXP(-LN(2)/2))/(LN(2)/2)*AQ158*AT158*VLOOKUP('Données projet'!$B$10,Paramètres!$A$1:$I$89,3,0)*0.475*44/12</f>
        <v>9.6995780428957511E-20</v>
      </c>
      <c r="AX158" s="21">
        <f t="shared" si="166"/>
        <v>4.9183039956643819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>
        <f>BD158*VLOOKUP('Données projet'!$B$11,Paramètres!$A$1:$I$89,3,0)*VLOOKUP('Données projet'!$B$11,Paramètres!$A$1:$I$89,5,0)</f>
        <v>0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123.44750406183283</v>
      </c>
      <c r="BJ158" s="59">
        <f t="shared" si="146"/>
        <v>346.72009411328929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4.5826079063804128</v>
      </c>
      <c r="BQ158" s="21">
        <f>EXP(-LN(2)/25)*BQ157+(1-EXP(-LN(2)/25))/(LN(2)/25)*Calculateur!BL158*Calculateur!BN158*VLOOKUP('Données projet'!$B$11,Paramètres!$A$1:$I$89,3,0)*0.475*44/12</f>
        <v>0.33569608928396905</v>
      </c>
      <c r="BR158" s="21">
        <f>EXP(-LN(2)/2)*BR157+(1-EXP(-LN(2)/2))/(LN(2)/2)*BL158*BO158*VLOOKUP('Données projet'!$B$11,Paramètres!$A$1:$I$89,3,0)*0.475*44/12</f>
        <v>9.6995780428957511E-20</v>
      </c>
      <c r="BS158" s="22">
        <f t="shared" si="169"/>
        <v>4.9183039956643819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7">
        <f t="shared" si="110"/>
        <v>183.33333333333334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112.82287576550925</v>
      </c>
      <c r="T159" s="59">
        <f t="shared" si="142"/>
        <v>317.78570695363294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4.0684308830751785</v>
      </c>
      <c r="AA159" s="21">
        <f>EXP(-LN(2)/25)*AA158+(1-EXP(-LN(2)/25))/(LN(2)/25)*Calculateur!V159*Calculateur!X159*VLOOKUP('Données projet'!$B$9,Paramètres!$A$1:$I$89,3,0)*0.475*44/12</f>
        <v>0.29567879620693599</v>
      </c>
      <c r="AB159" s="21">
        <f>EXP(-LN(2)/2)*AB158+(1-EXP(-LN(2)/2))/(LN(2)/2)*V159*Y159*VLOOKUP('Données projet'!$B$9,Paramètres!$A$1:$I$89,3,0)*0.475*44/12</f>
        <v>6.210877209061639E-20</v>
      </c>
      <c r="AC159" s="22">
        <f t="shared" si="163"/>
        <v>4.3641096792821141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>
        <f>AI159*VLOOKUP('Données projet'!$B$10,Paramètres!$A$1:$I$89,3,0)*VLOOKUP('Données projet'!$B$10,Paramètres!$A$1:$I$89,5,0)</f>
        <v>0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123.44750406183283</v>
      </c>
      <c r="AO159" s="59">
        <f t="shared" si="144"/>
        <v>346.72009411328929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4.492745760451121</v>
      </c>
      <c r="AV159" s="21">
        <f>EXP(-LN(2)/25)*AV158+(1-EXP(-LN(2)/25))/(LN(2)/25)*Calculateur!AQ159*Calculateur!AS159*VLOOKUP('Données projet'!$B$10,Paramètres!$A$1:$I$89,3,0)*0.475*44/12</f>
        <v>0.32651646206900881</v>
      </c>
      <c r="AW159" s="21">
        <f>EXP(-LN(2)/2)*AW158+(1-EXP(-LN(2)/2))/(LN(2)/2)*AQ159*AT159*VLOOKUP('Données projet'!$B$10,Paramètres!$A$1:$I$89,3,0)*0.475*44/12</f>
        <v>6.8586374087797266E-20</v>
      </c>
      <c r="AX159" s="21">
        <f t="shared" si="166"/>
        <v>4.8192622225201296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>
        <f>BD159*VLOOKUP('Données projet'!$B$11,Paramètres!$A$1:$I$89,3,0)*VLOOKUP('Données projet'!$B$11,Paramètres!$A$1:$I$89,5,0)</f>
        <v>0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123.44750406183283</v>
      </c>
      <c r="BJ159" s="59">
        <f t="shared" si="146"/>
        <v>346.72009411328929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4.492745760451121</v>
      </c>
      <c r="BQ159" s="21">
        <f>EXP(-LN(2)/25)*BQ158+(1-EXP(-LN(2)/25))/(LN(2)/25)*Calculateur!BL159*Calculateur!BN159*VLOOKUP('Données projet'!$B$11,Paramètres!$A$1:$I$89,3,0)*0.475*44/12</f>
        <v>0.32651646206900881</v>
      </c>
      <c r="BR159" s="21">
        <f>EXP(-LN(2)/2)*BR158+(1-EXP(-LN(2)/2))/(LN(2)/2)*BL159*BO159*VLOOKUP('Données projet'!$B$11,Paramètres!$A$1:$I$89,3,0)*0.475*44/12</f>
        <v>6.8586374087797266E-20</v>
      </c>
      <c r="BS159" s="22">
        <f t="shared" si="169"/>
        <v>4.8192622225201296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7">
        <f t="shared" si="110"/>
        <v>183.33333333333334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112.82287576550925</v>
      </c>
      <c r="T160" s="59">
        <f t="shared" si="142"/>
        <v>317.78570695363294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3.9886514349558855</v>
      </c>
      <c r="AA160" s="21">
        <f>EXP(-LN(2)/25)*AA159+(1-EXP(-LN(2)/25))/(LN(2)/25)*Calculateur!V160*Calculateur!X160*VLOOKUP('Données projet'!$B$9,Paramètres!$A$1:$I$89,3,0)*0.475*44/12</f>
        <v>0.28759344397558523</v>
      </c>
      <c r="AB160" s="21">
        <f>EXP(-LN(2)/2)*AB159+(1-EXP(-LN(2)/2))/(LN(2)/2)*V160*Y160*VLOOKUP('Données projet'!$B$9,Paramètres!$A$1:$I$89,3,0)*0.475*44/12</f>
        <v>4.3917533916444634E-20</v>
      </c>
      <c r="AC160" s="22">
        <f t="shared" si="163"/>
        <v>4.2762448789314709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>
        <f>AI160*VLOOKUP('Données projet'!$B$10,Paramètres!$A$1:$I$89,3,0)*VLOOKUP('Données projet'!$B$10,Paramètres!$A$1:$I$89,5,0)</f>
        <v>0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123.44750406183283</v>
      </c>
      <c r="AO160" s="59">
        <f t="shared" si="144"/>
        <v>346.72009411328929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4.4046457563930055</v>
      </c>
      <c r="AV160" s="21">
        <f>EXP(-LN(2)/25)*AV159+(1-EXP(-LN(2)/25))/(LN(2)/25)*Calculateur!AQ160*Calculateur!AS160*VLOOKUP('Données projet'!$B$10,Paramètres!$A$1:$I$89,3,0)*0.475*44/12</f>
        <v>0.31758785224297731</v>
      </c>
      <c r="AW160" s="21">
        <f>EXP(-LN(2)/2)*AW159+(1-EXP(-LN(2)/2))/(LN(2)/2)*AQ160*AT160*VLOOKUP('Données projet'!$B$10,Paramètres!$A$1:$I$89,3,0)*0.475*44/12</f>
        <v>4.8497890214478756E-20</v>
      </c>
      <c r="AX160" s="21">
        <f t="shared" si="166"/>
        <v>4.7222336086359826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>
        <f>BD160*VLOOKUP('Données projet'!$B$11,Paramètres!$A$1:$I$89,3,0)*VLOOKUP('Données projet'!$B$11,Paramètres!$A$1:$I$89,5,0)</f>
        <v>0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123.44750406183283</v>
      </c>
      <c r="BJ160" s="59">
        <f t="shared" si="146"/>
        <v>346.72009411328929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4.4046457563930055</v>
      </c>
      <c r="BQ160" s="21">
        <f>EXP(-LN(2)/25)*BQ159+(1-EXP(-LN(2)/25))/(LN(2)/25)*Calculateur!BL160*Calculateur!BN160*VLOOKUP('Données projet'!$B$11,Paramètres!$A$1:$I$89,3,0)*0.475*44/12</f>
        <v>0.31758785224297731</v>
      </c>
      <c r="BR160" s="21">
        <f>EXP(-LN(2)/2)*BR159+(1-EXP(-LN(2)/2))/(LN(2)/2)*BL160*BO160*VLOOKUP('Données projet'!$B$11,Paramètres!$A$1:$I$89,3,0)*0.475*44/12</f>
        <v>4.8497890214478756E-20</v>
      </c>
      <c r="BS160" s="22">
        <f t="shared" si="169"/>
        <v>4.7222336086359826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7">
        <f t="shared" si="110"/>
        <v>183.33333333333334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112.82287576550925</v>
      </c>
      <c r="T161" s="59">
        <f t="shared" si="142"/>
        <v>317.78570695363294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3.9104364131535529</v>
      </c>
      <c r="AA161" s="21">
        <f>EXP(-LN(2)/25)*AA160+(1-EXP(-LN(2)/25))/(LN(2)/25)*Calculateur!V161*Calculateur!X161*VLOOKUP('Données projet'!$B$9,Paramètres!$A$1:$I$89,3,0)*0.475*44/12</f>
        <v>0.27972918612619091</v>
      </c>
      <c r="AB161" s="21">
        <f>EXP(-LN(2)/2)*AB160+(1-EXP(-LN(2)/2))/(LN(2)/2)*V161*Y161*VLOOKUP('Données projet'!$B$9,Paramètres!$A$1:$I$89,3,0)*0.475*44/12</f>
        <v>3.1054386045308195E-20</v>
      </c>
      <c r="AC161" s="22">
        <f t="shared" si="163"/>
        <v>4.1901655992797435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>
        <f>AI161*VLOOKUP('Données projet'!$B$10,Paramètres!$A$1:$I$89,3,0)*VLOOKUP('Données projet'!$B$10,Paramètres!$A$1:$I$89,5,0)</f>
        <v>0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123.44750406183283</v>
      </c>
      <c r="AO161" s="59">
        <f t="shared" si="144"/>
        <v>346.72009411328929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4.3182733396787736</v>
      </c>
      <c r="AV161" s="21">
        <f>EXP(-LN(2)/25)*AV160+(1-EXP(-LN(2)/25))/(LN(2)/25)*Calculateur!AQ161*Calculateur!AS161*VLOOKUP('Données projet'!$B$10,Paramètres!$A$1:$I$89,3,0)*0.475*44/12</f>
        <v>0.30890339572217379</v>
      </c>
      <c r="AW161" s="21">
        <f>EXP(-LN(2)/2)*AW160+(1-EXP(-LN(2)/2))/(LN(2)/2)*AQ161*AT161*VLOOKUP('Données projet'!$B$10,Paramètres!$A$1:$I$89,3,0)*0.475*44/12</f>
        <v>3.4293187043898633E-20</v>
      </c>
      <c r="AX161" s="21">
        <f t="shared" si="166"/>
        <v>4.6271767354009476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>
        <f>BD161*VLOOKUP('Données projet'!$B$11,Paramètres!$A$1:$I$89,3,0)*VLOOKUP('Données projet'!$B$11,Paramètres!$A$1:$I$89,5,0)</f>
        <v>0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123.44750406183283</v>
      </c>
      <c r="BJ161" s="59">
        <f t="shared" si="146"/>
        <v>346.72009411328929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4.3182733396787736</v>
      </c>
      <c r="BQ161" s="21">
        <f>EXP(-LN(2)/25)*BQ160+(1-EXP(-LN(2)/25))/(LN(2)/25)*Calculateur!BL161*Calculateur!BN161*VLOOKUP('Données projet'!$B$11,Paramètres!$A$1:$I$89,3,0)*0.475*44/12</f>
        <v>0.30890339572217379</v>
      </c>
      <c r="BR161" s="21">
        <f>EXP(-LN(2)/2)*BR160+(1-EXP(-LN(2)/2))/(LN(2)/2)*BL161*BO161*VLOOKUP('Données projet'!$B$11,Paramètres!$A$1:$I$89,3,0)*0.475*44/12</f>
        <v>3.4293187043898633E-20</v>
      </c>
      <c r="BS161" s="22">
        <f t="shared" si="169"/>
        <v>4.6271767354009476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7">
        <f t="shared" si="110"/>
        <v>183.33333333333334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112.82287576550925</v>
      </c>
      <c r="T162" s="59">
        <f t="shared" si="142"/>
        <v>317.78570695363294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3.8337551402223116</v>
      </c>
      <c r="AA162" s="21">
        <f>EXP(-LN(2)/25)*AA161+(1-EXP(-LN(2)/25))/(LN(2)/25)*Calculateur!V162*Calculateur!X162*VLOOKUP('Données projet'!$B$9,Paramètres!$A$1:$I$89,3,0)*0.475*44/12</f>
        <v>0.27207997682125162</v>
      </c>
      <c r="AB162" s="21">
        <f>EXP(-LN(2)/2)*AB161+(1-EXP(-LN(2)/2))/(LN(2)/2)*V162*Y162*VLOOKUP('Données projet'!$B$9,Paramètres!$A$1:$I$89,3,0)*0.475*44/12</f>
        <v>2.1958766958222317E-20</v>
      </c>
      <c r="AC162" s="22">
        <f t="shared" si="163"/>
        <v>4.1058351170435632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>
        <f>AI162*VLOOKUP('Données projet'!$B$10,Paramètres!$A$1:$I$89,3,0)*VLOOKUP('Données projet'!$B$10,Paramètres!$A$1:$I$89,5,0)</f>
        <v>0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123.44750406183283</v>
      </c>
      <c r="AO162" s="59">
        <f t="shared" si="144"/>
        <v>346.72009411328929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4.2335946333743353</v>
      </c>
      <c r="AV162" s="21">
        <f>EXP(-LN(2)/25)*AV161+(1-EXP(-LN(2)/25))/(LN(2)/25)*Calculateur!AQ162*Calculateur!AS162*VLOOKUP('Données projet'!$B$10,Paramètres!$A$1:$I$89,3,0)*0.475*44/12</f>
        <v>0.30045641612162738</v>
      </c>
      <c r="AW162" s="21">
        <f>EXP(-LN(2)/2)*AW161+(1-EXP(-LN(2)/2))/(LN(2)/2)*AQ162*AT162*VLOOKUP('Données projet'!$B$10,Paramètres!$A$1:$I$89,3,0)*0.475*44/12</f>
        <v>2.4248945107239378E-20</v>
      </c>
      <c r="AX162" s="21">
        <f t="shared" si="166"/>
        <v>4.5340510494959627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>
        <f>BD162*VLOOKUP('Données projet'!$B$11,Paramètres!$A$1:$I$89,3,0)*VLOOKUP('Données projet'!$B$11,Paramètres!$A$1:$I$89,5,0)</f>
        <v>0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123.44750406183283</v>
      </c>
      <c r="BJ162" s="59">
        <f t="shared" si="146"/>
        <v>346.72009411328929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4.2335946333743353</v>
      </c>
      <c r="BQ162" s="21">
        <f>EXP(-LN(2)/25)*BQ161+(1-EXP(-LN(2)/25))/(LN(2)/25)*Calculateur!BL162*Calculateur!BN162*VLOOKUP('Données projet'!$B$11,Paramètres!$A$1:$I$89,3,0)*0.475*44/12</f>
        <v>0.30045641612162738</v>
      </c>
      <c r="BR162" s="21">
        <f>EXP(-LN(2)/2)*BR161+(1-EXP(-LN(2)/2))/(LN(2)/2)*BL162*BO162*VLOOKUP('Données projet'!$B$11,Paramètres!$A$1:$I$89,3,0)*0.475*44/12</f>
        <v>2.4248945107239378E-20</v>
      </c>
      <c r="BS162" s="22">
        <f t="shared" si="169"/>
        <v>4.5340510494959627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7">
        <f t="shared" si="110"/>
        <v>183.33333333333334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112.82287576550925</v>
      </c>
      <c r="T163" s="59">
        <f t="shared" si="142"/>
        <v>317.78570695363294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3.7585775402822938</v>
      </c>
      <c r="AA163" s="21">
        <f>EXP(-LN(2)/25)*AA162+(1-EXP(-LN(2)/25))/(LN(2)/25)*Calculateur!V163*Calculateur!X163*VLOOKUP('Données projet'!$B$9,Paramètres!$A$1:$I$89,3,0)*0.475*44/12</f>
        <v>0.26463993554701037</v>
      </c>
      <c r="AB163" s="21">
        <f>EXP(-LN(2)/2)*AB162+(1-EXP(-LN(2)/2))/(LN(2)/2)*V163*Y163*VLOOKUP('Données projet'!$B$9,Paramètres!$A$1:$I$89,3,0)*0.475*44/12</f>
        <v>1.5527193022654098E-20</v>
      </c>
      <c r="AC163" s="22">
        <f t="shared" si="163"/>
        <v>4.0232174758293038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>
        <f>AI163*VLOOKUP('Données projet'!$B$10,Paramètres!$A$1:$I$89,3,0)*VLOOKUP('Données projet'!$B$10,Paramètres!$A$1:$I$89,5,0)</f>
        <v>0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123.44750406183283</v>
      </c>
      <c r="AO163" s="59">
        <f t="shared" si="144"/>
        <v>346.72009411328929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4.1505764248516162</v>
      </c>
      <c r="AV163" s="21">
        <f>EXP(-LN(2)/25)*AV162+(1-EXP(-LN(2)/25))/(LN(2)/25)*Calculateur!AQ163*Calculateur!AS163*VLOOKUP('Données projet'!$B$10,Paramètres!$A$1:$I$89,3,0)*0.475*44/12</f>
        <v>0.29224041962246528</v>
      </c>
      <c r="AW163" s="21">
        <f>EXP(-LN(2)/2)*AW162+(1-EXP(-LN(2)/2))/(LN(2)/2)*AQ163*AT163*VLOOKUP('Données projet'!$B$10,Paramètres!$A$1:$I$89,3,0)*0.475*44/12</f>
        <v>1.7146593521949317E-20</v>
      </c>
      <c r="AX163" s="21">
        <f t="shared" si="166"/>
        <v>4.4428168444740814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>
        <f>BD163*VLOOKUP('Données projet'!$B$11,Paramètres!$A$1:$I$89,3,0)*VLOOKUP('Données projet'!$B$11,Paramètres!$A$1:$I$89,5,0)</f>
        <v>0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123.44750406183283</v>
      </c>
      <c r="BJ163" s="59">
        <f t="shared" si="146"/>
        <v>346.72009411328929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4.1505764248516162</v>
      </c>
      <c r="BQ163" s="21">
        <f>EXP(-LN(2)/25)*BQ162+(1-EXP(-LN(2)/25))/(LN(2)/25)*Calculateur!BL163*Calculateur!BN163*VLOOKUP('Données projet'!$B$11,Paramètres!$A$1:$I$89,3,0)*0.475*44/12</f>
        <v>0.29224041962246528</v>
      </c>
      <c r="BR163" s="21">
        <f>EXP(-LN(2)/2)*BR162+(1-EXP(-LN(2)/2))/(LN(2)/2)*BL163*BO163*VLOOKUP('Données projet'!$B$11,Paramètres!$A$1:$I$89,3,0)*0.475*44/12</f>
        <v>1.7146593521949317E-20</v>
      </c>
      <c r="BS163" s="22">
        <f t="shared" si="169"/>
        <v>4.4428168444740814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7">
        <f t="shared" si="110"/>
        <v>183.33333333333334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112.82287576550925</v>
      </c>
      <c r="T164" s="59">
        <f t="shared" si="142"/>
        <v>317.78570695363294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3.6848741272232917</v>
      </c>
      <c r="AA164" s="21">
        <f>EXP(-LN(2)/25)*AA163+(1-EXP(-LN(2)/25))/(LN(2)/25)*Calculateur!V164*Calculateur!X164*VLOOKUP('Données projet'!$B$9,Paramètres!$A$1:$I$89,3,0)*0.475*44/12</f>
        <v>0.25740334259266801</v>
      </c>
      <c r="AB164" s="21">
        <f>EXP(-LN(2)/2)*AB163+(1-EXP(-LN(2)/2))/(LN(2)/2)*V164*Y164*VLOOKUP('Données projet'!$B$9,Paramètres!$A$1:$I$89,3,0)*0.475*44/12</f>
        <v>1.0979383479111159E-20</v>
      </c>
      <c r="AC164" s="22">
        <f t="shared" si="163"/>
        <v>3.9422774698159597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>
        <f>AI164*VLOOKUP('Données projet'!$B$10,Paramètres!$A$1:$I$89,3,0)*VLOOKUP('Données projet'!$B$10,Paramètres!$A$1:$I$89,5,0)</f>
        <v>0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123.44750406183283</v>
      </c>
      <c r="AO164" s="59">
        <f t="shared" si="144"/>
        <v>346.72009411328929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4.0691861527619206</v>
      </c>
      <c r="AV164" s="21">
        <f>EXP(-LN(2)/25)*AV163+(1-EXP(-LN(2)/25))/(LN(2)/25)*Calculateur!AQ164*Calculateur!AS164*VLOOKUP('Données projet'!$B$10,Paramètres!$A$1:$I$89,3,0)*0.475*44/12</f>
        <v>0.28424908997963322</v>
      </c>
      <c r="AW164" s="21">
        <f>EXP(-LN(2)/2)*AW163+(1-EXP(-LN(2)/2))/(LN(2)/2)*AQ164*AT164*VLOOKUP('Données projet'!$B$10,Paramètres!$A$1:$I$89,3,0)*0.475*44/12</f>
        <v>1.2124472553619689E-20</v>
      </c>
      <c r="AX164" s="21">
        <f t="shared" si="166"/>
        <v>4.3534352427415541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>
        <f>BD164*VLOOKUP('Données projet'!$B$11,Paramètres!$A$1:$I$89,3,0)*VLOOKUP('Données projet'!$B$11,Paramètres!$A$1:$I$89,5,0)</f>
        <v>0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123.44750406183283</v>
      </c>
      <c r="BJ164" s="59">
        <f t="shared" si="146"/>
        <v>346.72009411328929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4.0691861527619206</v>
      </c>
      <c r="BQ164" s="21">
        <f>EXP(-LN(2)/25)*BQ163+(1-EXP(-LN(2)/25))/(LN(2)/25)*Calculateur!BL164*Calculateur!BN164*VLOOKUP('Données projet'!$B$11,Paramètres!$A$1:$I$89,3,0)*0.475*44/12</f>
        <v>0.28424908997963322</v>
      </c>
      <c r="BR164" s="21">
        <f>EXP(-LN(2)/2)*BR163+(1-EXP(-LN(2)/2))/(LN(2)/2)*BL164*BO164*VLOOKUP('Données projet'!$B$11,Paramètres!$A$1:$I$89,3,0)*0.475*44/12</f>
        <v>1.2124472553619689E-20</v>
      </c>
      <c r="BS164" s="22">
        <f t="shared" si="169"/>
        <v>4.3534352427415541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7">
        <f t="shared" si="110"/>
        <v>183.33333333333334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112.82287576550925</v>
      </c>
      <c r="T165" s="59">
        <f t="shared" si="142"/>
        <v>317.78570695363294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3.6126159931397335</v>
      </c>
      <c r="AA165" s="21">
        <f>EXP(-LN(2)/25)*AA164+(1-EXP(-LN(2)/25))/(LN(2)/25)*Calculateur!V165*Calculateur!X165*VLOOKUP('Données projet'!$B$9,Paramètres!$A$1:$I$89,3,0)*0.475*44/12</f>
        <v>0.25036463465321801</v>
      </c>
      <c r="AB165" s="21">
        <f>EXP(-LN(2)/2)*AB164+(1-EXP(-LN(2)/2))/(LN(2)/2)*V165*Y165*VLOOKUP('Données projet'!$B$9,Paramètres!$A$1:$I$89,3,0)*0.475*44/12</f>
        <v>7.7635965113270488E-21</v>
      </c>
      <c r="AC165" s="22">
        <f t="shared" si="163"/>
        <v>3.8629806277929513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>
        <f>AI165*VLOOKUP('Données projet'!$B$10,Paramètres!$A$1:$I$89,3,0)*VLOOKUP('Données projet'!$B$10,Paramètres!$A$1:$I$89,5,0)</f>
        <v>0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123.44750406183283</v>
      </c>
      <c r="AO165" s="59">
        <f t="shared" si="144"/>
        <v>346.72009411328929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3.9893918942647395</v>
      </c>
      <c r="AV165" s="21">
        <f>EXP(-LN(2)/25)*AV164+(1-EXP(-LN(2)/25))/(LN(2)/25)*Calculateur!AQ165*Calculateur!AS165*VLOOKUP('Données projet'!$B$10,Paramètres!$A$1:$I$89,3,0)*0.475*44/12</f>
        <v>0.27647628366613014</v>
      </c>
      <c r="AW165" s="21">
        <f>EXP(-LN(2)/2)*AW164+(1-EXP(-LN(2)/2))/(LN(2)/2)*AQ165*AT165*VLOOKUP('Données projet'!$B$10,Paramètres!$A$1:$I$89,3,0)*0.475*44/12</f>
        <v>8.5732967609746583E-21</v>
      </c>
      <c r="AX165" s="21">
        <f t="shared" si="166"/>
        <v>4.2658681779308694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>
        <f>BD165*VLOOKUP('Données projet'!$B$11,Paramètres!$A$1:$I$89,3,0)*VLOOKUP('Données projet'!$B$11,Paramètres!$A$1:$I$89,5,0)</f>
        <v>0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123.44750406183283</v>
      </c>
      <c r="BJ165" s="59">
        <f t="shared" si="146"/>
        <v>346.72009411328929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3.9893918942647395</v>
      </c>
      <c r="BQ165" s="21">
        <f>EXP(-LN(2)/25)*BQ164+(1-EXP(-LN(2)/25))/(LN(2)/25)*Calculateur!BL165*Calculateur!BN165*VLOOKUP('Données projet'!$B$11,Paramètres!$A$1:$I$89,3,0)*0.475*44/12</f>
        <v>0.27647628366613014</v>
      </c>
      <c r="BR165" s="21">
        <f>EXP(-LN(2)/2)*BR164+(1-EXP(-LN(2)/2))/(LN(2)/2)*BL165*BO165*VLOOKUP('Données projet'!$B$11,Paramètres!$A$1:$I$89,3,0)*0.475*44/12</f>
        <v>8.5732967609746583E-21</v>
      </c>
      <c r="BS165" s="22">
        <f t="shared" si="169"/>
        <v>4.2658681779308694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7">
        <f t="shared" si="110"/>
        <v>183.33333333333334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112.82287576550925</v>
      </c>
      <c r="T166" s="59">
        <f t="shared" si="142"/>
        <v>317.78570695363294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3.5417747969924438</v>
      </c>
      <c r="AA166" s="21">
        <f>EXP(-LN(2)/25)*AA165+(1-EXP(-LN(2)/25))/(LN(2)/25)*Calculateur!V166*Calculateur!X166*VLOOKUP('Données projet'!$B$9,Paramètres!$A$1:$I$89,3,0)*0.475*44/12</f>
        <v>0.24351840055252183</v>
      </c>
      <c r="AB166" s="21">
        <f>EXP(-LN(2)/2)*AB165+(1-EXP(-LN(2)/2))/(LN(2)/2)*V166*Y166*VLOOKUP('Données projet'!$B$9,Paramètres!$A$1:$I$89,3,0)*0.475*44/12</f>
        <v>5.4896917395555793E-21</v>
      </c>
      <c r="AC166" s="22">
        <f t="shared" si="163"/>
        <v>3.7852931975449655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>
        <f>AI166*VLOOKUP('Données projet'!$B$10,Paramètres!$A$1:$I$89,3,0)*VLOOKUP('Données projet'!$B$10,Paramètres!$A$1:$I$89,5,0)</f>
        <v>0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123.44750406183283</v>
      </c>
      <c r="AO166" s="59">
        <f t="shared" si="144"/>
        <v>346.72009411328929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3.9111623525069961</v>
      </c>
      <c r="AV166" s="21">
        <f>EXP(-LN(2)/25)*AV165+(1-EXP(-LN(2)/25))/(LN(2)/25)*Calculateur!AQ166*Calculateur!AS166*VLOOKUP('Données projet'!$B$10,Paramètres!$A$1:$I$89,3,0)*0.475*44/12</f>
        <v>0.26891602515002394</v>
      </c>
      <c r="AW166" s="21">
        <f>EXP(-LN(2)/2)*AW165+(1-EXP(-LN(2)/2))/(LN(2)/2)*AQ166*AT166*VLOOKUP('Données projet'!$B$10,Paramètres!$A$1:$I$89,3,0)*0.475*44/12</f>
        <v>6.0622362768098444E-21</v>
      </c>
      <c r="AX166" s="21">
        <f t="shared" si="166"/>
        <v>4.1800783776570203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>
        <f>BD166*VLOOKUP('Données projet'!$B$11,Paramètres!$A$1:$I$89,3,0)*VLOOKUP('Données projet'!$B$11,Paramètres!$A$1:$I$89,5,0)</f>
        <v>0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123.44750406183283</v>
      </c>
      <c r="BJ166" s="59">
        <f t="shared" si="146"/>
        <v>346.72009411328929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3.9111623525069961</v>
      </c>
      <c r="BQ166" s="21">
        <f>EXP(-LN(2)/25)*BQ165+(1-EXP(-LN(2)/25))/(LN(2)/25)*Calculateur!BL166*Calculateur!BN166*VLOOKUP('Données projet'!$B$11,Paramètres!$A$1:$I$89,3,0)*0.475*44/12</f>
        <v>0.26891602515002394</v>
      </c>
      <c r="BR166" s="21">
        <f>EXP(-LN(2)/2)*BR165+(1-EXP(-LN(2)/2))/(LN(2)/2)*BL166*BO166*VLOOKUP('Données projet'!$B$11,Paramètres!$A$1:$I$89,3,0)*0.475*44/12</f>
        <v>6.0622362768098444E-21</v>
      </c>
      <c r="BS166" s="22">
        <f t="shared" si="169"/>
        <v>4.1800783776570203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7">
        <f t="shared" si="110"/>
        <v>183.33333333333334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112.82287576550925</v>
      </c>
      <c r="T167" s="59">
        <f t="shared" si="142"/>
        <v>317.78570695363294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3.4723227534927394</v>
      </c>
      <c r="AA167" s="21">
        <f>EXP(-LN(2)/25)*AA166+(1-EXP(-LN(2)/25))/(LN(2)/25)*Calculateur!V167*Calculateur!X167*VLOOKUP('Données projet'!$B$9,Paramètres!$A$1:$I$89,3,0)*0.475*44/12</f>
        <v>0.23685937708333701</v>
      </c>
      <c r="AB167" s="21">
        <f>EXP(-LN(2)/2)*AB166+(1-EXP(-LN(2)/2))/(LN(2)/2)*V167*Y167*VLOOKUP('Données projet'!$B$9,Paramètres!$A$1:$I$89,3,0)*0.475*44/12</f>
        <v>3.8817982556635244E-21</v>
      </c>
      <c r="AC167" s="22">
        <f t="shared" si="163"/>
        <v>3.7091821305760764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>
        <f>AI167*VLOOKUP('Données projet'!$B$10,Paramètres!$A$1:$I$89,3,0)*VLOOKUP('Données projet'!$B$10,Paramètres!$A$1:$I$89,5,0)</f>
        <v>0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123.44750406183283</v>
      </c>
      <c r="AO167" s="59">
        <f t="shared" si="144"/>
        <v>346.72009411328929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3.8344668443478129</v>
      </c>
      <c r="AV167" s="21">
        <f>EXP(-LN(2)/25)*AV166+(1-EXP(-LN(2)/25))/(LN(2)/25)*Calculateur!AQ167*Calculateur!AS167*VLOOKUP('Données projet'!$B$10,Paramètres!$A$1:$I$89,3,0)*0.475*44/12</f>
        <v>0.26156250230061739</v>
      </c>
      <c r="AW167" s="21">
        <f>EXP(-LN(2)/2)*AW166+(1-EXP(-LN(2)/2))/(LN(2)/2)*AQ167*AT167*VLOOKUP('Données projet'!$B$10,Paramètres!$A$1:$I$89,3,0)*0.475*44/12</f>
        <v>4.2866483804873291E-21</v>
      </c>
      <c r="AX167" s="21">
        <f t="shared" si="166"/>
        <v>4.0960293466484305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>
        <f>BD167*VLOOKUP('Données projet'!$B$11,Paramètres!$A$1:$I$89,3,0)*VLOOKUP('Données projet'!$B$11,Paramètres!$A$1:$I$89,5,0)</f>
        <v>0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123.44750406183283</v>
      </c>
      <c r="BJ167" s="59">
        <f t="shared" si="146"/>
        <v>346.72009411328929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3.8344668443478129</v>
      </c>
      <c r="BQ167" s="21">
        <f>EXP(-LN(2)/25)*BQ166+(1-EXP(-LN(2)/25))/(LN(2)/25)*Calculateur!BL167*Calculateur!BN167*VLOOKUP('Données projet'!$B$11,Paramètres!$A$1:$I$89,3,0)*0.475*44/12</f>
        <v>0.26156250230061739</v>
      </c>
      <c r="BR167" s="21">
        <f>EXP(-LN(2)/2)*BR166+(1-EXP(-LN(2)/2))/(LN(2)/2)*BL167*BO167*VLOOKUP('Données projet'!$B$11,Paramètres!$A$1:$I$89,3,0)*0.475*44/12</f>
        <v>4.2866483804873291E-21</v>
      </c>
      <c r="BS167" s="22">
        <f t="shared" si="169"/>
        <v>4.0960293466484305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7">
        <f t="shared" si="110"/>
        <v>183.33333333333334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112.82287576550925</v>
      </c>
      <c r="T168" s="59">
        <f t="shared" si="142"/>
        <v>317.78570695363294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3.4042326222045003</v>
      </c>
      <c r="AA168" s="21">
        <f>EXP(-LN(2)/25)*AA167+(1-EXP(-LN(2)/25))/(LN(2)/25)*Calculateur!V168*Calculateur!X168*VLOOKUP('Données projet'!$B$9,Paramètres!$A$1:$I$89,3,0)*0.475*44/12</f>
        <v>0.23038244496109986</v>
      </c>
      <c r="AB168" s="21">
        <f>EXP(-LN(2)/2)*AB167+(1-EXP(-LN(2)/2))/(LN(2)/2)*V168*Y168*VLOOKUP('Données projet'!$B$9,Paramètres!$A$1:$I$89,3,0)*0.475*44/12</f>
        <v>2.7448458697777896E-21</v>
      </c>
      <c r="AC168" s="22">
        <f t="shared" si="163"/>
        <v>3.6346150671656003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>
        <f>AI168*VLOOKUP('Données projet'!$B$10,Paramètres!$A$1:$I$89,3,0)*VLOOKUP('Données projet'!$B$10,Paramètres!$A$1:$I$89,5,0)</f>
        <v>0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123.44750406183283</v>
      </c>
      <c r="AO168" s="59">
        <f t="shared" si="144"/>
        <v>346.72009411328929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3.7592752883239906</v>
      </c>
      <c r="AV168" s="21">
        <f>EXP(-LN(2)/25)*AV167+(1-EXP(-LN(2)/25))/(LN(2)/25)*Calculateur!AQ168*Calculateur!AS168*VLOOKUP('Données projet'!$B$10,Paramètres!$A$1:$I$89,3,0)*0.475*44/12</f>
        <v>0.2544100619202328</v>
      </c>
      <c r="AW168" s="21">
        <f>EXP(-LN(2)/2)*AW167+(1-EXP(-LN(2)/2))/(LN(2)/2)*AQ168*AT168*VLOOKUP('Données projet'!$B$10,Paramètres!$A$1:$I$89,3,0)*0.475*44/12</f>
        <v>3.0311181384049222E-21</v>
      </c>
      <c r="AX168" s="21">
        <f t="shared" si="166"/>
        <v>4.0136853502442236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>
        <f>BD168*VLOOKUP('Données projet'!$B$11,Paramètres!$A$1:$I$89,3,0)*VLOOKUP('Données projet'!$B$11,Paramètres!$A$1:$I$89,5,0)</f>
        <v>0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123.44750406183283</v>
      </c>
      <c r="BJ168" s="59">
        <f t="shared" si="146"/>
        <v>346.72009411328929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3.7592752883239906</v>
      </c>
      <c r="BQ168" s="21">
        <f>EXP(-LN(2)/25)*BQ167+(1-EXP(-LN(2)/25))/(LN(2)/25)*Calculateur!BL168*Calculateur!BN168*VLOOKUP('Données projet'!$B$11,Paramètres!$A$1:$I$89,3,0)*0.475*44/12</f>
        <v>0.2544100619202328</v>
      </c>
      <c r="BR168" s="21">
        <f>EXP(-LN(2)/2)*BR167+(1-EXP(-LN(2)/2))/(LN(2)/2)*BL168*BO168*VLOOKUP('Données projet'!$B$11,Paramètres!$A$1:$I$89,3,0)*0.475*44/12</f>
        <v>3.0311181384049222E-21</v>
      </c>
      <c r="BS168" s="22">
        <f t="shared" si="169"/>
        <v>4.0136853502442236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7">
        <f t="shared" si="110"/>
        <v>183.33333333333334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112.82287576550925</v>
      </c>
      <c r="T169" s="59">
        <f t="shared" si="142"/>
        <v>317.78570695363294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3.3374776968599442</v>
      </c>
      <c r="AA169" s="21">
        <f>EXP(-LN(2)/25)*AA168+(1-EXP(-LN(2)/25))/(LN(2)/25)*Calculateur!V169*Calculateur!X169*VLOOKUP('Données projet'!$B$9,Paramètres!$A$1:$I$89,3,0)*0.475*44/12</f>
        <v>0.22408262488835234</v>
      </c>
      <c r="AB169" s="21">
        <f>EXP(-LN(2)/2)*AB168+(1-EXP(-LN(2)/2))/(LN(2)/2)*V169*Y169*VLOOKUP('Données projet'!$B$9,Paramètres!$A$1:$I$89,3,0)*0.475*44/12</f>
        <v>1.9408991278317622E-21</v>
      </c>
      <c r="AC169" s="22">
        <f t="shared" si="163"/>
        <v>3.5615603217482965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>
        <f>AI169*VLOOKUP('Données projet'!$B$10,Paramètres!$A$1:$I$89,3,0)*VLOOKUP('Données projet'!$B$10,Paramètres!$A$1:$I$89,5,0)</f>
        <v>0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123.44750406183283</v>
      </c>
      <c r="AO169" s="59">
        <f t="shared" si="144"/>
        <v>346.72009411328929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3.6855581928514747</v>
      </c>
      <c r="AV169" s="21">
        <f>EXP(-LN(2)/25)*AV168+(1-EXP(-LN(2)/25))/(LN(2)/25)*Calculateur!AQ169*Calculateur!AS169*VLOOKUP('Données projet'!$B$10,Paramètres!$A$1:$I$89,3,0)*0.475*44/12</f>
        <v>0.24745320539818033</v>
      </c>
      <c r="AW169" s="21">
        <f>EXP(-LN(2)/2)*AW168+(1-EXP(-LN(2)/2))/(LN(2)/2)*AQ169*AT169*VLOOKUP('Données projet'!$B$10,Paramètres!$A$1:$I$89,3,0)*0.475*44/12</f>
        <v>2.1433241902436646E-21</v>
      </c>
      <c r="AX169" s="21">
        <f t="shared" si="166"/>
        <v>3.9330113982496551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>
        <f>BD169*VLOOKUP('Données projet'!$B$11,Paramètres!$A$1:$I$89,3,0)*VLOOKUP('Données projet'!$B$11,Paramètres!$A$1:$I$89,5,0)</f>
        <v>0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123.44750406183283</v>
      </c>
      <c r="BJ169" s="59">
        <f t="shared" si="146"/>
        <v>346.72009411328929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3.6855581928514747</v>
      </c>
      <c r="BQ169" s="21">
        <f>EXP(-LN(2)/25)*BQ168+(1-EXP(-LN(2)/25))/(LN(2)/25)*Calculateur!BL169*Calculateur!BN169*VLOOKUP('Données projet'!$B$11,Paramètres!$A$1:$I$89,3,0)*0.475*44/12</f>
        <v>0.24745320539818033</v>
      </c>
      <c r="BR169" s="21">
        <f>EXP(-LN(2)/2)*BR168+(1-EXP(-LN(2)/2))/(LN(2)/2)*BL169*BO169*VLOOKUP('Données projet'!$B$11,Paramètres!$A$1:$I$89,3,0)*0.475*44/12</f>
        <v>2.1433241902436646E-21</v>
      </c>
      <c r="BS169" s="22">
        <f t="shared" si="169"/>
        <v>3.9330113982496551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7">
        <f t="shared" si="110"/>
        <v>183.33333333333334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112.82287576550925</v>
      </c>
      <c r="T170" s="59">
        <f t="shared" si="142"/>
        <v>317.78570695363294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3.2720317948849109</v>
      </c>
      <c r="AA170" s="21">
        <f>EXP(-LN(2)/25)*AA169+(1-EXP(-LN(2)/25))/(LN(2)/25)*Calculateur!V170*Calculateur!X170*VLOOKUP('Données projet'!$B$9,Paramètres!$A$1:$I$89,3,0)*0.475*44/12</f>
        <v>0.21795507372678724</v>
      </c>
      <c r="AB170" s="21">
        <f>EXP(-LN(2)/2)*AB169+(1-EXP(-LN(2)/2))/(LN(2)/2)*V170*Y170*VLOOKUP('Données projet'!$B$9,Paramètres!$A$1:$I$89,3,0)*0.475*44/12</f>
        <v>1.3724229348888948E-21</v>
      </c>
      <c r="AC170" s="22">
        <f t="shared" si="163"/>
        <v>3.4899868686116982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>
        <f>AI170*VLOOKUP('Données projet'!$B$10,Paramètres!$A$1:$I$89,3,0)*VLOOKUP('Données projet'!$B$10,Paramètres!$A$1:$I$89,5,0)</f>
        <v>0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123.44750406183283</v>
      </c>
      <c r="AO170" s="59">
        <f t="shared" si="144"/>
        <v>346.72009411328929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3.6132866446581864</v>
      </c>
      <c r="AV170" s="21">
        <f>EXP(-LN(2)/25)*AV169+(1-EXP(-LN(2)/25))/(LN(2)/25)*Calculateur!AQ170*Calculateur!AS170*VLOOKUP('Données projet'!$B$10,Paramètres!$A$1:$I$89,3,0)*0.475*44/12</f>
        <v>0.24068658448356858</v>
      </c>
      <c r="AW170" s="21">
        <f>EXP(-LN(2)/2)*AW169+(1-EXP(-LN(2)/2))/(LN(2)/2)*AQ170*AT170*VLOOKUP('Données projet'!$B$10,Paramètres!$A$1:$I$89,3,0)*0.475*44/12</f>
        <v>1.5155590692024611E-21</v>
      </c>
      <c r="AX170" s="21">
        <f t="shared" si="166"/>
        <v>3.8539732291417548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>
        <f>BD170*VLOOKUP('Données projet'!$B$11,Paramètres!$A$1:$I$89,3,0)*VLOOKUP('Données projet'!$B$11,Paramètres!$A$1:$I$89,5,0)</f>
        <v>0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123.44750406183283</v>
      </c>
      <c r="BJ170" s="59">
        <f t="shared" si="146"/>
        <v>346.72009411328929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3.6132866446581864</v>
      </c>
      <c r="BQ170" s="21">
        <f>EXP(-LN(2)/25)*BQ169+(1-EXP(-LN(2)/25))/(LN(2)/25)*Calculateur!BL170*Calculateur!BN170*VLOOKUP('Données projet'!$B$11,Paramètres!$A$1:$I$89,3,0)*0.475*44/12</f>
        <v>0.24068658448356858</v>
      </c>
      <c r="BR170" s="21">
        <f>EXP(-LN(2)/2)*BR169+(1-EXP(-LN(2)/2))/(LN(2)/2)*BL170*BO170*VLOOKUP('Données projet'!$B$11,Paramètres!$A$1:$I$89,3,0)*0.475*44/12</f>
        <v>1.5155590692024611E-21</v>
      </c>
      <c r="BS170" s="22">
        <f t="shared" si="169"/>
        <v>3.8539732291417548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7">
        <f t="shared" si="110"/>
        <v>183.33333333333334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112.82287576550925</v>
      </c>
      <c r="T171" s="59">
        <f t="shared" si="142"/>
        <v>317.78570695363294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3.2078692471295494</v>
      </c>
      <c r="AA171" s="21">
        <f>EXP(-LN(2)/25)*AA170+(1-EXP(-LN(2)/25))/(LN(2)/25)*Calculateur!V171*Calculateur!X171*VLOOKUP('Données projet'!$B$9,Paramètres!$A$1:$I$89,3,0)*0.475*44/12</f>
        <v>0.21199508077396906</v>
      </c>
      <c r="AB171" s="21">
        <f>EXP(-LN(2)/2)*AB170+(1-EXP(-LN(2)/2))/(LN(2)/2)*V171*Y171*VLOOKUP('Données projet'!$B$9,Paramètres!$A$1:$I$89,3,0)*0.475*44/12</f>
        <v>9.704495639158811E-22</v>
      </c>
      <c r="AC171" s="22">
        <f t="shared" si="163"/>
        <v>3.4198643279035186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>
        <f>AI171*VLOOKUP('Données projet'!$B$10,Paramètres!$A$1:$I$89,3,0)*VLOOKUP('Données projet'!$B$10,Paramètres!$A$1:$I$89,5,0)</f>
        <v>0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123.44750406183283</v>
      </c>
      <c r="AO171" s="59">
        <f t="shared" si="144"/>
        <v>346.72009411328929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3.5424322974436766</v>
      </c>
      <c r="AV171" s="21">
        <f>EXP(-LN(2)/25)*AV170+(1-EXP(-LN(2)/25))/(LN(2)/25)*Calculateur!AQ171*Calculateur!AS171*VLOOKUP('Données projet'!$B$10,Paramètres!$A$1:$I$89,3,0)*0.475*44/12</f>
        <v>0.23410499717370803</v>
      </c>
      <c r="AW171" s="21">
        <f>EXP(-LN(2)/2)*AW170+(1-EXP(-LN(2)/2))/(LN(2)/2)*AQ171*AT171*VLOOKUP('Données projet'!$B$10,Paramètres!$A$1:$I$89,3,0)*0.475*44/12</f>
        <v>1.0716620951218323E-21</v>
      </c>
      <c r="AX171" s="21">
        <f t="shared" si="166"/>
        <v>3.7765372946173845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>
        <f>BD171*VLOOKUP('Données projet'!$B$11,Paramètres!$A$1:$I$89,3,0)*VLOOKUP('Données projet'!$B$11,Paramètres!$A$1:$I$89,5,0)</f>
        <v>0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123.44750406183283</v>
      </c>
      <c r="BJ171" s="59">
        <f t="shared" si="146"/>
        <v>346.72009411328929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3.5424322974436766</v>
      </c>
      <c r="BQ171" s="21">
        <f>EXP(-LN(2)/25)*BQ170+(1-EXP(-LN(2)/25))/(LN(2)/25)*Calculateur!BL171*Calculateur!BN171*VLOOKUP('Données projet'!$B$11,Paramètres!$A$1:$I$89,3,0)*0.475*44/12</f>
        <v>0.23410499717370803</v>
      </c>
      <c r="BR171" s="21">
        <f>EXP(-LN(2)/2)*BR170+(1-EXP(-LN(2)/2))/(LN(2)/2)*BL171*BO171*VLOOKUP('Données projet'!$B$11,Paramètres!$A$1:$I$89,3,0)*0.475*44/12</f>
        <v>1.0716620951218323E-21</v>
      </c>
      <c r="BS171" s="22">
        <f t="shared" si="169"/>
        <v>3.7765372946173845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7">
        <f t="shared" si="110"/>
        <v>183.33333333333334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112.82287576550925</v>
      </c>
      <c r="T172" s="59">
        <f t="shared" si="142"/>
        <v>317.78570695363294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3.1449648878003806</v>
      </c>
      <c r="AA172" s="21">
        <f>EXP(-LN(2)/25)*AA171+(1-EXP(-LN(2)/25))/(LN(2)/25)*Calculateur!V172*Calculateur!X172*VLOOKUP('Données projet'!$B$9,Paramètres!$A$1:$I$89,3,0)*0.475*44/12</f>
        <v>0.20619806414186809</v>
      </c>
      <c r="AB172" s="21">
        <f>EXP(-LN(2)/2)*AB171+(1-EXP(-LN(2)/2))/(LN(2)/2)*V172*Y172*VLOOKUP('Données projet'!$B$9,Paramètres!$A$1:$I$89,3,0)*0.475*44/12</f>
        <v>6.8621146744444741E-22</v>
      </c>
      <c r="AC172" s="22">
        <f t="shared" si="163"/>
        <v>3.3511629519422486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>
        <f>AI172*VLOOKUP('Données projet'!$B$10,Paramètres!$A$1:$I$89,3,0)*VLOOKUP('Données projet'!$B$10,Paramètres!$A$1:$I$89,5,0)</f>
        <v>0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123.44750406183283</v>
      </c>
      <c r="AO172" s="59">
        <f t="shared" si="144"/>
        <v>346.72009411328929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3.4729673607611589</v>
      </c>
      <c r="AV172" s="21">
        <f>EXP(-LN(2)/25)*AV171+(1-EXP(-LN(2)/25))/(LN(2)/25)*Calculateur!AQ172*Calculateur!AS172*VLOOKUP('Données projet'!$B$10,Paramètres!$A$1:$I$89,3,0)*0.475*44/12</f>
        <v>0.22770338371494622</v>
      </c>
      <c r="AW172" s="21">
        <f>EXP(-LN(2)/2)*AW171+(1-EXP(-LN(2)/2))/(LN(2)/2)*AQ172*AT172*VLOOKUP('Données projet'!$B$10,Paramètres!$A$1:$I$89,3,0)*0.475*44/12</f>
        <v>7.5777953460123055E-22</v>
      </c>
      <c r="AX172" s="21">
        <f t="shared" si="166"/>
        <v>3.7006707444761049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>
        <f>BD172*VLOOKUP('Données projet'!$B$11,Paramètres!$A$1:$I$89,3,0)*VLOOKUP('Données projet'!$B$11,Paramètres!$A$1:$I$89,5,0)</f>
        <v>0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123.44750406183283</v>
      </c>
      <c r="BJ172" s="59">
        <f t="shared" si="146"/>
        <v>346.72009411328929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3.4729673607611589</v>
      </c>
      <c r="BQ172" s="21">
        <f>EXP(-LN(2)/25)*BQ171+(1-EXP(-LN(2)/25))/(LN(2)/25)*Calculateur!BL172*Calculateur!BN172*VLOOKUP('Données projet'!$B$11,Paramètres!$A$1:$I$89,3,0)*0.475*44/12</f>
        <v>0.22770338371494622</v>
      </c>
      <c r="BR172" s="21">
        <f>EXP(-LN(2)/2)*BR171+(1-EXP(-LN(2)/2))/(LN(2)/2)*BL172*BO172*VLOOKUP('Données projet'!$B$11,Paramètres!$A$1:$I$89,3,0)*0.475*44/12</f>
        <v>7.5777953460123055E-22</v>
      </c>
      <c r="BS172" s="22">
        <f t="shared" si="169"/>
        <v>3.7006707444761049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7">
        <f t="shared" si="110"/>
        <v>183.33333333333334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112.82287576550925</v>
      </c>
      <c r="T173" s="59">
        <f t="shared" si="142"/>
        <v>317.78570695363294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3.0832940445897865</v>
      </c>
      <c r="AA173" s="21">
        <f>EXP(-LN(2)/25)*AA172+(1-EXP(-LN(2)/25))/(LN(2)/25)*Calculateur!V173*Calculateur!X173*VLOOKUP('Données projet'!$B$9,Paramètres!$A$1:$I$89,3,0)*0.475*44/12</f>
        <v>0.20055956723442378</v>
      </c>
      <c r="AB173" s="21">
        <f>EXP(-LN(2)/2)*AB172+(1-EXP(-LN(2)/2))/(LN(2)/2)*V173*Y173*VLOOKUP('Données projet'!$B$9,Paramètres!$A$1:$I$89,3,0)*0.475*44/12</f>
        <v>4.8522478195794055E-22</v>
      </c>
      <c r="AC173" s="22">
        <f t="shared" si="163"/>
        <v>3.2838536118242101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>
        <f>AI173*VLOOKUP('Données projet'!$B$10,Paramètres!$A$1:$I$89,3,0)*VLOOKUP('Données projet'!$B$10,Paramètres!$A$1:$I$89,5,0)</f>
        <v>0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123.44750406183283</v>
      </c>
      <c r="AO173" s="59">
        <f t="shared" si="144"/>
        <v>346.72009411328929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3.4048645891175577</v>
      </c>
      <c r="AV173" s="21">
        <f>EXP(-LN(2)/25)*AV172+(1-EXP(-LN(2)/25))/(LN(2)/25)*Calculateur!AQ173*Calculateur!AS173*VLOOKUP('Données projet'!$B$10,Paramètres!$A$1:$I$89,3,0)*0.475*44/12</f>
        <v>0.22147682271286048</v>
      </c>
      <c r="AW173" s="21">
        <f>EXP(-LN(2)/2)*AW172+(1-EXP(-LN(2)/2))/(LN(2)/2)*AQ173*AT173*VLOOKUP('Données projet'!$B$10,Paramètres!$A$1:$I$89,3,0)*0.475*44/12</f>
        <v>5.3583104756091614E-22</v>
      </c>
      <c r="AX173" s="21">
        <f t="shared" si="166"/>
        <v>3.6263414118304182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>
        <f>BD173*VLOOKUP('Données projet'!$B$11,Paramètres!$A$1:$I$89,3,0)*VLOOKUP('Données projet'!$B$11,Paramètres!$A$1:$I$89,5,0)</f>
        <v>0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123.44750406183283</v>
      </c>
      <c r="BJ173" s="59">
        <f t="shared" si="146"/>
        <v>346.72009411328929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3.4048645891175577</v>
      </c>
      <c r="BQ173" s="21">
        <f>EXP(-LN(2)/25)*BQ172+(1-EXP(-LN(2)/25))/(LN(2)/25)*Calculateur!BL173*Calculateur!BN173*VLOOKUP('Données projet'!$B$11,Paramètres!$A$1:$I$89,3,0)*0.475*44/12</f>
        <v>0.22147682271286048</v>
      </c>
      <c r="BR173" s="21">
        <f>EXP(-LN(2)/2)*BR172+(1-EXP(-LN(2)/2))/(LN(2)/2)*BL173*BO173*VLOOKUP('Données projet'!$B$11,Paramètres!$A$1:$I$89,3,0)*0.475*44/12</f>
        <v>5.3583104756091614E-22</v>
      </c>
      <c r="BS173" s="22">
        <f t="shared" si="169"/>
        <v>3.6263414118304182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7">
        <f t="shared" si="110"/>
        <v>183.33333333333334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112.82287576550925</v>
      </c>
      <c r="T174" s="59">
        <f t="shared" si="142"/>
        <v>317.78570695363294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3.0228325289990519</v>
      </c>
      <c r="AA174" s="21">
        <f>EXP(-LN(2)/25)*AA173+(1-EXP(-LN(2)/25))/(LN(2)/25)*Calculateur!V174*Calculateur!X174*VLOOKUP('Données projet'!$B$9,Paramètres!$A$1:$I$89,3,0)*0.475*44/12</f>
        <v>0.19507525532142922</v>
      </c>
      <c r="AB174" s="21">
        <f>EXP(-LN(2)/2)*AB173+(1-EXP(-LN(2)/2))/(LN(2)/2)*V174*Y174*VLOOKUP('Données projet'!$B$9,Paramètres!$A$1:$I$89,3,0)*0.475*44/12</f>
        <v>3.431057337222237E-22</v>
      </c>
      <c r="AC174" s="22">
        <f t="shared" si="163"/>
        <v>3.2179077843204809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>
        <f>AI174*VLOOKUP('Données projet'!$B$10,Paramètres!$A$1:$I$89,3,0)*VLOOKUP('Données projet'!$B$10,Paramètres!$A$1:$I$89,5,0)</f>
        <v>0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123.44750406183283</v>
      </c>
      <c r="AO174" s="59">
        <f t="shared" si="144"/>
        <v>346.72009411328929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3.3380972712872987</v>
      </c>
      <c r="AV174" s="21">
        <f>EXP(-LN(2)/25)*AV173+(1-EXP(-LN(2)/25))/(LN(2)/25)*Calculateur!AQ174*Calculateur!AS174*VLOOKUP('Données projet'!$B$10,Paramètres!$A$1:$I$89,3,0)*0.475*44/12</f>
        <v>0.21542052734881739</v>
      </c>
      <c r="AW174" s="21">
        <f>EXP(-LN(2)/2)*AW173+(1-EXP(-LN(2)/2))/(LN(2)/2)*AQ174*AT174*VLOOKUP('Données projet'!$B$10,Paramètres!$A$1:$I$89,3,0)*0.475*44/12</f>
        <v>3.7888976730061528E-22</v>
      </c>
      <c r="AX174" s="21">
        <f t="shared" si="166"/>
        <v>3.5535177986361162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>
        <f>BD174*VLOOKUP('Données projet'!$B$11,Paramètres!$A$1:$I$89,3,0)*VLOOKUP('Données projet'!$B$11,Paramètres!$A$1:$I$89,5,0)</f>
        <v>0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123.44750406183283</v>
      </c>
      <c r="BJ174" s="59">
        <f t="shared" si="146"/>
        <v>346.72009411328929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3.3380972712872987</v>
      </c>
      <c r="BQ174" s="21">
        <f>EXP(-LN(2)/25)*BQ173+(1-EXP(-LN(2)/25))/(LN(2)/25)*Calculateur!BL174*Calculateur!BN174*VLOOKUP('Données projet'!$B$11,Paramètres!$A$1:$I$89,3,0)*0.475*44/12</f>
        <v>0.21542052734881739</v>
      </c>
      <c r="BR174" s="21">
        <f>EXP(-LN(2)/2)*BR173+(1-EXP(-LN(2)/2))/(LN(2)/2)*BL174*BO174*VLOOKUP('Données projet'!$B$11,Paramètres!$A$1:$I$89,3,0)*0.475*44/12</f>
        <v>3.7888976730061528E-22</v>
      </c>
      <c r="BS174" s="22">
        <f t="shared" si="169"/>
        <v>3.5535177986361162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7">
        <f t="shared" si="110"/>
        <v>183.33333333333334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112.82287576550925</v>
      </c>
      <c r="T175" s="59">
        <f t="shared" si="142"/>
        <v>317.78570695363294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2.9635566268511684</v>
      </c>
      <c r="AA175" s="21">
        <f>EXP(-LN(2)/25)*AA174+(1-EXP(-LN(2)/25))/(LN(2)/25)*Calculateur!V175*Calculateur!X175*VLOOKUP('Données projet'!$B$9,Paramètres!$A$1:$I$89,3,0)*0.475*44/12</f>
        <v>0.18974091220610292</v>
      </c>
      <c r="AB175" s="21">
        <f>EXP(-LN(2)/2)*AB174+(1-EXP(-LN(2)/2))/(LN(2)/2)*V175*Y175*VLOOKUP('Données projet'!$B$9,Paramètres!$A$1:$I$89,3,0)*0.475*44/12</f>
        <v>2.4261239097897028E-22</v>
      </c>
      <c r="AC175" s="22">
        <f t="shared" si="163"/>
        <v>3.1532975390572715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>
        <f>AI175*VLOOKUP('Données projet'!$B$10,Paramètres!$A$1:$I$89,3,0)*VLOOKUP('Données projet'!$B$10,Paramètres!$A$1:$I$89,5,0)</f>
        <v>0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123.44750406183283</v>
      </c>
      <c r="AO175" s="59">
        <f t="shared" si="144"/>
        <v>346.72009411328929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3.2726392198356482</v>
      </c>
      <c r="AV175" s="21">
        <f>EXP(-LN(2)/25)*AV174+(1-EXP(-LN(2)/25))/(LN(2)/25)*Calculateur!AQ175*Calculateur!AS175*VLOOKUP('Données projet'!$B$10,Paramètres!$A$1:$I$89,3,0)*0.475*44/12</f>
        <v>0.20952984169999081</v>
      </c>
      <c r="AW175" s="21">
        <f>EXP(-LN(2)/2)*AW174+(1-EXP(-LN(2)/2))/(LN(2)/2)*AQ175*AT175*VLOOKUP('Données projet'!$B$10,Paramètres!$A$1:$I$89,3,0)*0.475*44/12</f>
        <v>2.6791552378045807E-22</v>
      </c>
      <c r="AX175" s="21">
        <f t="shared" si="166"/>
        <v>3.4821690615356391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>
        <f>BD175*VLOOKUP('Données projet'!$B$11,Paramètres!$A$1:$I$89,3,0)*VLOOKUP('Données projet'!$B$11,Paramètres!$A$1:$I$89,5,0)</f>
        <v>0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123.44750406183283</v>
      </c>
      <c r="BJ175" s="59">
        <f t="shared" si="146"/>
        <v>346.72009411328929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3.2726392198356482</v>
      </c>
      <c r="BQ175" s="21">
        <f>EXP(-LN(2)/25)*BQ174+(1-EXP(-LN(2)/25))/(LN(2)/25)*Calculateur!BL175*Calculateur!BN175*VLOOKUP('Données projet'!$B$11,Paramètres!$A$1:$I$89,3,0)*0.475*44/12</f>
        <v>0.20952984169999081</v>
      </c>
      <c r="BR175" s="21">
        <f>EXP(-LN(2)/2)*BR174+(1-EXP(-LN(2)/2))/(LN(2)/2)*BL175*BO175*VLOOKUP('Données projet'!$B$11,Paramètres!$A$1:$I$89,3,0)*0.475*44/12</f>
        <v>2.6791552378045807E-22</v>
      </c>
      <c r="BS175" s="22">
        <f t="shared" si="169"/>
        <v>3.4821690615356391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7">
        <f t="shared" si="110"/>
        <v>183.33333333333334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112.82287576550925</v>
      </c>
      <c r="T176" s="59">
        <f t="shared" si="142"/>
        <v>317.78570695363294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2.9054430889896747</v>
      </c>
      <c r="AA176" s="21">
        <f>EXP(-LN(2)/25)*AA175+(1-EXP(-LN(2)/25))/(LN(2)/25)*Calculateur!V176*Calculateur!X176*VLOOKUP('Données projet'!$B$9,Paramètres!$A$1:$I$89,3,0)*0.475*44/12</f>
        <v>0.18455243698378612</v>
      </c>
      <c r="AB176" s="21">
        <f>EXP(-LN(2)/2)*AB175+(1-EXP(-LN(2)/2))/(LN(2)/2)*V176*Y176*VLOOKUP('Données projet'!$B$9,Paramètres!$A$1:$I$89,3,0)*0.475*44/12</f>
        <v>1.7155286686111185E-22</v>
      </c>
      <c r="AC176" s="22">
        <f t="shared" si="163"/>
        <v>3.0899955259734608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>
        <f>AI176*VLOOKUP('Données projet'!$B$10,Paramètres!$A$1:$I$89,3,0)*VLOOKUP('Données projet'!$B$10,Paramètres!$A$1:$I$89,5,0)</f>
        <v>0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123.44750406183283</v>
      </c>
      <c r="AO176" s="59">
        <f t="shared" si="144"/>
        <v>346.72009411328929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3.2084647608474954</v>
      </c>
      <c r="AV176" s="21">
        <f>EXP(-LN(2)/25)*AV175+(1-EXP(-LN(2)/25))/(LN(2)/25)*Calculateur!AQ176*Calculateur!AS176*VLOOKUP('Données projet'!$B$10,Paramètres!$A$1:$I$89,3,0)*0.475*44/12</f>
        <v>0.20380023716000908</v>
      </c>
      <c r="AW176" s="21">
        <f>EXP(-LN(2)/2)*AW175+(1-EXP(-LN(2)/2))/(LN(2)/2)*AQ176*AT176*VLOOKUP('Données projet'!$B$10,Paramètres!$A$1:$I$89,3,0)*0.475*44/12</f>
        <v>1.8944488365030764E-22</v>
      </c>
      <c r="AX176" s="21">
        <f t="shared" si="166"/>
        <v>3.4122649980075046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>
        <f>BD176*VLOOKUP('Données projet'!$B$11,Paramètres!$A$1:$I$89,3,0)*VLOOKUP('Données projet'!$B$11,Paramètres!$A$1:$I$89,5,0)</f>
        <v>0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123.44750406183283</v>
      </c>
      <c r="BJ176" s="59">
        <f t="shared" si="146"/>
        <v>346.72009411328929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3.2084647608474954</v>
      </c>
      <c r="BQ176" s="21">
        <f>EXP(-LN(2)/25)*BQ175+(1-EXP(-LN(2)/25))/(LN(2)/25)*Calculateur!BL176*Calculateur!BN176*VLOOKUP('Données projet'!$B$11,Paramètres!$A$1:$I$89,3,0)*0.475*44/12</f>
        <v>0.20380023716000908</v>
      </c>
      <c r="BR176" s="21">
        <f>EXP(-LN(2)/2)*BR175+(1-EXP(-LN(2)/2))/(LN(2)/2)*BL176*BO176*VLOOKUP('Données projet'!$B$11,Paramètres!$A$1:$I$89,3,0)*0.475*44/12</f>
        <v>1.8944488365030764E-22</v>
      </c>
      <c r="BS176" s="22">
        <f t="shared" si="169"/>
        <v>3.4122649980075046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7">
        <f t="shared" si="110"/>
        <v>183.33333333333334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112.82287576550925</v>
      </c>
      <c r="T177" s="59">
        <f t="shared" si="142"/>
        <v>317.78570695363294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2.8484691221598868</v>
      </c>
      <c r="AA177" s="21">
        <f>EXP(-LN(2)/25)*AA176+(1-EXP(-LN(2)/25))/(LN(2)/25)*Calculateur!V177*Calculateur!X177*VLOOKUP('Données projet'!$B$9,Paramètres!$A$1:$I$89,3,0)*0.475*44/12</f>
        <v>0.17950584088927363</v>
      </c>
      <c r="AB177" s="21">
        <f>EXP(-LN(2)/2)*AB176+(1-EXP(-LN(2)/2))/(LN(2)/2)*V177*Y177*VLOOKUP('Données projet'!$B$9,Paramètres!$A$1:$I$89,3,0)*0.475*44/12</f>
        <v>1.2130619548948514E-22</v>
      </c>
      <c r="AC177" s="22">
        <f t="shared" si="163"/>
        <v>3.0279749630491604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>
        <f>AI177*VLOOKUP('Données projet'!$B$10,Paramètres!$A$1:$I$89,3,0)*VLOOKUP('Données projet'!$B$10,Paramètres!$A$1:$I$89,5,0)</f>
        <v>0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123.44750406183283</v>
      </c>
      <c r="AO177" s="59">
        <f t="shared" si="144"/>
        <v>346.72009411328929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3.1455487238575452</v>
      </c>
      <c r="AV177" s="21">
        <f>EXP(-LN(2)/25)*AV176+(1-EXP(-LN(2)/25))/(LN(2)/25)*Calculateur!AQ177*Calculateur!AS177*VLOOKUP('Données projet'!$B$10,Paramètres!$A$1:$I$89,3,0)*0.475*44/12</f>
        <v>0.19822730895747995</v>
      </c>
      <c r="AW177" s="21">
        <f>EXP(-LN(2)/2)*AW176+(1-EXP(-LN(2)/2))/(LN(2)/2)*AQ177*AT177*VLOOKUP('Données projet'!$B$10,Paramètres!$A$1:$I$89,3,0)*0.475*44/12</f>
        <v>1.3395776189022904E-22</v>
      </c>
      <c r="AX177" s="21">
        <f t="shared" si="166"/>
        <v>3.343776032815025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>
        <f>BD177*VLOOKUP('Données projet'!$B$11,Paramètres!$A$1:$I$89,3,0)*VLOOKUP('Données projet'!$B$11,Paramètres!$A$1:$I$89,5,0)</f>
        <v>0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123.44750406183283</v>
      </c>
      <c r="BJ177" s="59">
        <f t="shared" si="146"/>
        <v>346.72009411328929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3.1455487238575452</v>
      </c>
      <c r="BQ177" s="21">
        <f>EXP(-LN(2)/25)*BQ176+(1-EXP(-LN(2)/25))/(LN(2)/25)*Calculateur!BL177*Calculateur!BN177*VLOOKUP('Données projet'!$B$11,Paramètres!$A$1:$I$89,3,0)*0.475*44/12</f>
        <v>0.19822730895747995</v>
      </c>
      <c r="BR177" s="21">
        <f>EXP(-LN(2)/2)*BR176+(1-EXP(-LN(2)/2))/(LN(2)/2)*BL177*BO177*VLOOKUP('Données projet'!$B$11,Paramètres!$A$1:$I$89,3,0)*0.475*44/12</f>
        <v>1.3395776189022904E-22</v>
      </c>
      <c r="BS177" s="22">
        <f t="shared" si="169"/>
        <v>3.343776032815025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7">
        <f t="shared" si="110"/>
        <v>183.33333333333334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112.82287576550925</v>
      </c>
      <c r="T178" s="59">
        <f t="shared" si="142"/>
        <v>317.78570695363294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2.7926123800689426</v>
      </c>
      <c r="AA178" s="21">
        <f>EXP(-LN(2)/25)*AA177+(1-EXP(-LN(2)/25))/(LN(2)/25)*Calculateur!V178*Calculateur!X178*VLOOKUP('Données projet'!$B$9,Paramètres!$A$1:$I$89,3,0)*0.475*44/12</f>
        <v>0.17459724423035453</v>
      </c>
      <c r="AB178" s="21">
        <f>EXP(-LN(2)/2)*AB177+(1-EXP(-LN(2)/2))/(LN(2)/2)*V178*Y178*VLOOKUP('Données projet'!$B$9,Paramètres!$A$1:$I$89,3,0)*0.475*44/12</f>
        <v>8.5776433430555926E-23</v>
      </c>
      <c r="AC178" s="22">
        <f t="shared" si="163"/>
        <v>2.9672096242992971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>
        <f>AI178*VLOOKUP('Données projet'!$B$10,Paramètres!$A$1:$I$89,3,0)*VLOOKUP('Données projet'!$B$10,Paramètres!$A$1:$I$89,5,0)</f>
        <v>0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123.44750406183283</v>
      </c>
      <c r="AO178" s="59">
        <f t="shared" si="144"/>
        <v>346.72009411328929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3.0838664319779747</v>
      </c>
      <c r="AV178" s="21">
        <f>EXP(-LN(2)/25)*AV177+(1-EXP(-LN(2)/25))/(LN(2)/25)*Calculateur!AQ178*Calculateur!AS178*VLOOKUP('Données projet'!$B$10,Paramètres!$A$1:$I$89,3,0)*0.475*44/12</f>
        <v>0.19280677276971653</v>
      </c>
      <c r="AW178" s="21">
        <f>EXP(-LN(2)/2)*AW177+(1-EXP(-LN(2)/2))/(LN(2)/2)*AQ178*AT178*VLOOKUP('Données projet'!$B$10,Paramètres!$A$1:$I$89,3,0)*0.475*44/12</f>
        <v>9.4722441825153819E-23</v>
      </c>
      <c r="AX178" s="21">
        <f t="shared" si="166"/>
        <v>3.2766732047476914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>
        <f>BD178*VLOOKUP('Données projet'!$B$11,Paramètres!$A$1:$I$89,3,0)*VLOOKUP('Données projet'!$B$11,Paramètres!$A$1:$I$89,5,0)</f>
        <v>0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123.44750406183283</v>
      </c>
      <c r="BJ178" s="59">
        <f t="shared" si="146"/>
        <v>346.72009411328929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3.0838664319779747</v>
      </c>
      <c r="BQ178" s="21">
        <f>EXP(-LN(2)/25)*BQ177+(1-EXP(-LN(2)/25))/(LN(2)/25)*Calculateur!BL178*Calculateur!BN178*VLOOKUP('Données projet'!$B$11,Paramètres!$A$1:$I$89,3,0)*0.475*44/12</f>
        <v>0.19280677276971653</v>
      </c>
      <c r="BR178" s="21">
        <f>EXP(-LN(2)/2)*BR177+(1-EXP(-LN(2)/2))/(LN(2)/2)*BL178*BO178*VLOOKUP('Données projet'!$B$11,Paramètres!$A$1:$I$89,3,0)*0.475*44/12</f>
        <v>9.4722441825153819E-23</v>
      </c>
      <c r="BS178" s="22">
        <f t="shared" si="169"/>
        <v>3.2766732047476914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7">
        <f t="shared" si="110"/>
        <v>183.33333333333334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112.82287576550925</v>
      </c>
      <c r="T179" s="59">
        <f t="shared" si="142"/>
        <v>317.78570695363294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2.7378509546211531</v>
      </c>
      <c r="AA179" s="21">
        <f>EXP(-LN(2)/25)*AA178+(1-EXP(-LN(2)/25))/(LN(2)/25)*Calculateur!V179*Calculateur!X179*VLOOKUP('Données projet'!$B$9,Paramètres!$A$1:$I$89,3,0)*0.475*44/12</f>
        <v>0.16982287340520547</v>
      </c>
      <c r="AB179" s="21">
        <f>EXP(-LN(2)/2)*AB178+(1-EXP(-LN(2)/2))/(LN(2)/2)*V179*Y179*VLOOKUP('Données projet'!$B$9,Paramètres!$A$1:$I$89,3,0)*0.475*44/12</f>
        <v>6.0653097744742569E-23</v>
      </c>
      <c r="AC179" s="22">
        <f t="shared" si="163"/>
        <v>2.9076738280263585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>
        <f>AI179*VLOOKUP('Données projet'!$B$10,Paramètres!$A$1:$I$89,3,0)*VLOOKUP('Données projet'!$B$10,Paramètres!$A$1:$I$89,5,0)</f>
        <v>0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123.44750406183283</v>
      </c>
      <c r="AO179" s="59">
        <f t="shared" si="144"/>
        <v>346.72009411328929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3.0233936922196794</v>
      </c>
      <c r="AV179" s="21">
        <f>EXP(-LN(2)/25)*AV178+(1-EXP(-LN(2)/25))/(LN(2)/25)*Calculateur!AQ179*Calculateur!AS179*VLOOKUP('Données projet'!$B$10,Paramètres!$A$1:$I$89,3,0)*0.475*44/12</f>
        <v>0.18753446142906111</v>
      </c>
      <c r="AW179" s="21">
        <f>EXP(-LN(2)/2)*AW178+(1-EXP(-LN(2)/2))/(LN(2)/2)*AQ179*AT179*VLOOKUP('Données projet'!$B$10,Paramètres!$A$1:$I$89,3,0)*0.475*44/12</f>
        <v>6.6978880945114518E-23</v>
      </c>
      <c r="AX179" s="21">
        <f t="shared" si="166"/>
        <v>3.2109281536487404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>
        <f>BD179*VLOOKUP('Données projet'!$B$11,Paramètres!$A$1:$I$89,3,0)*VLOOKUP('Données projet'!$B$11,Paramètres!$A$1:$I$89,5,0)</f>
        <v>0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123.44750406183283</v>
      </c>
      <c r="BJ179" s="59">
        <f t="shared" si="146"/>
        <v>346.72009411328929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3.0233936922196794</v>
      </c>
      <c r="BQ179" s="21">
        <f>EXP(-LN(2)/25)*BQ178+(1-EXP(-LN(2)/25))/(LN(2)/25)*Calculateur!BL179*Calculateur!BN179*VLOOKUP('Données projet'!$B$11,Paramètres!$A$1:$I$89,3,0)*0.475*44/12</f>
        <v>0.18753446142906111</v>
      </c>
      <c r="BR179" s="21">
        <f>EXP(-LN(2)/2)*BR178+(1-EXP(-LN(2)/2))/(LN(2)/2)*BL179*BO179*VLOOKUP('Données projet'!$B$11,Paramètres!$A$1:$I$89,3,0)*0.475*44/12</f>
        <v>6.6978880945114518E-23</v>
      </c>
      <c r="BS179" s="22">
        <f t="shared" si="169"/>
        <v>3.2109281536487404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7">
        <f t="shared" si="110"/>
        <v>183.33333333333334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112.82287576550925</v>
      </c>
      <c r="T180" s="59">
        <f t="shared" si="142"/>
        <v>317.78570695363294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2.6841633673252234</v>
      </c>
      <c r="AA180" s="21">
        <f>EXP(-LN(2)/25)*AA179+(1-EXP(-LN(2)/25))/(LN(2)/25)*Calculateur!V180*Calculateur!X180*VLOOKUP('Données projet'!$B$9,Paramètres!$A$1:$I$89,3,0)*0.475*44/12</f>
        <v>0.16517905800134333</v>
      </c>
      <c r="AB180" s="21">
        <f>EXP(-LN(2)/2)*AB179+(1-EXP(-LN(2)/2))/(LN(2)/2)*V180*Y180*VLOOKUP('Données projet'!$B$9,Paramètres!$A$1:$I$89,3,0)*0.475*44/12</f>
        <v>4.2888216715277963E-23</v>
      </c>
      <c r="AC180" s="22">
        <f t="shared" si="163"/>
        <v>2.8493424253265669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>
        <f>AI180*VLOOKUP('Données projet'!$B$10,Paramètres!$A$1:$I$89,3,0)*VLOOKUP('Données projet'!$B$10,Paramètres!$A$1:$I$89,5,0)</f>
        <v>0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123.44750406183283</v>
      </c>
      <c r="AO180" s="59">
        <f t="shared" si="144"/>
        <v>346.72009411328929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2.964106786003315</v>
      </c>
      <c r="AV180" s="21">
        <f>EXP(-LN(2)/25)*AV179+(1-EXP(-LN(2)/25))/(LN(2)/25)*Calculateur!AQ180*Calculateur!AS180*VLOOKUP('Données projet'!$B$10,Paramètres!$A$1:$I$89,3,0)*0.475*44/12</f>
        <v>0.18240632171927471</v>
      </c>
      <c r="AW180" s="21">
        <f>EXP(-LN(2)/2)*AW179+(1-EXP(-LN(2)/2))/(LN(2)/2)*AQ180*AT180*VLOOKUP('Données projet'!$B$10,Paramètres!$A$1:$I$89,3,0)*0.475*44/12</f>
        <v>4.736122091257691E-23</v>
      </c>
      <c r="AX180" s="21">
        <f t="shared" si="166"/>
        <v>3.1465131077225896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>
        <f>BD180*VLOOKUP('Données projet'!$B$11,Paramètres!$A$1:$I$89,3,0)*VLOOKUP('Données projet'!$B$11,Paramètres!$A$1:$I$89,5,0)</f>
        <v>0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123.44750406183283</v>
      </c>
      <c r="BJ180" s="59">
        <f t="shared" si="146"/>
        <v>346.72009411328929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2.964106786003315</v>
      </c>
      <c r="BQ180" s="21">
        <f>EXP(-LN(2)/25)*BQ179+(1-EXP(-LN(2)/25))/(LN(2)/25)*Calculateur!BL180*Calculateur!BN180*VLOOKUP('Données projet'!$B$11,Paramètres!$A$1:$I$89,3,0)*0.475*44/12</f>
        <v>0.18240632171927471</v>
      </c>
      <c r="BR180" s="21">
        <f>EXP(-LN(2)/2)*BR179+(1-EXP(-LN(2)/2))/(LN(2)/2)*BL180*BO180*VLOOKUP('Données projet'!$B$11,Paramètres!$A$1:$I$89,3,0)*0.475*44/12</f>
        <v>4.736122091257691E-23</v>
      </c>
      <c r="BS180" s="22">
        <f t="shared" si="169"/>
        <v>3.1465131077225896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7">
        <f t="shared" si="110"/>
        <v>183.33333333333334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112.82287576550925</v>
      </c>
      <c r="T181" s="59">
        <f t="shared" si="142"/>
        <v>317.78570695363294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2.6315285608699721</v>
      </c>
      <c r="AA181" s="21">
        <f>EXP(-LN(2)/25)*AA180+(1-EXP(-LN(2)/25))/(LN(2)/25)*Calculateur!V181*Calculateur!X181*VLOOKUP('Données projet'!$B$9,Paramètres!$A$1:$I$89,3,0)*0.475*44/12</f>
        <v>0.16066222797390747</v>
      </c>
      <c r="AB181" s="21">
        <f>EXP(-LN(2)/2)*AB180+(1-EXP(-LN(2)/2))/(LN(2)/2)*V181*Y181*VLOOKUP('Données projet'!$B$9,Paramètres!$A$1:$I$89,3,0)*0.475*44/12</f>
        <v>3.0326548872371284E-23</v>
      </c>
      <c r="AC181" s="22">
        <f t="shared" si="163"/>
        <v>2.7921907888438797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>
        <f>AI181*VLOOKUP('Données projet'!$B$10,Paramètres!$A$1:$I$89,3,0)*VLOOKUP('Données projet'!$B$10,Paramètres!$A$1:$I$89,5,0)</f>
        <v>0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123.44750406183283</v>
      </c>
      <c r="AO181" s="59">
        <f t="shared" si="144"/>
        <v>346.72009411328929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2.9059824598564115</v>
      </c>
      <c r="AV181" s="21">
        <f>EXP(-LN(2)/25)*AV180+(1-EXP(-LN(2)/25))/(LN(2)/25)*Calculateur!AQ181*Calculateur!AS181*VLOOKUP('Données projet'!$B$10,Paramètres!$A$1:$I$89,3,0)*0.475*44/12</f>
        <v>0.17741841125952956</v>
      </c>
      <c r="AW181" s="21">
        <f>EXP(-LN(2)/2)*AW180+(1-EXP(-LN(2)/2))/(LN(2)/2)*AQ181*AT181*VLOOKUP('Données projet'!$B$10,Paramètres!$A$1:$I$89,3,0)*0.475*44/12</f>
        <v>3.3489440472557259E-23</v>
      </c>
      <c r="AX181" s="21">
        <f t="shared" si="166"/>
        <v>3.0834008711159409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>
        <f>BD181*VLOOKUP('Données projet'!$B$11,Paramètres!$A$1:$I$89,3,0)*VLOOKUP('Données projet'!$B$11,Paramètres!$A$1:$I$89,5,0)</f>
        <v>0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123.44750406183283</v>
      </c>
      <c r="BJ181" s="59">
        <f t="shared" si="146"/>
        <v>346.72009411328929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2.9059824598564115</v>
      </c>
      <c r="BQ181" s="21">
        <f>EXP(-LN(2)/25)*BQ180+(1-EXP(-LN(2)/25))/(LN(2)/25)*Calculateur!BL181*Calculateur!BN181*VLOOKUP('Données projet'!$B$11,Paramètres!$A$1:$I$89,3,0)*0.475*44/12</f>
        <v>0.17741841125952956</v>
      </c>
      <c r="BR181" s="21">
        <f>EXP(-LN(2)/2)*BR180+(1-EXP(-LN(2)/2))/(LN(2)/2)*BL181*BO181*VLOOKUP('Données projet'!$B$11,Paramètres!$A$1:$I$89,3,0)*0.475*44/12</f>
        <v>3.3489440472557259E-23</v>
      </c>
      <c r="BS181" s="22">
        <f t="shared" si="169"/>
        <v>3.0834008711159409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7">
        <f t="shared" si="110"/>
        <v>183.33333333333334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112.82287576550925</v>
      </c>
      <c r="T182" s="59">
        <f t="shared" si="142"/>
        <v>317.78570695363294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2.5799258908652463</v>
      </c>
      <c r="AA182" s="21">
        <f>EXP(-LN(2)/25)*AA181+(1-EXP(-LN(2)/25))/(LN(2)/25)*Calculateur!V182*Calculateur!X182*VLOOKUP('Données projet'!$B$9,Paramètres!$A$1:$I$89,3,0)*0.475*44/12</f>
        <v>0.15626891090110159</v>
      </c>
      <c r="AB182" s="21">
        <f>EXP(-LN(2)/2)*AB181+(1-EXP(-LN(2)/2))/(LN(2)/2)*V182*Y182*VLOOKUP('Données projet'!$B$9,Paramètres!$A$1:$I$89,3,0)*0.475*44/12</f>
        <v>2.1444108357638982E-23</v>
      </c>
      <c r="AC182" s="22">
        <f t="shared" si="163"/>
        <v>2.7361948017663478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>
        <f>AI182*VLOOKUP('Données projet'!$B$10,Paramètres!$A$1:$I$89,3,0)*VLOOKUP('Données projet'!$B$10,Paramètres!$A$1:$I$89,5,0)</f>
        <v>0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123.44750406183283</v>
      </c>
      <c r="AO182" s="59">
        <f t="shared" si="144"/>
        <v>346.72009411328929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2.8489979162929107</v>
      </c>
      <c r="AV182" s="21">
        <f>EXP(-LN(2)/25)*AV181+(1-EXP(-LN(2)/25))/(LN(2)/25)*Calculateur!AQ182*Calculateur!AS182*VLOOKUP('Données projet'!$B$10,Paramètres!$A$1:$I$89,3,0)*0.475*44/12</f>
        <v>0.17256689547360898</v>
      </c>
      <c r="AW182" s="21">
        <f>EXP(-LN(2)/2)*AW181+(1-EXP(-LN(2)/2))/(LN(2)/2)*AQ182*AT182*VLOOKUP('Données projet'!$B$10,Paramètres!$A$1:$I$89,3,0)*0.475*44/12</f>
        <v>2.3680610456288455E-23</v>
      </c>
      <c r="AX182" s="21">
        <f t="shared" si="166"/>
        <v>3.0215648117665195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>
        <f>BD182*VLOOKUP('Données projet'!$B$11,Paramètres!$A$1:$I$89,3,0)*VLOOKUP('Données projet'!$B$11,Paramètres!$A$1:$I$89,5,0)</f>
        <v>0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123.44750406183283</v>
      </c>
      <c r="BJ182" s="59">
        <f t="shared" si="146"/>
        <v>346.72009411328929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2.8489979162929107</v>
      </c>
      <c r="BQ182" s="21">
        <f>EXP(-LN(2)/25)*BQ181+(1-EXP(-LN(2)/25))/(LN(2)/25)*Calculateur!BL182*Calculateur!BN182*VLOOKUP('Données projet'!$B$11,Paramètres!$A$1:$I$89,3,0)*0.475*44/12</f>
        <v>0.17256689547360898</v>
      </c>
      <c r="BR182" s="21">
        <f>EXP(-LN(2)/2)*BR181+(1-EXP(-LN(2)/2))/(LN(2)/2)*BL182*BO182*VLOOKUP('Données projet'!$B$11,Paramètres!$A$1:$I$89,3,0)*0.475*44/12</f>
        <v>2.3680610456288455E-23</v>
      </c>
      <c r="BS182" s="22">
        <f t="shared" si="169"/>
        <v>3.0215648117665195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7">
        <f t="shared" si="110"/>
        <v>183.33333333333334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112.82287576550925</v>
      </c>
      <c r="T183" s="59">
        <f t="shared" si="142"/>
        <v>317.78570695363294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2.5293351177447922</v>
      </c>
      <c r="AA183" s="21">
        <f>EXP(-LN(2)/25)*AA182+(1-EXP(-LN(2)/25))/(LN(2)/25)*Calculateur!V183*Calculateur!X183*VLOOKUP('Données projet'!$B$9,Paramètres!$A$1:$I$89,3,0)*0.475*44/12</f>
        <v>0.15199572931468611</v>
      </c>
      <c r="AB183" s="21">
        <f>EXP(-LN(2)/2)*AB182+(1-EXP(-LN(2)/2))/(LN(2)/2)*V183*Y183*VLOOKUP('Données projet'!$B$9,Paramètres!$A$1:$I$89,3,0)*0.475*44/12</f>
        <v>1.5163274436185642E-23</v>
      </c>
      <c r="AC183" s="22">
        <f t="shared" si="163"/>
        <v>2.6813308470594786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>
        <f>AI183*VLOOKUP('Données projet'!$B$10,Paramètres!$A$1:$I$89,3,0)*VLOOKUP('Données projet'!$B$10,Paramètres!$A$1:$I$89,5,0)</f>
        <v>0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123.44750406183283</v>
      </c>
      <c r="AO183" s="59">
        <f t="shared" si="144"/>
        <v>346.72009411328929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2.7931308048715504</v>
      </c>
      <c r="AV183" s="21">
        <f>EXP(-LN(2)/25)*AV182+(1-EXP(-LN(2)/25))/(LN(2)/25)*Calculateur!AQ183*Calculateur!AS183*VLOOKUP('Données projet'!$B$10,Paramètres!$A$1:$I$89,3,0)*0.475*44/12</f>
        <v>0.16784804464198452</v>
      </c>
      <c r="AW183" s="21">
        <f>EXP(-LN(2)/2)*AW182+(1-EXP(-LN(2)/2))/(LN(2)/2)*AQ183*AT183*VLOOKUP('Données projet'!$B$10,Paramètres!$A$1:$I$89,3,0)*0.475*44/12</f>
        <v>1.6744720236278629E-23</v>
      </c>
      <c r="AX183" s="21">
        <f t="shared" si="166"/>
        <v>2.960978849513535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>
        <f>BD183*VLOOKUP('Données projet'!$B$11,Paramètres!$A$1:$I$89,3,0)*VLOOKUP('Données projet'!$B$11,Paramètres!$A$1:$I$89,5,0)</f>
        <v>0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123.44750406183283</v>
      </c>
      <c r="BJ183" s="59">
        <f t="shared" si="146"/>
        <v>346.72009411328929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2.7931308048715504</v>
      </c>
      <c r="BQ183" s="21">
        <f>EXP(-LN(2)/25)*BQ182+(1-EXP(-LN(2)/25))/(LN(2)/25)*Calculateur!BL183*Calculateur!BN183*VLOOKUP('Données projet'!$B$11,Paramètres!$A$1:$I$89,3,0)*0.475*44/12</f>
        <v>0.16784804464198452</v>
      </c>
      <c r="BR183" s="21">
        <f>EXP(-LN(2)/2)*BR182+(1-EXP(-LN(2)/2))/(LN(2)/2)*BL183*BO183*VLOOKUP('Données projet'!$B$11,Paramètres!$A$1:$I$89,3,0)*0.475*44/12</f>
        <v>1.6744720236278629E-23</v>
      </c>
      <c r="BS183" s="22">
        <f t="shared" si="169"/>
        <v>2.960978849513535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7">
        <f t="shared" si="110"/>
        <v>183.33333333333334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112.82287576550925</v>
      </c>
      <c r="T184" s="59">
        <f t="shared" si="142"/>
        <v>317.78570695363294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2.4797363988279058</v>
      </c>
      <c r="AA184" s="21">
        <f>EXP(-LN(2)/25)*AA183+(1-EXP(-LN(2)/25))/(LN(2)/25)*Calculateur!V184*Calculateur!X184*VLOOKUP('Données projet'!$B$9,Paramètres!$A$1:$I$89,3,0)*0.475*44/12</f>
        <v>0.14783939810346799</v>
      </c>
      <c r="AB184" s="21">
        <f>EXP(-LN(2)/2)*AB183+(1-EXP(-LN(2)/2))/(LN(2)/2)*V184*Y184*VLOOKUP('Données projet'!$B$9,Paramètres!$A$1:$I$89,3,0)*0.475*44/12</f>
        <v>1.0722054178819491E-23</v>
      </c>
      <c r="AC184" s="22">
        <f t="shared" si="163"/>
        <v>2.6275757969313736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>
        <f>AI184*VLOOKUP('Données projet'!$B$10,Paramètres!$A$1:$I$89,3,0)*VLOOKUP('Données projet'!$B$10,Paramètres!$A$1:$I$89,5,0)</f>
        <v>0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123.44750406183283</v>
      </c>
      <c r="AO184" s="59">
        <f t="shared" si="144"/>
        <v>346.72009411328929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2.7383592134295895</v>
      </c>
      <c r="AV184" s="21">
        <f>EXP(-LN(2)/25)*AV183+(1-EXP(-LN(2)/25))/(LN(2)/25)*Calculateur!AQ184*Calculateur!AS184*VLOOKUP('Données projet'!$B$10,Paramètres!$A$1:$I$89,3,0)*0.475*44/12</f>
        <v>0.1632582310345044</v>
      </c>
      <c r="AW184" s="21">
        <f>EXP(-LN(2)/2)*AW183+(1-EXP(-LN(2)/2))/(LN(2)/2)*AQ184*AT184*VLOOKUP('Données projet'!$B$10,Paramètres!$A$1:$I$89,3,0)*0.475*44/12</f>
        <v>1.1840305228144227E-23</v>
      </c>
      <c r="AX184" s="21">
        <f t="shared" si="166"/>
        <v>2.9016174444640939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>
        <f>BD184*VLOOKUP('Données projet'!$B$11,Paramètres!$A$1:$I$89,3,0)*VLOOKUP('Données projet'!$B$11,Paramètres!$A$1:$I$89,5,0)</f>
        <v>0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123.44750406183283</v>
      </c>
      <c r="BJ184" s="59">
        <f t="shared" si="146"/>
        <v>346.72009411328929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2.7383592134295895</v>
      </c>
      <c r="BQ184" s="21">
        <f>EXP(-LN(2)/25)*BQ183+(1-EXP(-LN(2)/25))/(LN(2)/25)*Calculateur!BL184*Calculateur!BN184*VLOOKUP('Données projet'!$B$11,Paramètres!$A$1:$I$89,3,0)*0.475*44/12</f>
        <v>0.1632582310345044</v>
      </c>
      <c r="BR184" s="21">
        <f>EXP(-LN(2)/2)*BR183+(1-EXP(-LN(2)/2))/(LN(2)/2)*BL184*BO184*VLOOKUP('Données projet'!$B$11,Paramètres!$A$1:$I$89,3,0)*0.475*44/12</f>
        <v>1.1840305228144227E-23</v>
      </c>
      <c r="BS184" s="22">
        <f t="shared" si="169"/>
        <v>2.9016174444640939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7">
        <f t="shared" si="110"/>
        <v>183.33333333333334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112.82287576550925</v>
      </c>
      <c r="T185" s="59">
        <f t="shared" si="142"/>
        <v>317.78570695363294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2.4311102805367479</v>
      </c>
      <c r="AA185" s="21">
        <f>EXP(-LN(2)/25)*AA184+(1-EXP(-LN(2)/25))/(LN(2)/25)*Calculateur!V185*Calculateur!X185*VLOOKUP('Données projet'!$B$9,Paramètres!$A$1:$I$89,3,0)*0.475*44/12</f>
        <v>0.14379672198779261</v>
      </c>
      <c r="AB185" s="21">
        <f>EXP(-LN(2)/2)*AB184+(1-EXP(-LN(2)/2))/(LN(2)/2)*V185*Y185*VLOOKUP('Données projet'!$B$9,Paramètres!$A$1:$I$89,3,0)*0.475*44/12</f>
        <v>7.5816372180928211E-24</v>
      </c>
      <c r="AC185" s="22">
        <f t="shared" si="163"/>
        <v>2.5749070025245406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>
        <f>AI185*VLOOKUP('Données projet'!$B$10,Paramètres!$A$1:$I$89,3,0)*VLOOKUP('Données projet'!$B$10,Paramètres!$A$1:$I$89,5,0)</f>
        <v>0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123.44750406183283</v>
      </c>
      <c r="AO185" s="59">
        <f t="shared" si="144"/>
        <v>346.72009411328929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2.6846616594884334</v>
      </c>
      <c r="AV185" s="21">
        <f>EXP(-LN(2)/25)*AV184+(1-EXP(-LN(2)/25))/(LN(2)/25)*Calculateur!AQ185*Calculateur!AS185*VLOOKUP('Données projet'!$B$10,Paramètres!$A$1:$I$89,3,0)*0.475*44/12</f>
        <v>0.15879392612148865</v>
      </c>
      <c r="AW185" s="21">
        <f>EXP(-LN(2)/2)*AW184+(1-EXP(-LN(2)/2))/(LN(2)/2)*AQ185*AT185*VLOOKUP('Données projet'!$B$10,Paramètres!$A$1:$I$89,3,0)*0.475*44/12</f>
        <v>8.3723601181393147E-24</v>
      </c>
      <c r="AX185" s="21">
        <f t="shared" si="166"/>
        <v>2.843455585609922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>
        <f>BD185*VLOOKUP('Données projet'!$B$11,Paramètres!$A$1:$I$89,3,0)*VLOOKUP('Données projet'!$B$11,Paramètres!$A$1:$I$89,5,0)</f>
        <v>0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123.44750406183283</v>
      </c>
      <c r="BJ185" s="59">
        <f t="shared" si="146"/>
        <v>346.72009411328929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2.6846616594884334</v>
      </c>
      <c r="BQ185" s="21">
        <f>EXP(-LN(2)/25)*BQ184+(1-EXP(-LN(2)/25))/(LN(2)/25)*Calculateur!BL185*Calculateur!BN185*VLOOKUP('Données projet'!$B$11,Paramètres!$A$1:$I$89,3,0)*0.475*44/12</f>
        <v>0.15879392612148865</v>
      </c>
      <c r="BR185" s="21">
        <f>EXP(-LN(2)/2)*BR184+(1-EXP(-LN(2)/2))/(LN(2)/2)*BL185*BO185*VLOOKUP('Données projet'!$B$11,Paramètres!$A$1:$I$89,3,0)*0.475*44/12</f>
        <v>8.3723601181393147E-24</v>
      </c>
      <c r="BS185" s="22">
        <f t="shared" si="169"/>
        <v>2.843455585609922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7">
        <f t="shared" si="110"/>
        <v>183.33333333333334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112.82287576550925</v>
      </c>
      <c r="T186" s="59">
        <f t="shared" si="142"/>
        <v>317.78570695363294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2.383437690766276</v>
      </c>
      <c r="AA186" s="21">
        <f>EXP(-LN(2)/25)*AA185+(1-EXP(-LN(2)/25))/(LN(2)/25)*Calculateur!V186*Calculateur!X186*VLOOKUP('Données projet'!$B$9,Paramètres!$A$1:$I$89,3,0)*0.475*44/12</f>
        <v>0.13986459306309545</v>
      </c>
      <c r="AB186" s="21">
        <f>EXP(-LN(2)/2)*AB185+(1-EXP(-LN(2)/2))/(LN(2)/2)*V186*Y186*VLOOKUP('Données projet'!$B$9,Paramètres!$A$1:$I$89,3,0)*0.475*44/12</f>
        <v>5.3610270894097454E-24</v>
      </c>
      <c r="AC186" s="22">
        <f t="shared" si="163"/>
        <v>2.5233022838293713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>
        <f>AI186*VLOOKUP('Données projet'!$B$10,Paramètres!$A$1:$I$89,3,0)*VLOOKUP('Données projet'!$B$10,Paramètres!$A$1:$I$89,5,0)</f>
        <v>0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123.44750406183283</v>
      </c>
      <c r="AO186" s="59">
        <f t="shared" si="144"/>
        <v>346.72009411328929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2.6320170818277897</v>
      </c>
      <c r="AV186" s="21">
        <f>EXP(-LN(2)/25)*AV185+(1-EXP(-LN(2)/25))/(LN(2)/25)*Calculateur!AQ186*Calculateur!AS186*VLOOKUP('Données projet'!$B$10,Paramètres!$A$1:$I$89,3,0)*0.475*44/12</f>
        <v>0.1544516978610869</v>
      </c>
      <c r="AW186" s="21">
        <f>EXP(-LN(2)/2)*AW185+(1-EXP(-LN(2)/2))/(LN(2)/2)*AQ186*AT186*VLOOKUP('Données projet'!$B$10,Paramètres!$A$1:$I$89,3,0)*0.475*44/12</f>
        <v>5.9201526140721137E-24</v>
      </c>
      <c r="AX186" s="21">
        <f t="shared" si="166"/>
        <v>2.7864687796888767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>
        <f>BD186*VLOOKUP('Données projet'!$B$11,Paramètres!$A$1:$I$89,3,0)*VLOOKUP('Données projet'!$B$11,Paramètres!$A$1:$I$89,5,0)</f>
        <v>0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123.44750406183283</v>
      </c>
      <c r="BJ186" s="59">
        <f t="shared" si="146"/>
        <v>346.72009411328929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2.6320170818277897</v>
      </c>
      <c r="BQ186" s="21">
        <f>EXP(-LN(2)/25)*BQ185+(1-EXP(-LN(2)/25))/(LN(2)/25)*Calculateur!BL186*Calculateur!BN186*VLOOKUP('Données projet'!$B$11,Paramètres!$A$1:$I$89,3,0)*0.475*44/12</f>
        <v>0.1544516978610869</v>
      </c>
      <c r="BR186" s="21">
        <f>EXP(-LN(2)/2)*BR185+(1-EXP(-LN(2)/2))/(LN(2)/2)*BL186*BO186*VLOOKUP('Données projet'!$B$11,Paramètres!$A$1:$I$89,3,0)*0.475*44/12</f>
        <v>5.9201526140721137E-24</v>
      </c>
      <c r="BS186" s="22">
        <f t="shared" si="169"/>
        <v>2.7864687796888767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7">
        <f t="shared" si="110"/>
        <v>183.33333333333334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112.82287576550925</v>
      </c>
      <c r="T187" s="59">
        <f t="shared" si="142"/>
        <v>317.78570695363294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2.3366999314037944</v>
      </c>
      <c r="AA187" s="21">
        <f>EXP(-LN(2)/25)*AA186+(1-EXP(-LN(2)/25))/(LN(2)/25)*Calculateur!V187*Calculateur!X187*VLOOKUP('Données projet'!$B$9,Paramètres!$A$1:$I$89,3,0)*0.475*44/12</f>
        <v>0.13603998841062581</v>
      </c>
      <c r="AB187" s="21">
        <f>EXP(-LN(2)/2)*AB186+(1-EXP(-LN(2)/2))/(LN(2)/2)*V187*Y187*VLOOKUP('Données projet'!$B$9,Paramètres!$A$1:$I$89,3,0)*0.475*44/12</f>
        <v>3.7908186090464105E-24</v>
      </c>
      <c r="AC187" s="22">
        <f t="shared" si="163"/>
        <v>2.47273991981442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>
        <f>AI187*VLOOKUP('Données projet'!$B$10,Paramètres!$A$1:$I$89,3,0)*VLOOKUP('Données projet'!$B$10,Paramètres!$A$1:$I$89,5,0)</f>
        <v>0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123.44750406183283</v>
      </c>
      <c r="AO187" s="59">
        <f t="shared" si="144"/>
        <v>346.72009411328929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2.5804048322250495</v>
      </c>
      <c r="AV187" s="21">
        <f>EXP(-LN(2)/25)*AV186+(1-EXP(-LN(2)/25))/(LN(2)/25)*Calculateur!AQ187*Calculateur!AS187*VLOOKUP('Données projet'!$B$10,Paramètres!$A$1:$I$89,3,0)*0.475*44/12</f>
        <v>0.15022820806081369</v>
      </c>
      <c r="AW187" s="21">
        <f>EXP(-LN(2)/2)*AW186+(1-EXP(-LN(2)/2))/(LN(2)/2)*AQ187*AT187*VLOOKUP('Données projet'!$B$10,Paramètres!$A$1:$I$89,3,0)*0.475*44/12</f>
        <v>4.1861800590696574E-24</v>
      </c>
      <c r="AX187" s="21">
        <f t="shared" si="166"/>
        <v>2.7306330402858632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>
        <f>BD187*VLOOKUP('Données projet'!$B$11,Paramètres!$A$1:$I$89,3,0)*VLOOKUP('Données projet'!$B$11,Paramètres!$A$1:$I$89,5,0)</f>
        <v>0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123.44750406183283</v>
      </c>
      <c r="BJ187" s="59">
        <f t="shared" si="146"/>
        <v>346.72009411328929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2.5804048322250495</v>
      </c>
      <c r="BQ187" s="21">
        <f>EXP(-LN(2)/25)*BQ186+(1-EXP(-LN(2)/25))/(LN(2)/25)*Calculateur!BL187*Calculateur!BN187*VLOOKUP('Données projet'!$B$11,Paramètres!$A$1:$I$89,3,0)*0.475*44/12</f>
        <v>0.15022820806081369</v>
      </c>
      <c r="BR187" s="21">
        <f>EXP(-LN(2)/2)*BR186+(1-EXP(-LN(2)/2))/(LN(2)/2)*BL187*BO187*VLOOKUP('Données projet'!$B$11,Paramètres!$A$1:$I$89,3,0)*0.475*44/12</f>
        <v>4.1861800590696574E-24</v>
      </c>
      <c r="BS187" s="22">
        <f t="shared" si="169"/>
        <v>2.7306330402858632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7">
        <f t="shared" si="110"/>
        <v>183.33333333333334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112.82287576550925</v>
      </c>
      <c r="T188" s="59">
        <f t="shared" si="142"/>
        <v>317.78570695363294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2.2908786709951929</v>
      </c>
      <c r="AA188" s="21">
        <f>EXP(-LN(2)/25)*AA187+(1-EXP(-LN(2)/25))/(LN(2)/25)*Calculateur!V188*Calculateur!X188*VLOOKUP('Données projet'!$B$9,Paramètres!$A$1:$I$89,3,0)*0.475*44/12</f>
        <v>0.13231996777350519</v>
      </c>
      <c r="AB188" s="21">
        <f>EXP(-LN(2)/2)*AB187+(1-EXP(-LN(2)/2))/(LN(2)/2)*V188*Y188*VLOOKUP('Données projet'!$B$9,Paramètres!$A$1:$I$89,3,0)*0.475*44/12</f>
        <v>2.6805135447048727E-24</v>
      </c>
      <c r="AC188" s="22">
        <f t="shared" si="163"/>
        <v>2.4231986387686981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>
        <f>AI188*VLOOKUP('Données projet'!$B$10,Paramètres!$A$1:$I$89,3,0)*VLOOKUP('Données projet'!$B$10,Paramètres!$A$1:$I$89,5,0)</f>
        <v>0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123.44750406183283</v>
      </c>
      <c r="AO188" s="59">
        <f t="shared" si="144"/>
        <v>346.72009411328929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2.5298046673566552</v>
      </c>
      <c r="AV188" s="21">
        <f>EXP(-LN(2)/25)*AV187+(1-EXP(-LN(2)/25))/(LN(2)/25)*Calculateur!AQ188*Calculateur!AS188*VLOOKUP('Données projet'!$B$10,Paramètres!$A$1:$I$89,3,0)*0.475*44/12</f>
        <v>0.14612020981123264</v>
      </c>
      <c r="AW188" s="21">
        <f>EXP(-LN(2)/2)*AW187+(1-EXP(-LN(2)/2))/(LN(2)/2)*AQ188*AT188*VLOOKUP('Données projet'!$B$10,Paramètres!$A$1:$I$89,3,0)*0.475*44/12</f>
        <v>2.9600763070360569E-24</v>
      </c>
      <c r="AX188" s="21">
        <f t="shared" si="166"/>
        <v>2.6759248771678878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>
        <f>BD188*VLOOKUP('Données projet'!$B$11,Paramètres!$A$1:$I$89,3,0)*VLOOKUP('Données projet'!$B$11,Paramètres!$A$1:$I$89,5,0)</f>
        <v>0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123.44750406183283</v>
      </c>
      <c r="BJ188" s="59">
        <f t="shared" si="146"/>
        <v>346.72009411328929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2.5298046673566552</v>
      </c>
      <c r="BQ188" s="21">
        <f>EXP(-LN(2)/25)*BQ187+(1-EXP(-LN(2)/25))/(LN(2)/25)*Calculateur!BL188*Calculateur!BN188*VLOOKUP('Données projet'!$B$11,Paramètres!$A$1:$I$89,3,0)*0.475*44/12</f>
        <v>0.14612020981123264</v>
      </c>
      <c r="BR188" s="21">
        <f>EXP(-LN(2)/2)*BR187+(1-EXP(-LN(2)/2))/(LN(2)/2)*BL188*BO188*VLOOKUP('Données projet'!$B$11,Paramètres!$A$1:$I$89,3,0)*0.475*44/12</f>
        <v>2.9600763070360569E-24</v>
      </c>
      <c r="BS188" s="22">
        <f t="shared" si="169"/>
        <v>2.6759248771678878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7">
        <f t="shared" si="110"/>
        <v>183.33333333333334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112.82287576550925</v>
      </c>
      <c r="T189" s="59">
        <f t="shared" si="142"/>
        <v>317.78570695363294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2.2459559375549949</v>
      </c>
      <c r="AA189" s="21">
        <f>EXP(-LN(2)/25)*AA188+(1-EXP(-LN(2)/25))/(LN(2)/25)*Calculateur!V189*Calculateur!X189*VLOOKUP('Données projet'!$B$9,Paramètres!$A$1:$I$89,3,0)*0.475*44/12</f>
        <v>0.128701671296334</v>
      </c>
      <c r="AB189" s="21">
        <f>EXP(-LN(2)/2)*AB188+(1-EXP(-LN(2)/2))/(LN(2)/2)*V189*Y189*VLOOKUP('Données projet'!$B$9,Paramètres!$A$1:$I$89,3,0)*0.475*44/12</f>
        <v>1.8954093045232053E-24</v>
      </c>
      <c r="AC189" s="22">
        <f t="shared" si="163"/>
        <v>2.3746576088513289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>
        <f>AI189*VLOOKUP('Données projet'!$B$10,Paramètres!$A$1:$I$89,3,0)*VLOOKUP('Données projet'!$B$10,Paramètres!$A$1:$I$89,5,0)</f>
        <v>0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123.44750406183283</v>
      </c>
      <c r="AO189" s="59">
        <f t="shared" si="144"/>
        <v>346.72009411328929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2.4801967408582768</v>
      </c>
      <c r="AV189" s="21">
        <f>EXP(-LN(2)/25)*AV188+(1-EXP(-LN(2)/25))/(LN(2)/25)*Calculateur!AQ189*Calculateur!AS189*VLOOKUP('Données projet'!$B$10,Paramètres!$A$1:$I$89,3,0)*0.475*44/12</f>
        <v>0.14212454498981661</v>
      </c>
      <c r="AW189" s="21">
        <f>EXP(-LN(2)/2)*AW188+(1-EXP(-LN(2)/2))/(LN(2)/2)*AQ189*AT189*VLOOKUP('Données projet'!$B$10,Paramètres!$A$1:$I$89,3,0)*0.475*44/12</f>
        <v>2.0930900295348287E-24</v>
      </c>
      <c r="AX189" s="21">
        <f t="shared" si="166"/>
        <v>2.6223212858480935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>
        <f>BD189*VLOOKUP('Données projet'!$B$11,Paramètres!$A$1:$I$89,3,0)*VLOOKUP('Données projet'!$B$11,Paramètres!$A$1:$I$89,5,0)</f>
        <v>0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123.44750406183283</v>
      </c>
      <c r="BJ189" s="59">
        <f t="shared" si="146"/>
        <v>346.72009411328929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2.4801967408582768</v>
      </c>
      <c r="BQ189" s="21">
        <f>EXP(-LN(2)/25)*BQ188+(1-EXP(-LN(2)/25))/(LN(2)/25)*Calculateur!BL189*Calculateur!BN189*VLOOKUP('Données projet'!$B$11,Paramètres!$A$1:$I$89,3,0)*0.475*44/12</f>
        <v>0.14212454498981661</v>
      </c>
      <c r="BR189" s="21">
        <f>EXP(-LN(2)/2)*BR188+(1-EXP(-LN(2)/2))/(LN(2)/2)*BL189*BO189*VLOOKUP('Données projet'!$B$11,Paramètres!$A$1:$I$89,3,0)*0.475*44/12</f>
        <v>2.0930900295348287E-24</v>
      </c>
      <c r="BS189" s="22">
        <f t="shared" si="169"/>
        <v>2.6223212858480935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7">
        <f t="shared" si="110"/>
        <v>183.33333333333334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112.82287576550925</v>
      </c>
      <c r="T190" s="59">
        <f t="shared" si="142"/>
        <v>317.78570695363294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2.201914111517397</v>
      </c>
      <c r="AA190" s="21">
        <f>EXP(-LN(2)/25)*AA189+(1-EXP(-LN(2)/25))/(LN(2)/25)*Calculateur!V190*Calculateur!X190*VLOOKUP('Données projet'!$B$9,Paramètres!$A$1:$I$89,3,0)*0.475*44/12</f>
        <v>0.12518231732660901</v>
      </c>
      <c r="AB190" s="21">
        <f>EXP(-LN(2)/2)*AB189+(1-EXP(-LN(2)/2))/(LN(2)/2)*V190*Y190*VLOOKUP('Données projet'!$B$9,Paramètres!$A$1:$I$89,3,0)*0.475*44/12</f>
        <v>1.3402567723524363E-24</v>
      </c>
      <c r="AC190" s="22">
        <f t="shared" si="163"/>
        <v>2.3270964288440061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>
        <f>AI190*VLOOKUP('Données projet'!$B$10,Paramètres!$A$1:$I$89,3,0)*VLOOKUP('Données projet'!$B$10,Paramètres!$A$1:$I$89,5,0)</f>
        <v>0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123.44750406183283</v>
      </c>
      <c r="AO190" s="59">
        <f t="shared" si="144"/>
        <v>346.72009411328929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2.4315615955406842</v>
      </c>
      <c r="AV190" s="21">
        <f>EXP(-LN(2)/25)*AV189+(1-EXP(-LN(2)/25))/(LN(2)/25)*Calculateur!AQ190*Calculateur!AS190*VLOOKUP('Données projet'!$B$10,Paramètres!$A$1:$I$89,3,0)*0.475*44/12</f>
        <v>0.13823814183306507</v>
      </c>
      <c r="AW190" s="21">
        <f>EXP(-LN(2)/2)*AW189+(1-EXP(-LN(2)/2))/(LN(2)/2)*AQ190*AT190*VLOOKUP('Données projet'!$B$10,Paramètres!$A$1:$I$89,3,0)*0.475*44/12</f>
        <v>1.4800381535180284E-24</v>
      </c>
      <c r="AX190" s="21">
        <f t="shared" si="166"/>
        <v>2.5697997373737493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>
        <f>BD190*VLOOKUP('Données projet'!$B$11,Paramètres!$A$1:$I$89,3,0)*VLOOKUP('Données projet'!$B$11,Paramètres!$A$1:$I$89,5,0)</f>
        <v>0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123.44750406183283</v>
      </c>
      <c r="BJ190" s="59">
        <f t="shared" si="146"/>
        <v>346.72009411328929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2.4315615955406842</v>
      </c>
      <c r="BQ190" s="21">
        <f>EXP(-LN(2)/25)*BQ189+(1-EXP(-LN(2)/25))/(LN(2)/25)*Calculateur!BL190*Calculateur!BN190*VLOOKUP('Données projet'!$B$11,Paramètres!$A$1:$I$89,3,0)*0.475*44/12</f>
        <v>0.13823814183306507</v>
      </c>
      <c r="BR190" s="21">
        <f>EXP(-LN(2)/2)*BR189+(1-EXP(-LN(2)/2))/(LN(2)/2)*BL190*BO190*VLOOKUP('Données projet'!$B$11,Paramètres!$A$1:$I$89,3,0)*0.475*44/12</f>
        <v>1.4800381535180284E-24</v>
      </c>
      <c r="BS190" s="22">
        <f t="shared" si="169"/>
        <v>2.5697997373737493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7">
        <f t="shared" si="110"/>
        <v>183.33333333333334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112.82287576550925</v>
      </c>
      <c r="T191" s="59">
        <f t="shared" si="142"/>
        <v>317.78570695363294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2.1587359188255353</v>
      </c>
      <c r="AA191" s="21">
        <f>EXP(-LN(2)/25)*AA190+(1-EXP(-LN(2)/25))/(LN(2)/25)*Calculateur!V191*Calculateur!X191*VLOOKUP('Données projet'!$B$9,Paramètres!$A$1:$I$89,3,0)*0.475*44/12</f>
        <v>0.12175920027626091</v>
      </c>
      <c r="AB191" s="21">
        <f>EXP(-LN(2)/2)*AB190+(1-EXP(-LN(2)/2))/(LN(2)/2)*V191*Y191*VLOOKUP('Données projet'!$B$9,Paramètres!$A$1:$I$89,3,0)*0.475*44/12</f>
        <v>9.4770465226160264E-25</v>
      </c>
      <c r="AC191" s="22">
        <f t="shared" si="163"/>
        <v>2.2804951191017961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>
        <f>AI191*VLOOKUP('Données projet'!$B$10,Paramètres!$A$1:$I$89,3,0)*VLOOKUP('Données projet'!$B$10,Paramètres!$A$1:$I$89,5,0)</f>
        <v>0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123.44750406183283</v>
      </c>
      <c r="AO191" s="59">
        <f t="shared" si="144"/>
        <v>346.72009411328929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2.3838801557582601</v>
      </c>
      <c r="AV191" s="21">
        <f>EXP(-LN(2)/25)*AV190+(1-EXP(-LN(2)/25))/(LN(2)/25)*Calculateur!AQ191*Calculateur!AS191*VLOOKUP('Données projet'!$B$10,Paramètres!$A$1:$I$89,3,0)*0.475*44/12</f>
        <v>0.13445801257501197</v>
      </c>
      <c r="AW191" s="21">
        <f>EXP(-LN(2)/2)*AW190+(1-EXP(-LN(2)/2))/(LN(2)/2)*AQ191*AT191*VLOOKUP('Données projet'!$B$10,Paramètres!$A$1:$I$89,3,0)*0.475*44/12</f>
        <v>1.0465450147674143E-24</v>
      </c>
      <c r="AX191" s="21">
        <f t="shared" si="166"/>
        <v>2.5183381683332722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>
        <f>BD191*VLOOKUP('Données projet'!$B$11,Paramètres!$A$1:$I$89,3,0)*VLOOKUP('Données projet'!$B$11,Paramètres!$A$1:$I$89,5,0)</f>
        <v>0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123.44750406183283</v>
      </c>
      <c r="BJ191" s="59">
        <f t="shared" si="146"/>
        <v>346.72009411328929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2.3838801557582601</v>
      </c>
      <c r="BQ191" s="21">
        <f>EXP(-LN(2)/25)*BQ190+(1-EXP(-LN(2)/25))/(LN(2)/25)*Calculateur!BL191*Calculateur!BN191*VLOOKUP('Données projet'!$B$11,Paramètres!$A$1:$I$89,3,0)*0.475*44/12</f>
        <v>0.13445801257501197</v>
      </c>
      <c r="BR191" s="21">
        <f>EXP(-LN(2)/2)*BR190+(1-EXP(-LN(2)/2))/(LN(2)/2)*BL191*BO191*VLOOKUP('Données projet'!$B$11,Paramètres!$A$1:$I$89,3,0)*0.475*44/12</f>
        <v>1.0465450147674143E-24</v>
      </c>
      <c r="BS191" s="22">
        <f t="shared" si="169"/>
        <v>2.5183381683332722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7">
        <f t="shared" si="110"/>
        <v>183.33333333333334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112.82287576550925</v>
      </c>
      <c r="T192" s="59">
        <f t="shared" si="142"/>
        <v>317.78570695363294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2.1164044241562636</v>
      </c>
      <c r="AA192" s="21">
        <f>EXP(-LN(2)/25)*AA191+(1-EXP(-LN(2)/25))/(LN(2)/25)*Calculateur!V192*Calculateur!X192*VLOOKUP('Données projet'!$B$9,Paramètres!$A$1:$I$89,3,0)*0.475*44/12</f>
        <v>0.11842968854166851</v>
      </c>
      <c r="AB192" s="21">
        <f>EXP(-LN(2)/2)*AB191+(1-EXP(-LN(2)/2))/(LN(2)/2)*V192*Y192*VLOOKUP('Données projet'!$B$9,Paramètres!$A$1:$I$89,3,0)*0.475*44/12</f>
        <v>6.7012838617621817E-25</v>
      </c>
      <c r="AC192" s="22">
        <f t="shared" si="163"/>
        <v>2.2348341126979321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>
        <f>AI192*VLOOKUP('Données projet'!$B$10,Paramètres!$A$1:$I$89,3,0)*VLOOKUP('Données projet'!$B$10,Paramètres!$A$1:$I$89,5,0)</f>
        <v>0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123.44750406183283</v>
      </c>
      <c r="AO192" s="59">
        <f t="shared" si="144"/>
        <v>346.72009411328929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2.3371337199271629</v>
      </c>
      <c r="AV192" s="21">
        <f>EXP(-LN(2)/25)*AV191+(1-EXP(-LN(2)/25))/(LN(2)/25)*Calculateur!AQ192*Calculateur!AS192*VLOOKUP('Données projet'!$B$10,Paramètres!$A$1:$I$89,3,0)*0.475*44/12</f>
        <v>0.1307812511503087</v>
      </c>
      <c r="AW192" s="21">
        <f>EXP(-LN(2)/2)*AW191+(1-EXP(-LN(2)/2))/(LN(2)/2)*AQ192*AT192*VLOOKUP('Données projet'!$B$10,Paramètres!$A$1:$I$89,3,0)*0.475*44/12</f>
        <v>7.4001907675901421E-25</v>
      </c>
      <c r="AX192" s="21">
        <f t="shared" si="166"/>
        <v>2.4679149710774717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>
        <f>BD192*VLOOKUP('Données projet'!$B$11,Paramètres!$A$1:$I$89,3,0)*VLOOKUP('Données projet'!$B$11,Paramètres!$A$1:$I$89,5,0)</f>
        <v>0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123.44750406183283</v>
      </c>
      <c r="BJ192" s="59">
        <f t="shared" si="146"/>
        <v>346.72009411328929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2.3371337199271629</v>
      </c>
      <c r="BQ192" s="21">
        <f>EXP(-LN(2)/25)*BQ191+(1-EXP(-LN(2)/25))/(LN(2)/25)*Calculateur!BL192*Calculateur!BN192*VLOOKUP('Données projet'!$B$11,Paramètres!$A$1:$I$89,3,0)*0.475*44/12</f>
        <v>0.1307812511503087</v>
      </c>
      <c r="BR192" s="21">
        <f>EXP(-LN(2)/2)*BR191+(1-EXP(-LN(2)/2))/(LN(2)/2)*BL192*BO192*VLOOKUP('Données projet'!$B$11,Paramètres!$A$1:$I$89,3,0)*0.475*44/12</f>
        <v>7.4001907675901421E-25</v>
      </c>
      <c r="BS192" s="22">
        <f t="shared" si="169"/>
        <v>2.4679149710774717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7">
        <f t="shared" si="110"/>
        <v>183.33333333333334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112.82287576550925</v>
      </c>
      <c r="T193" s="59">
        <f t="shared" si="142"/>
        <v>317.78570695363294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2.0749030242777944</v>
      </c>
      <c r="AA193" s="21">
        <f>EXP(-LN(2)/25)*AA192+(1-EXP(-LN(2)/25))/(LN(2)/25)*Calculateur!V193*Calculateur!X193*VLOOKUP('Données projet'!$B$9,Paramètres!$A$1:$I$89,3,0)*0.475*44/12</f>
        <v>0.11519122248054993</v>
      </c>
      <c r="AB193" s="21">
        <f>EXP(-LN(2)/2)*AB192+(1-EXP(-LN(2)/2))/(LN(2)/2)*V193*Y193*VLOOKUP('Données projet'!$B$9,Paramètres!$A$1:$I$89,3,0)*0.475*44/12</f>
        <v>4.7385232613080132E-25</v>
      </c>
      <c r="AC193" s="22">
        <f t="shared" si="163"/>
        <v>2.1900942467583442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>
        <f>AI193*VLOOKUP('Données projet'!$B$10,Paramètres!$A$1:$I$89,3,0)*VLOOKUP('Données projet'!$B$10,Paramètres!$A$1:$I$89,5,0)</f>
        <v>0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123.44750406183283</v>
      </c>
      <c r="AO193" s="59">
        <f t="shared" si="144"/>
        <v>346.72009411328929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2.2913039531902029</v>
      </c>
      <c r="AV193" s="21">
        <f>EXP(-LN(2)/25)*AV192+(1-EXP(-LN(2)/25))/(LN(2)/25)*Calculateur!AQ193*Calculateur!AS193*VLOOKUP('Données projet'!$B$10,Paramètres!$A$1:$I$89,3,0)*0.475*44/12</f>
        <v>0.1272050309601164</v>
      </c>
      <c r="AW193" s="21">
        <f>EXP(-LN(2)/2)*AW192+(1-EXP(-LN(2)/2))/(LN(2)/2)*AQ193*AT193*VLOOKUP('Données projet'!$B$10,Paramètres!$A$1:$I$89,3,0)*0.475*44/12</f>
        <v>5.2327250738370717E-25</v>
      </c>
      <c r="AX193" s="21">
        <f t="shared" si="166"/>
        <v>2.4185089841503191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>
        <f>BD193*VLOOKUP('Données projet'!$B$11,Paramètres!$A$1:$I$89,3,0)*VLOOKUP('Données projet'!$B$11,Paramètres!$A$1:$I$89,5,0)</f>
        <v>0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123.44750406183283</v>
      </c>
      <c r="BJ193" s="59">
        <f t="shared" si="146"/>
        <v>346.72009411328929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2.2913039531902029</v>
      </c>
      <c r="BQ193" s="21">
        <f>EXP(-LN(2)/25)*BQ192+(1-EXP(-LN(2)/25))/(LN(2)/25)*Calculateur!BL193*Calculateur!BN193*VLOOKUP('Données projet'!$B$11,Paramètres!$A$1:$I$89,3,0)*0.475*44/12</f>
        <v>0.1272050309601164</v>
      </c>
      <c r="BR193" s="21">
        <f>EXP(-LN(2)/2)*BR192+(1-EXP(-LN(2)/2))/(LN(2)/2)*BL193*BO193*VLOOKUP('Données projet'!$B$11,Paramètres!$A$1:$I$89,3,0)*0.475*44/12</f>
        <v>5.2327250738370717E-25</v>
      </c>
      <c r="BS193" s="22">
        <f t="shared" si="169"/>
        <v>2.4185089841503191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7">
        <f t="shared" si="110"/>
        <v>183.33333333333334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112.82287576550925</v>
      </c>
      <c r="T194" s="59">
        <f t="shared" si="142"/>
        <v>317.78570695363294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2.0342154415375875</v>
      </c>
      <c r="AA194" s="21">
        <f>EXP(-LN(2)/25)*AA193+(1-EXP(-LN(2)/25))/(LN(2)/25)*Calculateur!V194*Calculateur!X194*VLOOKUP('Données projet'!$B$9,Paramètres!$A$1:$I$89,3,0)*0.475*44/12</f>
        <v>0.11204131244417617</v>
      </c>
      <c r="AB194" s="21">
        <f>EXP(-LN(2)/2)*AB193+(1-EXP(-LN(2)/2))/(LN(2)/2)*V194*Y194*VLOOKUP('Données projet'!$B$9,Paramètres!$A$1:$I$89,3,0)*0.475*44/12</f>
        <v>3.3506419308810909E-25</v>
      </c>
      <c r="AC194" s="22">
        <f t="shared" si="163"/>
        <v>2.1462567539817639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>
        <f>AI194*VLOOKUP('Données projet'!$B$10,Paramètres!$A$1:$I$89,3,0)*VLOOKUP('Données projet'!$B$10,Paramètres!$A$1:$I$89,5,0)</f>
        <v>0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123.44750406183283</v>
      </c>
      <c r="AO194" s="59">
        <f t="shared" si="144"/>
        <v>346.72009411328929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2.2463728802255569</v>
      </c>
      <c r="AV194" s="21">
        <f>EXP(-LN(2)/25)*AV193+(1-EXP(-LN(2)/25))/(LN(2)/25)*Calculateur!AQ194*Calculateur!AS194*VLOOKUP('Données projet'!$B$10,Paramètres!$A$1:$I$89,3,0)*0.475*44/12</f>
        <v>0.12372660269909017</v>
      </c>
      <c r="AW194" s="21">
        <f>EXP(-LN(2)/2)*AW193+(1-EXP(-LN(2)/2))/(LN(2)/2)*AQ194*AT194*VLOOKUP('Données projet'!$B$10,Paramètres!$A$1:$I$89,3,0)*0.475*44/12</f>
        <v>3.7000953837950711E-25</v>
      </c>
      <c r="AX194" s="21">
        <f t="shared" si="166"/>
        <v>2.3700994829246471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>
        <f>BD194*VLOOKUP('Données projet'!$B$11,Paramètres!$A$1:$I$89,3,0)*VLOOKUP('Données projet'!$B$11,Paramètres!$A$1:$I$89,5,0)</f>
        <v>0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123.44750406183283</v>
      </c>
      <c r="BJ194" s="59">
        <f t="shared" si="146"/>
        <v>346.72009411328929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2.2463728802255569</v>
      </c>
      <c r="BQ194" s="21">
        <f>EXP(-LN(2)/25)*BQ193+(1-EXP(-LN(2)/25))/(LN(2)/25)*Calculateur!BL194*Calculateur!BN194*VLOOKUP('Données projet'!$B$11,Paramètres!$A$1:$I$89,3,0)*0.475*44/12</f>
        <v>0.12372660269909017</v>
      </c>
      <c r="BR194" s="21">
        <f>EXP(-LN(2)/2)*BR193+(1-EXP(-LN(2)/2))/(LN(2)/2)*BL194*BO194*VLOOKUP('Données projet'!$B$11,Paramètres!$A$1:$I$89,3,0)*0.475*44/12</f>
        <v>3.7000953837950711E-25</v>
      </c>
      <c r="BS194" s="22">
        <f t="shared" si="169"/>
        <v>2.3700994829246471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7">
        <f t="shared" si="110"/>
        <v>183.33333333333334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112.82287576550925</v>
      </c>
      <c r="T195" s="59">
        <f t="shared" si="142"/>
        <v>317.78570695363294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1.994325717477941</v>
      </c>
      <c r="AA195" s="21">
        <f>EXP(-LN(2)/25)*AA194+(1-EXP(-LN(2)/25))/(LN(2)/25)*Calculateur!V195*Calculateur!X195*VLOOKUP('Données projet'!$B$9,Paramètres!$A$1:$I$89,3,0)*0.475*44/12</f>
        <v>0.10897753686339362</v>
      </c>
      <c r="AB195" s="21">
        <f>EXP(-LN(2)/2)*AB194+(1-EXP(-LN(2)/2))/(LN(2)/2)*V195*Y195*VLOOKUP('Données projet'!$B$9,Paramètres!$A$1:$I$89,3,0)*0.475*44/12</f>
        <v>2.3692616306540066E-25</v>
      </c>
      <c r="AC195" s="22">
        <f t="shared" si="163"/>
        <v>2.1033032543413346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>
        <f>AI195*VLOOKUP('Données projet'!$B$10,Paramètres!$A$1:$I$89,3,0)*VLOOKUP('Données projet'!$B$10,Paramètres!$A$1:$I$89,5,0)</f>
        <v>0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123.44750406183283</v>
      </c>
      <c r="AO195" s="59">
        <f t="shared" si="144"/>
        <v>346.72009411328929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2.2023228781964992</v>
      </c>
      <c r="AV195" s="21">
        <f>EXP(-LN(2)/25)*AV194+(1-EXP(-LN(2)/25))/(LN(2)/25)*Calculateur!AQ195*Calculateur!AS195*VLOOKUP('Données projet'!$B$10,Paramètres!$A$1:$I$89,3,0)*0.475*44/12</f>
        <v>0.12034329224178429</v>
      </c>
      <c r="AW195" s="21">
        <f>EXP(-LN(2)/2)*AW194+(1-EXP(-LN(2)/2))/(LN(2)/2)*AQ195*AT195*VLOOKUP('Données projet'!$B$10,Paramètres!$A$1:$I$89,3,0)*0.475*44/12</f>
        <v>2.6163625369185359E-25</v>
      </c>
      <c r="AX195" s="21">
        <f t="shared" si="166"/>
        <v>2.3226661704382834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>
        <f>BD195*VLOOKUP('Données projet'!$B$11,Paramètres!$A$1:$I$89,3,0)*VLOOKUP('Données projet'!$B$11,Paramètres!$A$1:$I$89,5,0)</f>
        <v>0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123.44750406183283</v>
      </c>
      <c r="BJ195" s="59">
        <f t="shared" si="146"/>
        <v>346.72009411328929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2.2023228781964992</v>
      </c>
      <c r="BQ195" s="21">
        <f>EXP(-LN(2)/25)*BQ194+(1-EXP(-LN(2)/25))/(LN(2)/25)*Calculateur!BL195*Calculateur!BN195*VLOOKUP('Données projet'!$B$11,Paramètres!$A$1:$I$89,3,0)*0.475*44/12</f>
        <v>0.12034329224178429</v>
      </c>
      <c r="BR195" s="21">
        <f>EXP(-LN(2)/2)*BR194+(1-EXP(-LN(2)/2))/(LN(2)/2)*BL195*BO195*VLOOKUP('Données projet'!$B$11,Paramètres!$A$1:$I$89,3,0)*0.475*44/12</f>
        <v>2.6163625369185359E-25</v>
      </c>
      <c r="BS195" s="22">
        <f t="shared" si="169"/>
        <v>2.3226661704382834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7">
        <f t="shared" ref="H196:H203" si="192">(B196+E196+F196)*44/12+(C196+D196)*0.475*44/12</f>
        <v>183.33333333333334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112.82287576550925</v>
      </c>
      <c r="T196" s="59">
        <f t="shared" si="142"/>
        <v>317.78570695363294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1.9552182065767749</v>
      </c>
      <c r="AA196" s="21">
        <f>EXP(-LN(2)/25)*AA195+(1-EXP(-LN(2)/25))/(LN(2)/25)*Calculateur!V196*Calculateur!X196*VLOOKUP('Données projet'!$B$9,Paramètres!$A$1:$I$89,3,0)*0.475*44/12</f>
        <v>0.10599754038698453</v>
      </c>
      <c r="AB196" s="21">
        <f>EXP(-LN(2)/2)*AB195+(1-EXP(-LN(2)/2))/(LN(2)/2)*V196*Y196*VLOOKUP('Données projet'!$B$9,Paramètres!$A$1:$I$89,3,0)*0.475*44/12</f>
        <v>1.6753209654405454E-25</v>
      </c>
      <c r="AC196" s="22">
        <f t="shared" si="163"/>
        <v>2.0612157469637595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>
        <f>AI196*VLOOKUP('Données projet'!$B$10,Paramètres!$A$1:$I$89,3,0)*VLOOKUP('Données projet'!$B$10,Paramètres!$A$1:$I$89,5,0)</f>
        <v>0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123.44750406183283</v>
      </c>
      <c r="AO196" s="59">
        <f t="shared" si="144"/>
        <v>346.72009411328929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2.1591366698393832</v>
      </c>
      <c r="AV196" s="21">
        <f>EXP(-LN(2)/25)*AV195+(1-EXP(-LN(2)/25))/(LN(2)/25)*Calculateur!AQ196*Calculateur!AS196*VLOOKUP('Données projet'!$B$10,Paramètres!$A$1:$I$89,3,0)*0.475*44/12</f>
        <v>0.11705249858685401</v>
      </c>
      <c r="AW196" s="21">
        <f>EXP(-LN(2)/2)*AW195+(1-EXP(-LN(2)/2))/(LN(2)/2)*AQ196*AT196*VLOOKUP('Données projet'!$B$10,Paramètres!$A$1:$I$89,3,0)*0.475*44/12</f>
        <v>1.8500476918975355E-25</v>
      </c>
      <c r="AX196" s="21">
        <f t="shared" si="166"/>
        <v>2.2761891684262374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>
        <f>BD196*VLOOKUP('Données projet'!$B$11,Paramètres!$A$1:$I$89,3,0)*VLOOKUP('Données projet'!$B$11,Paramètres!$A$1:$I$89,5,0)</f>
        <v>0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123.44750406183283</v>
      </c>
      <c r="BJ196" s="59">
        <f t="shared" si="146"/>
        <v>346.72009411328929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2.1591366698393832</v>
      </c>
      <c r="BQ196" s="21">
        <f>EXP(-LN(2)/25)*BQ195+(1-EXP(-LN(2)/25))/(LN(2)/25)*Calculateur!BL196*Calculateur!BN196*VLOOKUP('Données projet'!$B$11,Paramètres!$A$1:$I$89,3,0)*0.475*44/12</f>
        <v>0.11705249858685401</v>
      </c>
      <c r="BR196" s="21">
        <f>EXP(-LN(2)/2)*BR195+(1-EXP(-LN(2)/2))/(LN(2)/2)*BL196*BO196*VLOOKUP('Données projet'!$B$11,Paramètres!$A$1:$I$89,3,0)*0.475*44/12</f>
        <v>1.8500476918975355E-25</v>
      </c>
      <c r="BS196" s="22">
        <f t="shared" si="169"/>
        <v>2.2761891684262374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7">
        <f t="shared" si="192"/>
        <v>183.33333333333334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112.82287576550925</v>
      </c>
      <c r="T197" s="59">
        <f t="shared" ref="T197:T203" si="204">$T$3</f>
        <v>317.78570695363294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1.9168775701111542</v>
      </c>
      <c r="AA197" s="21">
        <f>EXP(-LN(2)/25)*AA196+(1-EXP(-LN(2)/25))/(LN(2)/25)*Calculateur!V197*Calculateur!X197*VLOOKUP('Données projet'!$B$9,Paramètres!$A$1:$I$89,3,0)*0.475*44/12</f>
        <v>0.10309903207093404</v>
      </c>
      <c r="AB197" s="21">
        <f>EXP(-LN(2)/2)*AB196+(1-EXP(-LN(2)/2))/(LN(2)/2)*V197*Y197*VLOOKUP('Données projet'!$B$9,Paramètres!$A$1:$I$89,3,0)*0.475*44/12</f>
        <v>1.1846308153270033E-25</v>
      </c>
      <c r="AC197" s="22">
        <f t="shared" si="163"/>
        <v>2.0199766021820884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>
        <f>AI197*VLOOKUP('Données projet'!$B$10,Paramètres!$A$1:$I$89,3,0)*VLOOKUP('Données projet'!$B$10,Paramètres!$A$1:$I$89,5,0)</f>
        <v>0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123.44750406183283</v>
      </c>
      <c r="AO197" s="59">
        <f t="shared" ref="AO197:AO203" si="205">$AO$3</f>
        <v>346.72009411328929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2.1167973166871641</v>
      </c>
      <c r="AV197" s="21">
        <f>EXP(-LN(2)/25)*AV196+(1-EXP(-LN(2)/25))/(LN(2)/25)*Calculateur!AQ197*Calculateur!AS197*VLOOKUP('Données projet'!$B$10,Paramètres!$A$1:$I$89,3,0)*0.475*44/12</f>
        <v>0.11385169185747311</v>
      </c>
      <c r="AW197" s="21">
        <f>EXP(-LN(2)/2)*AW196+(1-EXP(-LN(2)/2))/(LN(2)/2)*AQ197*AT197*VLOOKUP('Données projet'!$B$10,Paramètres!$A$1:$I$89,3,0)*0.475*44/12</f>
        <v>1.3081812684592679E-25</v>
      </c>
      <c r="AX197" s="21">
        <f t="shared" si="166"/>
        <v>2.2306490085446371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>
        <f>BD197*VLOOKUP('Données projet'!$B$11,Paramètres!$A$1:$I$89,3,0)*VLOOKUP('Données projet'!$B$11,Paramètres!$A$1:$I$89,5,0)</f>
        <v>0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123.44750406183283</v>
      </c>
      <c r="BJ197" s="59">
        <f t="shared" ref="BJ197:BJ203" si="206">$BJ$3</f>
        <v>346.72009411328929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2.1167973166871641</v>
      </c>
      <c r="BQ197" s="21">
        <f>EXP(-LN(2)/25)*BQ196+(1-EXP(-LN(2)/25))/(LN(2)/25)*Calculateur!BL197*Calculateur!BN197*VLOOKUP('Données projet'!$B$11,Paramètres!$A$1:$I$89,3,0)*0.475*44/12</f>
        <v>0.11385169185747311</v>
      </c>
      <c r="BR197" s="21">
        <f>EXP(-LN(2)/2)*BR196+(1-EXP(-LN(2)/2))/(LN(2)/2)*BL197*BO197*VLOOKUP('Données projet'!$B$11,Paramètres!$A$1:$I$89,3,0)*0.475*44/12</f>
        <v>1.3081812684592679E-25</v>
      </c>
      <c r="BS197" s="22">
        <f t="shared" si="169"/>
        <v>2.2306490085446371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7">
        <f t="shared" si="192"/>
        <v>183.33333333333334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112.82287576550925</v>
      </c>
      <c r="T198" s="59">
        <f t="shared" si="204"/>
        <v>317.78570695363294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1.8792887701411454</v>
      </c>
      <c r="AA198" s="21">
        <f>EXP(-LN(2)/25)*AA197+(1-EXP(-LN(2)/25))/(LN(2)/25)*Calculateur!V198*Calculateur!X198*VLOOKUP('Données projet'!$B$9,Paramètres!$A$1:$I$89,3,0)*0.475*44/12</f>
        <v>0.10027978361721189</v>
      </c>
      <c r="AB198" s="21">
        <f>EXP(-LN(2)/2)*AB197+(1-EXP(-LN(2)/2))/(LN(2)/2)*V198*Y198*VLOOKUP('Données projet'!$B$9,Paramètres!$A$1:$I$89,3,0)*0.475*44/12</f>
        <v>8.3766048272027271E-26</v>
      </c>
      <c r="AC198" s="22">
        <f t="shared" si="163"/>
        <v>1.9795685537583572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>
        <f>AI198*VLOOKUP('Données projet'!$B$10,Paramètres!$A$1:$I$89,3,0)*VLOOKUP('Données projet'!$B$10,Paramètres!$A$1:$I$89,5,0)</f>
        <v>0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123.44750406183283</v>
      </c>
      <c r="AO198" s="59">
        <f t="shared" si="205"/>
        <v>346.72009411328929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2.0752882124258045</v>
      </c>
      <c r="AV198" s="21">
        <f>EXP(-LN(2)/25)*AV197+(1-EXP(-LN(2)/25))/(LN(2)/25)*Calculateur!AQ198*Calculateur!AS198*VLOOKUP('Données projet'!$B$10,Paramètres!$A$1:$I$89,3,0)*0.475*44/12</f>
        <v>0.11073841135643024</v>
      </c>
      <c r="AW198" s="21">
        <f>EXP(-LN(2)/2)*AW197+(1-EXP(-LN(2)/2))/(LN(2)/2)*AQ198*AT198*VLOOKUP('Données projet'!$B$10,Paramètres!$A$1:$I$89,3,0)*0.475*44/12</f>
        <v>9.2502384594876777E-26</v>
      </c>
      <c r="AX198" s="21">
        <f t="shared" si="166"/>
        <v>2.1860266237822348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>
        <f>BD198*VLOOKUP('Données projet'!$B$11,Paramètres!$A$1:$I$89,3,0)*VLOOKUP('Données projet'!$B$11,Paramètres!$A$1:$I$89,5,0)</f>
        <v>0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123.44750406183283</v>
      </c>
      <c r="BJ198" s="59">
        <f t="shared" si="206"/>
        <v>346.72009411328929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2.0752882124258045</v>
      </c>
      <c r="BQ198" s="21">
        <f>EXP(-LN(2)/25)*BQ197+(1-EXP(-LN(2)/25))/(LN(2)/25)*Calculateur!BL198*Calculateur!BN198*VLOOKUP('Données projet'!$B$11,Paramètres!$A$1:$I$89,3,0)*0.475*44/12</f>
        <v>0.11073841135643024</v>
      </c>
      <c r="BR198" s="21">
        <f>EXP(-LN(2)/2)*BR197+(1-EXP(-LN(2)/2))/(LN(2)/2)*BL198*BO198*VLOOKUP('Données projet'!$B$11,Paramètres!$A$1:$I$89,3,0)*0.475*44/12</f>
        <v>9.2502384594876777E-26</v>
      </c>
      <c r="BS198" s="22">
        <f t="shared" si="169"/>
        <v>2.1860266237822348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7">
        <f t="shared" si="192"/>
        <v>183.33333333333334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112.82287576550925</v>
      </c>
      <c r="T199" s="59">
        <f t="shared" si="204"/>
        <v>317.78570695363294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1.8424370636116443</v>
      </c>
      <c r="AA199" s="21">
        <f>EXP(-LN(2)/25)*AA198+(1-EXP(-LN(2)/25))/(LN(2)/25)*Calculateur!V199*Calculateur!X199*VLOOKUP('Données projet'!$B$9,Paramètres!$A$1:$I$89,3,0)*0.475*44/12</f>
        <v>9.753762766071461E-2</v>
      </c>
      <c r="AB199" s="21">
        <f>EXP(-LN(2)/2)*AB198+(1-EXP(-LN(2)/2))/(LN(2)/2)*V199*Y199*VLOOKUP('Données projet'!$B$9,Paramètres!$A$1:$I$89,3,0)*0.475*44/12</f>
        <v>5.9231540766350165E-26</v>
      </c>
      <c r="AC199" s="22">
        <f t="shared" si="163"/>
        <v>1.9399746912723588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>
        <f>AI199*VLOOKUP('Données projet'!$B$10,Paramètres!$A$1:$I$89,3,0)*VLOOKUP('Données projet'!$B$10,Paramètres!$A$1:$I$89,5,0)</f>
        <v>0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123.44750406183283</v>
      </c>
      <c r="AO199" s="59">
        <f t="shared" si="205"/>
        <v>346.72009411328929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2.0345930763809568</v>
      </c>
      <c r="AV199" s="21">
        <f>EXP(-LN(2)/25)*AV198+(1-EXP(-LN(2)/25))/(LN(2)/25)*Calculateur!AQ199*Calculateur!AS199*VLOOKUP('Données projet'!$B$10,Paramètres!$A$1:$I$89,3,0)*0.475*44/12</f>
        <v>0.1077102636744087</v>
      </c>
      <c r="AW199" s="21">
        <f>EXP(-LN(2)/2)*AW198+(1-EXP(-LN(2)/2))/(LN(2)/2)*AQ199*AT199*VLOOKUP('Données projet'!$B$10,Paramètres!$A$1:$I$89,3,0)*0.475*44/12</f>
        <v>6.5409063422963396E-26</v>
      </c>
      <c r="AX199" s="21">
        <f t="shared" si="166"/>
        <v>2.1423033400553653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>
        <f>BD199*VLOOKUP('Données projet'!$B$11,Paramètres!$A$1:$I$89,3,0)*VLOOKUP('Données projet'!$B$11,Paramètres!$A$1:$I$89,5,0)</f>
        <v>0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123.44750406183283</v>
      </c>
      <c r="BJ199" s="59">
        <f t="shared" si="206"/>
        <v>346.72009411328929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2.0345930763809568</v>
      </c>
      <c r="BQ199" s="21">
        <f>EXP(-LN(2)/25)*BQ198+(1-EXP(-LN(2)/25))/(LN(2)/25)*Calculateur!BL199*Calculateur!BN199*VLOOKUP('Données projet'!$B$11,Paramètres!$A$1:$I$89,3,0)*0.475*44/12</f>
        <v>0.1077102636744087</v>
      </c>
      <c r="BR199" s="21">
        <f>EXP(-LN(2)/2)*BR198+(1-EXP(-LN(2)/2))/(LN(2)/2)*BL199*BO199*VLOOKUP('Données projet'!$B$11,Paramètres!$A$1:$I$89,3,0)*0.475*44/12</f>
        <v>6.5409063422963396E-26</v>
      </c>
      <c r="BS199" s="22">
        <f t="shared" si="169"/>
        <v>2.1423033400553653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7">
        <f t="shared" si="192"/>
        <v>183.33333333333334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112.82287576550925</v>
      </c>
      <c r="T200" s="59">
        <f t="shared" si="204"/>
        <v>317.78570695363294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1.8063079965698652</v>
      </c>
      <c r="AA200" s="21">
        <f>EXP(-LN(2)/25)*AA199+(1-EXP(-LN(2)/25))/(LN(2)/25)*Calculateur!V200*Calculateur!X200*VLOOKUP('Données projet'!$B$9,Paramètres!$A$1:$I$89,3,0)*0.475*44/12</f>
        <v>9.4870456103051462E-2</v>
      </c>
      <c r="AB200" s="21">
        <f>EXP(-LN(2)/2)*AB199+(1-EXP(-LN(2)/2))/(LN(2)/2)*V200*Y200*VLOOKUP('Données projet'!$B$9,Paramètres!$A$1:$I$89,3,0)*0.475*44/12</f>
        <v>4.1883024136013636E-26</v>
      </c>
      <c r="AC200" s="22">
        <f t="shared" si="163"/>
        <v>1.9011784526729167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>
        <f>AI200*VLOOKUP('Données projet'!$B$10,Paramètres!$A$1:$I$89,3,0)*VLOOKUP('Données projet'!$B$10,Paramètres!$A$1:$I$89,5,0)</f>
        <v>0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123.44750406183283</v>
      </c>
      <c r="AO200" s="59">
        <f t="shared" si="205"/>
        <v>346.72009411328929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1.9946959471323662</v>
      </c>
      <c r="AV200" s="21">
        <f>EXP(-LN(2)/25)*AV199+(1-EXP(-LN(2)/25))/(LN(2)/25)*Calculateur!AQ200*Calculateur!AS200*VLOOKUP('Données projet'!$B$10,Paramètres!$A$1:$I$89,3,0)*0.475*44/12</f>
        <v>0.1047649208499954</v>
      </c>
      <c r="AW200" s="21">
        <f>EXP(-LN(2)/2)*AW199+(1-EXP(-LN(2)/2))/(LN(2)/2)*AQ200*AT200*VLOOKUP('Données projet'!$B$10,Paramètres!$A$1:$I$89,3,0)*0.475*44/12</f>
        <v>4.6251192297438388E-26</v>
      </c>
      <c r="AX200" s="21">
        <f t="shared" si="166"/>
        <v>2.0994608679823616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>
        <f>BD200*VLOOKUP('Données projet'!$B$11,Paramètres!$A$1:$I$89,3,0)*VLOOKUP('Données projet'!$B$11,Paramètres!$A$1:$I$89,5,0)</f>
        <v>0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123.44750406183283</v>
      </c>
      <c r="BJ200" s="59">
        <f t="shared" si="206"/>
        <v>346.72009411328929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1.9946959471323662</v>
      </c>
      <c r="BQ200" s="21">
        <f>EXP(-LN(2)/25)*BQ199+(1-EXP(-LN(2)/25))/(LN(2)/25)*Calculateur!BL200*Calculateur!BN200*VLOOKUP('Données projet'!$B$11,Paramètres!$A$1:$I$89,3,0)*0.475*44/12</f>
        <v>0.1047649208499954</v>
      </c>
      <c r="BR200" s="21">
        <f>EXP(-LN(2)/2)*BR199+(1-EXP(-LN(2)/2))/(LN(2)/2)*BL200*BO200*VLOOKUP('Données projet'!$B$11,Paramètres!$A$1:$I$89,3,0)*0.475*44/12</f>
        <v>4.6251192297438388E-26</v>
      </c>
      <c r="BS200" s="22">
        <f t="shared" si="169"/>
        <v>2.0994608679823616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7">
        <f t="shared" si="192"/>
        <v>183.33333333333334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112.82287576550925</v>
      </c>
      <c r="T201" s="59">
        <f t="shared" si="204"/>
        <v>317.78570695363294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1.7708873984962203</v>
      </c>
      <c r="AA201" s="21">
        <f>EXP(-LN(2)/25)*AA200+(1-EXP(-LN(2)/25))/(LN(2)/25)*Calculateur!V201*Calculateur!X201*VLOOKUP('Données projet'!$B$9,Paramètres!$A$1:$I$89,3,0)*0.475*44/12</f>
        <v>9.2276218491893061E-2</v>
      </c>
      <c r="AB201" s="21">
        <f>EXP(-LN(2)/2)*AB200+(1-EXP(-LN(2)/2))/(LN(2)/2)*V201*Y201*VLOOKUP('Données projet'!$B$9,Paramètres!$A$1:$I$89,3,0)*0.475*44/12</f>
        <v>2.9615770383175082E-26</v>
      </c>
      <c r="AC201" s="22">
        <f t="shared" si="163"/>
        <v>1.8631636169881134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>
        <f>AI201*VLOOKUP('Données projet'!$B$10,Paramètres!$A$1:$I$89,3,0)*VLOOKUP('Données projet'!$B$10,Paramètres!$A$1:$I$89,5,0)</f>
        <v>0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123.44750406183283</v>
      </c>
      <c r="AO201" s="59">
        <f t="shared" si="205"/>
        <v>346.72009411328929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1.9555811762534947</v>
      </c>
      <c r="AV201" s="21">
        <f>EXP(-LN(2)/25)*AV200+(1-EXP(-LN(2)/25))/(LN(2)/25)*Calculateur!AQ201*Calculateur!AS201*VLOOKUP('Données projet'!$B$10,Paramètres!$A$1:$I$89,3,0)*0.475*44/12</f>
        <v>0.10190011858000454</v>
      </c>
      <c r="AW201" s="21">
        <f>EXP(-LN(2)/2)*AW200+(1-EXP(-LN(2)/2))/(LN(2)/2)*AQ201*AT201*VLOOKUP('Données projet'!$B$10,Paramètres!$A$1:$I$89,3,0)*0.475*44/12</f>
        <v>3.2704531711481698E-26</v>
      </c>
      <c r="AX201" s="21">
        <f t="shared" si="166"/>
        <v>2.0574812948334991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>
        <f>BD201*VLOOKUP('Données projet'!$B$11,Paramètres!$A$1:$I$89,3,0)*VLOOKUP('Données projet'!$B$11,Paramètres!$A$1:$I$89,5,0)</f>
        <v>0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123.44750406183283</v>
      </c>
      <c r="BJ201" s="59">
        <f t="shared" si="206"/>
        <v>346.72009411328929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1.9555811762534947</v>
      </c>
      <c r="BQ201" s="21">
        <f>EXP(-LN(2)/25)*BQ200+(1-EXP(-LN(2)/25))/(LN(2)/25)*Calculateur!BL201*Calculateur!BN201*VLOOKUP('Données projet'!$B$11,Paramètres!$A$1:$I$89,3,0)*0.475*44/12</f>
        <v>0.10190011858000454</v>
      </c>
      <c r="BR201" s="21">
        <f>EXP(-LN(2)/2)*BR200+(1-EXP(-LN(2)/2))/(LN(2)/2)*BL201*BO201*VLOOKUP('Données projet'!$B$11,Paramètres!$A$1:$I$89,3,0)*0.475*44/12</f>
        <v>3.2704531711481698E-26</v>
      </c>
      <c r="BS201" s="22">
        <f t="shared" si="169"/>
        <v>2.0574812948334991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7">
        <f t="shared" si="192"/>
        <v>183.33333333333334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112.82287576550925</v>
      </c>
      <c r="T202" s="59">
        <f t="shared" si="204"/>
        <v>317.78570695363294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1.7361613767463682</v>
      </c>
      <c r="AA202" s="21">
        <f>EXP(-LN(2)/25)*AA201+(1-EXP(-LN(2)/25))/(LN(2)/25)*Calculateur!V202*Calculateur!X202*VLOOKUP('Données projet'!$B$9,Paramètres!$A$1:$I$89,3,0)*0.475*44/12</f>
        <v>8.9752920444636813E-2</v>
      </c>
      <c r="AB202" s="21">
        <f>EXP(-LN(2)/2)*AB201+(1-EXP(-LN(2)/2))/(LN(2)/2)*V202*Y202*VLOOKUP('Données projet'!$B$9,Paramètres!$A$1:$I$89,3,0)*0.475*44/12</f>
        <v>2.0941512068006818E-26</v>
      </c>
      <c r="AC202" s="22">
        <f t="shared" si="163"/>
        <v>1.825914297191005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>
        <f>AI202*VLOOKUP('Données projet'!$B$10,Paramètres!$A$1:$I$89,3,0)*VLOOKUP('Données projet'!$B$10,Paramètres!$A$1:$I$89,5,0)</f>
        <v>0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123.44750406183283</v>
      </c>
      <c r="AO202" s="59">
        <f t="shared" si="205"/>
        <v>346.72009411328929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1.9172334221739034</v>
      </c>
      <c r="AV202" s="21">
        <f>EXP(-LN(2)/25)*AV201+(1-EXP(-LN(2)/25))/(LN(2)/25)*Calculateur!AQ202*Calculateur!AS202*VLOOKUP('Données projet'!$B$10,Paramètres!$A$1:$I$89,3,0)*0.475*44/12</f>
        <v>9.9113654478739974E-2</v>
      </c>
      <c r="AW202" s="21">
        <f>EXP(-LN(2)/2)*AW201+(1-EXP(-LN(2)/2))/(LN(2)/2)*AQ202*AT202*VLOOKUP('Données projet'!$B$10,Paramètres!$A$1:$I$89,3,0)*0.475*44/12</f>
        <v>2.3125596148719194E-26</v>
      </c>
      <c r="AX202" s="21">
        <f t="shared" si="166"/>
        <v>2.0163470766526435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>
        <f>BD202*VLOOKUP('Données projet'!$B$11,Paramètres!$A$1:$I$89,3,0)*VLOOKUP('Données projet'!$B$11,Paramètres!$A$1:$I$89,5,0)</f>
        <v>0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123.44750406183283</v>
      </c>
      <c r="BJ202" s="59">
        <f t="shared" si="206"/>
        <v>346.72009411328929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1.9172334221739034</v>
      </c>
      <c r="BQ202" s="21">
        <f>EXP(-LN(2)/25)*BQ201+(1-EXP(-LN(2)/25))/(LN(2)/25)*Calculateur!BL202*Calculateur!BN202*VLOOKUP('Données projet'!$B$11,Paramètres!$A$1:$I$89,3,0)*0.475*44/12</f>
        <v>9.9113654478739974E-2</v>
      </c>
      <c r="BR202" s="21">
        <f>EXP(-LN(2)/2)*BR201+(1-EXP(-LN(2)/2))/(LN(2)/2)*BL202*BO202*VLOOKUP('Données projet'!$B$11,Paramètres!$A$1:$I$89,3,0)*0.475*44/12</f>
        <v>2.3125596148719194E-26</v>
      </c>
      <c r="BS202" s="22">
        <f t="shared" si="169"/>
        <v>2.0163470766526435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7">
        <f t="shared" si="192"/>
        <v>183.33333333333334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112.82287576550925</v>
      </c>
      <c r="T203" s="59">
        <f t="shared" si="204"/>
        <v>317.78570695363294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1.7021163111022486</v>
      </c>
      <c r="AA203" s="21">
        <f>EXP(-LN(2)/25)*AA202+(1-EXP(-LN(2)/25))/(LN(2)/25)*Calculateur!V203*Calculateur!X203*VLOOKUP('Données projet'!$B$9,Paramètres!$A$1:$I$89,3,0)*0.475*44/12</f>
        <v>8.7298622115177263E-2</v>
      </c>
      <c r="AB203" s="21">
        <f>EXP(-LN(2)/2)*AB202+(1-EXP(-LN(2)/2))/(LN(2)/2)*V203*Y203*VLOOKUP('Données projet'!$B$9,Paramètres!$A$1:$I$89,3,0)*0.475*44/12</f>
        <v>1.4807885191587541E-26</v>
      </c>
      <c r="AC203" s="22">
        <f t="shared" si="163"/>
        <v>1.7894149332174258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>
        <f>AI203*VLOOKUP('Données projet'!$B$10,Paramètres!$A$1:$I$89,3,0)*VLOOKUP('Données projet'!$B$10,Paramètres!$A$1:$I$89,5,0)</f>
        <v>0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123.44750406183283</v>
      </c>
      <c r="AO203" s="59">
        <f t="shared" si="205"/>
        <v>346.72009411328929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1.8796376441619922</v>
      </c>
      <c r="AV203" s="21">
        <f>EXP(-LN(2)/25)*AV202+(1-EXP(-LN(2)/25))/(LN(2)/25)*Calculateur!AQ203*Calculateur!AS203*VLOOKUP('Données projet'!$B$10,Paramètres!$A$1:$I$89,3,0)*0.475*44/12</f>
        <v>9.6403386384858264E-2</v>
      </c>
      <c r="AW203" s="21">
        <f>EXP(-LN(2)/2)*AW202+(1-EXP(-LN(2)/2))/(LN(2)/2)*AQ203*AT203*VLOOKUP('Données projet'!$B$10,Paramètres!$A$1:$I$89,3,0)*0.475*44/12</f>
        <v>1.6352265855740849E-26</v>
      </c>
      <c r="AX203" s="21">
        <f t="shared" si="166"/>
        <v>1.9760410305468505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>
        <f>BD203*VLOOKUP('Données projet'!$B$11,Paramètres!$A$1:$I$89,3,0)*VLOOKUP('Données projet'!$B$11,Paramètres!$A$1:$I$89,5,0)</f>
        <v>0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123.44750406183283</v>
      </c>
      <c r="BJ203" s="59">
        <f t="shared" si="206"/>
        <v>346.72009411328929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1.8796376441619922</v>
      </c>
      <c r="BQ203" s="21">
        <f>EXP(-LN(2)/25)*BQ202+(1-EXP(-LN(2)/25))/(LN(2)/25)*Calculateur!BL203*Calculateur!BN203*VLOOKUP('Données projet'!$B$11,Paramètres!$A$1:$I$89,3,0)*0.475*44/12</f>
        <v>9.6403386384858264E-2</v>
      </c>
      <c r="BR203" s="21">
        <f>EXP(-LN(2)/2)*BR202+(1-EXP(-LN(2)/2))/(LN(2)/2)*BL203*BO203*VLOOKUP('Données projet'!$B$11,Paramètres!$A$1:$I$89,3,0)*0.475*44/12</f>
        <v>1.6352265855740849E-26</v>
      </c>
      <c r="BS203" s="22">
        <f t="shared" si="169"/>
        <v>1.9760410305468505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0.42937043954955023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0.42937043954955023</v>
      </c>
      <c r="BA205" s="82">
        <f>EXP(LN('Données projet'!B88)/'Données projet'!A88)</f>
        <v>0.42937043954955023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5" zoomScale="90" zoomScaleNormal="90" workbookViewId="0">
      <selection activeCell="G16" sqref="G1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Peuplier Koster</v>
      </c>
      <c r="B6" s="146">
        <f>'Données projet'!D9</f>
        <v>4.1625000000000005</v>
      </c>
      <c r="C6" s="147">
        <f ca="1">IF(OR('Données projet'!B9="",'Données projet'!C9="",'Données projet'!C9=0%),0,Calculateur!S3)</f>
        <v>112.82287576550925</v>
      </c>
      <c r="D6" s="147">
        <f>IF(OR('Données projet'!B9="",'Données projet'!C9="",'Données projet'!C9=0%),0,Calculateur!T3)</f>
        <v>317.78570695363294</v>
      </c>
      <c r="E6" s="147">
        <f ca="1">MIN(C6,D6)</f>
        <v>112.82287576550925</v>
      </c>
      <c r="F6" s="147">
        <f ca="1">E6*B6</f>
        <v>469.62522037393234</v>
      </c>
      <c r="G6" s="147">
        <f ca="1">F6*(100%-'Données projet'!$C$24)*(100%-'Données projet'!$C$25)*(100%-'Données projet'!$C$26)*(100%-'Données projet'!$C$27)</f>
        <v>401.52956341971213</v>
      </c>
      <c r="H6" s="148">
        <f>IF(OR('Données projet'!B9="",'Données projet'!C9="",'Données projet'!C9=0%),0,AVERAGE(Calculateur!$AC$3:$AC$33)*B6)</f>
        <v>105.39368201378731</v>
      </c>
      <c r="I6" s="149">
        <f>H6*(100%-'Données projet'!$C$24)*(100%-'Données projet'!$C$25)*(100%-'Données projet'!$C$26)*(100%-'Données projet'!$C$27)</f>
        <v>90.111598121788148</v>
      </c>
      <c r="J6" s="150">
        <f>IF(OR('Données projet'!B9="",'Données projet'!C9="",'Données projet'!C9=0%),0,SUM(Calculateur!$V$3:$V$33)*VLOOKUP('Données projet'!$B$9,Paramètres!$A$1:$I$89,9,0)*B6)</f>
        <v>1091.9339495192305</v>
      </c>
      <c r="K6" s="151">
        <f>J6*(100%-'Données projet'!$C$24)*(100%-'Données projet'!$C$25)*(100%-'Données projet'!$C$26)*(100%-'Données projet'!$C$27)</f>
        <v>933.60352683894212</v>
      </c>
      <c r="L6" s="152">
        <f ca="1">G6+I6+K6</f>
        <v>1425.2446883804423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Peuplier Soligo</v>
      </c>
      <c r="B7" s="154">
        <f>'Données projet'!D10</f>
        <v>4.1625000000000005</v>
      </c>
      <c r="C7" s="147">
        <f ca="1">IF(OR('Données projet'!B10="",'Données projet'!C10="",'Données projet'!C10=0%),0,Calculateur!AN3)</f>
        <v>123.44750406183283</v>
      </c>
      <c r="D7" s="147">
        <f>IF(OR('Données projet'!B10="",'Données projet'!C10="",'Données projet'!C10=0%),0,Calculateur!AO3)</f>
        <v>346.72009411328929</v>
      </c>
      <c r="E7" s="147">
        <f t="shared" ref="E7:E15" ca="1" si="0">MIN(C7,D7)</f>
        <v>123.44750406183283</v>
      </c>
      <c r="F7" s="147">
        <f t="shared" ref="F7:F15" ca="1" si="1">E7*B7</f>
        <v>513.85023565737924</v>
      </c>
      <c r="G7" s="147">
        <f ca="1">F7*(100%-'Données projet'!$C$24)*(100%-'Données projet'!$C$25)*(100%-'Données projet'!$C$26)*(100%-'Données projet'!$C$27)</f>
        <v>439.34195148705925</v>
      </c>
      <c r="H7" s="155">
        <f>IF(OR('Données projet'!B10="",'Données projet'!C10="",'Données projet'!C10=0%),0,AVERAGE(Calculateur!$AX$3:$AX$33)*B7)</f>
        <v>116.3856611195197</v>
      </c>
      <c r="I7" s="149">
        <f>H7*(100%-'Données projet'!$C$24)*(100%-'Données projet'!$C$25)*(100%-'Données projet'!$C$26)*(100%-'Données projet'!$C$27)</f>
        <v>99.509740257189335</v>
      </c>
      <c r="J7" s="150">
        <f>IF(OR('Données projet'!B10="",'Données projet'!C10="",'Données projet'!C10=0%),0,SUM(Calculateur!$AQ$3:$AQ$33)*VLOOKUP('Données projet'!$B$10,Paramètres!$A$1:$I$89,9,0)*B7)</f>
        <v>1091.9339495192305</v>
      </c>
      <c r="K7" s="151">
        <f>J7*(100%-'Données projet'!$C$24)*(100%-'Données projet'!$C$25)*(100%-'Données projet'!$C$26)*(100%-'Données projet'!$C$27)</f>
        <v>933.60352683894212</v>
      </c>
      <c r="L7" s="152">
        <f t="shared" ref="L7:L15" ca="1" si="2">G7+I7+K7</f>
        <v>1472.4552185831908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Peuplier Soligo</v>
      </c>
      <c r="B8" s="154">
        <f>'Données projet'!D11</f>
        <v>4.1625000000000005</v>
      </c>
      <c r="C8" s="147">
        <f ca="1">IF(OR('Données projet'!B11="",'Données projet'!C11="",'Données projet'!C11=0%),0,Calculateur!BI3)</f>
        <v>123.44750406183283</v>
      </c>
      <c r="D8" s="147">
        <f>IF(OR('Données projet'!B11="",'Données projet'!C11="",'Données projet'!C11=0%),0,Calculateur!BJ3)</f>
        <v>346.72009411328929</v>
      </c>
      <c r="E8" s="147">
        <f t="shared" ca="1" si="0"/>
        <v>123.44750406183283</v>
      </c>
      <c r="F8" s="147">
        <f t="shared" ca="1" si="1"/>
        <v>513.85023565737924</v>
      </c>
      <c r="G8" s="147">
        <f ca="1">F8*(100%-'Données projet'!$C$24)*(100%-'Données projet'!$C$25)*(100%-'Données projet'!$C$26)*(100%-'Données projet'!$C$27)</f>
        <v>439.34195148705925</v>
      </c>
      <c r="H8" s="155">
        <f>IF(OR('Données projet'!B11="",'Données projet'!C11="",'Données projet'!C11=0%),0,AVERAGE(Calculateur!$BS$3:$BS$33)*B8)</f>
        <v>116.3856611195197</v>
      </c>
      <c r="I8" s="149">
        <f>H8*(100%-'Données projet'!$C$24)*(100%-'Données projet'!$C$25)*(100%-'Données projet'!$C$26)*(100%-'Données projet'!$C$27)</f>
        <v>99.509740257189335</v>
      </c>
      <c r="J8" s="150">
        <f>IF(OR('Données projet'!B11="",'Données projet'!C11="",'Données projet'!C11=0%),0,SUM(Calculateur!$BL$3:$BL$33)*VLOOKUP('Données projet'!$B$11,Paramètres!$A$1:$I$89,9,0)*B8)</f>
        <v>1091.9339495192305</v>
      </c>
      <c r="K8" s="151">
        <f>J8*(100%-'Données projet'!$C$24)*(100%-'Données projet'!$C$25)*(100%-'Données projet'!$C$26)*(100%-'Données projet'!$C$27)</f>
        <v>933.60352683894212</v>
      </c>
      <c r="L8" s="152">
        <f t="shared" ca="1" si="2"/>
        <v>1472.4552185831908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1497.3256916886908</v>
      </c>
      <c r="G16" s="166">
        <f t="shared" ca="1" si="3"/>
        <v>1280.2134663938307</v>
      </c>
      <c r="H16" s="167">
        <f t="shared" si="3"/>
        <v>338.16500425282669</v>
      </c>
      <c r="I16" s="167">
        <f t="shared" si="3"/>
        <v>289.13107863616682</v>
      </c>
      <c r="J16" s="168">
        <f t="shared" si="3"/>
        <v>3275.8018485576913</v>
      </c>
      <c r="K16" s="168">
        <f t="shared" si="3"/>
        <v>2800.8105805168261</v>
      </c>
      <c r="L16" s="169">
        <f t="shared" ca="1" si="3"/>
        <v>4370.1551255468239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Peuplier Koster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Peuplier Soligo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Peuplier Soligo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A93" zoomScale="85" zoomScaleNormal="85" workbookViewId="0">
      <selection activeCell="C104" sqref="C104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Peuplier Koster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2049.877347730418</v>
      </c>
      <c r="U10" s="178">
        <f>'Données projet'!D9</f>
        <v>4.1625000000000005</v>
      </c>
      <c r="V10" s="177">
        <f>U10*T10</f>
        <v>8532.6144599278668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Peuplier Soligo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2049.877347730418</v>
      </c>
      <c r="U11" s="178">
        <f>'Données projet'!D10</f>
        <v>4.1625000000000005</v>
      </c>
      <c r="V11" s="177">
        <f t="shared" ref="V11" si="0">U11*T11</f>
        <v>8532.6144599278668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Peuplier Soligo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2049.877347730418</v>
      </c>
      <c r="U12" s="178">
        <f>'Données projet'!D11</f>
        <v>4.1625000000000005</v>
      </c>
      <c r="V12" s="177">
        <f t="shared" ref="V12:V19" si="1">U12*T12</f>
        <v>8532.6144599278668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Peuplier Koster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1</v>
      </c>
      <c r="I20" s="191">
        <v>5344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2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/>
      <c r="I23" s="191"/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-38325.601596292967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3</v>
      </c>
      <c r="B24" s="181">
        <f>'Données projet'!D37</f>
        <v>0</v>
      </c>
      <c r="C24" s="193"/>
      <c r="D24" s="182">
        <f t="shared" ref="D24:D42" si="2">B24*C24</f>
        <v>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350198.41128634283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4</v>
      </c>
      <c r="B25" s="181">
        <f>'Données projet'!D38</f>
        <v>0</v>
      </c>
      <c r="C25" s="193"/>
      <c r="D25" s="182">
        <f t="shared" si="2"/>
        <v>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2000</v>
      </c>
      <c r="Q25" s="234"/>
      <c r="R25" s="23"/>
      <c r="S25" s="186" t="s">
        <v>266</v>
      </c>
      <c r="T25" s="303">
        <f ca="1">T23-T24</f>
        <v>-388524.01288263581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5</v>
      </c>
      <c r="B26" s="181">
        <f>'Données projet'!D39</f>
        <v>0</v>
      </c>
      <c r="C26" s="193"/>
      <c r="D26" s="182">
        <f t="shared" si="2"/>
        <v>0</v>
      </c>
      <c r="E26" s="193"/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6</v>
      </c>
      <c r="B27" s="181">
        <f>'Données projet'!D40</f>
        <v>0</v>
      </c>
      <c r="C27" s="193"/>
      <c r="D27" s="182">
        <f t="shared" si="2"/>
        <v>0</v>
      </c>
      <c r="E27" s="193"/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7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8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9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28015.872902907427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10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11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12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2000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13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1913.8755980861245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14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1831.4599024747606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15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1752.5932081098188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16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1677.1226871864299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17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1604.9020930013683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18</v>
      </c>
      <c r="B39" s="181">
        <f>'Données projet'!D52</f>
        <v>0</v>
      </c>
      <c r="C39" s="193"/>
      <c r="D39" s="182">
        <f>B39*C39</f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1535.7914765563337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19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1469.6569153649125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20</v>
      </c>
      <c r="B41" s="181">
        <f>'Données projet'!D54</f>
        <v>254.68589743589735</v>
      </c>
      <c r="C41" s="193">
        <v>20</v>
      </c>
      <c r="D41" s="182">
        <f>B41*C41</f>
        <v>5093.7179487179474</v>
      </c>
      <c r="E41" s="193">
        <v>150</v>
      </c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1406.3702539377157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1345.8088554427902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1287.8553640600865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1232.3974775694608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Peuplier Soligo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1179.3277297315417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1128.5432820397527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1079.945724439955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1033.4408846315359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988.93864558041753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946.35277089035162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905.60073769411656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866.60357674078148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829.2857193691691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2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 t="str">
        <f>IF(O53+1&lt;=MIN('Données projet'!$E$9:$E$18),O53+1,"STOP")</f>
        <v>STOP</v>
      </c>
      <c r="P54" s="185" t="e">
        <f t="shared" si="3"/>
        <v>#VALUE!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3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 t="e">
        <f>IF(O54+1&lt;=MIN('Données projet'!$E$9:$E$18),O54+1,"STOP")</f>
        <v>#VALUE!</v>
      </c>
      <c r="P55" s="185" t="e">
        <f t="shared" si="3"/>
        <v>#VALUE!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4</v>
      </c>
      <c r="B56" s="181">
        <f>'Données projet'!D64</f>
        <v>0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 t="e">
        <f>IF(O55+1&lt;=MIN('Données projet'!$E$9:$E$18),O55+1,"STOP")</f>
        <v>#VALUE!</v>
      </c>
      <c r="P56" s="185" t="e">
        <f t="shared" si="3"/>
        <v>#VALUE!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5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 t="e">
        <f>IF(O56+1&lt;=MIN('Données projet'!$E$9:$E$18),O56+1,"STOP")</f>
        <v>#VALUE!</v>
      </c>
      <c r="P57" s="185" t="e">
        <f t="shared" si="3"/>
        <v>#VALUE!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6</v>
      </c>
      <c r="B58" s="181">
        <f>'Données projet'!D66</f>
        <v>0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 t="e">
        <f>IF(O57+1&lt;=MIN('Données projet'!$E$9:$E$18),O57+1,"STOP")</f>
        <v>#VALUE!</v>
      </c>
      <c r="P58" s="185" t="e">
        <f t="shared" si="3"/>
        <v>#VALUE!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7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 t="e">
        <f>IF(O58+1&lt;=MIN('Données projet'!$E$9:$E$18),O58+1,"STOP")</f>
        <v>#VALUE!</v>
      </c>
      <c r="P59" s="185" t="e">
        <f t="shared" si="3"/>
        <v>#VALUE!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8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 t="e">
        <f>IF(O59+1&lt;=MIN('Données projet'!$E$9:$E$18),O59+1,"STOP")</f>
        <v>#VALUE!</v>
      </c>
      <c r="P60" s="185" t="e">
        <f t="shared" si="3"/>
        <v>#VALUE!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9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 t="e">
        <f>IF(O60+1&lt;=MIN('Données projet'!$E$9:$E$18),O60+1,"STOP")</f>
        <v>#VALUE!</v>
      </c>
      <c r="P61" s="185" t="e">
        <f t="shared" si="3"/>
        <v>#VALUE!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10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 t="e">
        <f>IF(O61+1&lt;=MIN('Données projet'!$E$9:$E$18),O61+1,"STOP")</f>
        <v>#VALUE!</v>
      </c>
      <c r="P62" s="185" t="e">
        <f t="shared" si="3"/>
        <v>#VALUE!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11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 t="e">
        <f>IF(O62+1&lt;=MIN('Données projet'!$E$9:$E$18),O62+1,"STOP")</f>
        <v>#VALUE!</v>
      </c>
      <c r="P63" s="185" t="e">
        <f t="shared" si="3"/>
        <v>#VALUE!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12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 t="e">
        <f>IF(O63+1&lt;=MIN('Données projet'!$E$9:$E$18),O63+1,"STOP")</f>
        <v>#VALUE!</v>
      </c>
      <c r="P64" s="185" t="e">
        <f t="shared" si="3"/>
        <v>#VALUE!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13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 t="e">
        <f>IF(O64+1&lt;=MIN('Données projet'!$E$9:$E$18),O64+1,"STOP")</f>
        <v>#VALUE!</v>
      </c>
      <c r="P65" s="185" t="e">
        <f t="shared" ref="P65:P96" si="5">$P$25/(1+$M$4)^O65</f>
        <v>#VALUE!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14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 t="e">
        <f>IF(O65+1&lt;=MIN('Données projet'!$E$9:$E$18),O65+1,"STOP")</f>
        <v>#VALUE!</v>
      </c>
      <c r="P66" s="185" t="e">
        <f t="shared" si="5"/>
        <v>#VALUE!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15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 t="e">
        <f>IF(O66+1&lt;=MIN('Données projet'!$E$9:$E$18),O66+1,"STOP")</f>
        <v>#VALUE!</v>
      </c>
      <c r="P67" s="185" t="e">
        <f t="shared" si="5"/>
        <v>#VALUE!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16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 t="e">
        <f>IF(O67+1&lt;=MIN('Données projet'!$E$9:$E$18),O67+1,"STOP")</f>
        <v>#VALUE!</v>
      </c>
      <c r="P68" s="185" t="e">
        <f t="shared" si="5"/>
        <v>#VALUE!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17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 t="e">
        <f>IF(O68+1&lt;=MIN('Données projet'!$E$9:$E$18),O68+1,"STOP")</f>
        <v>#VALUE!</v>
      </c>
      <c r="P69" s="185" t="e">
        <f t="shared" si="5"/>
        <v>#VALUE!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18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19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20</v>
      </c>
      <c r="B72" s="181">
        <f>'Données projet'!D80</f>
        <v>254.68589743589735</v>
      </c>
      <c r="C72" s="191">
        <v>20</v>
      </c>
      <c r="D72" s="179">
        <f t="shared" si="4"/>
        <v>5093.7179487179474</v>
      </c>
      <c r="E72" s="193">
        <v>150</v>
      </c>
      <c r="F72" s="232"/>
      <c r="G72" s="206"/>
      <c r="H72" s="190"/>
      <c r="I72" s="191"/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Peuplier Soligo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2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3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4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5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6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7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8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9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10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11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12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13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14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15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16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17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18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19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20</v>
      </c>
      <c r="B103" s="181">
        <f>'Données projet'!D106</f>
        <v>254.68589743589735</v>
      </c>
      <c r="C103" s="191">
        <v>20</v>
      </c>
      <c r="D103" s="179">
        <f t="shared" si="6"/>
        <v>5093.7179487179474</v>
      </c>
      <c r="E103" s="193">
        <v>150</v>
      </c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7" ma:contentTypeDescription="Create a new document." ma:contentTypeScope="" ma:versionID="b9006c8d36dc89b774cd2e169e3c0d6b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b21b1cac5a80b710dc0a199b0dfd872d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Props1.xml><?xml version="1.0" encoding="utf-8"?>
<ds:datastoreItem xmlns:ds="http://schemas.openxmlformats.org/officeDocument/2006/customXml" ds:itemID="{14070CED-71B4-4068-B94D-ADE620441A8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0D8EDB-BFBA-44AF-AC81-29B2CDCB62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42faf-fdf8-4591-b699-ecf8e70a4961"/>
    <ds:schemaRef ds:uri="eafaa6b1-975f-439f-868f-fccf4e9d88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4A7FF3-047F-4289-BCE3-B65BB7BA4403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Nesrine Ahmed Tounsi</cp:lastModifiedBy>
  <dcterms:created xsi:type="dcterms:W3CDTF">2021-02-01T08:22:39Z</dcterms:created>
  <dcterms:modified xsi:type="dcterms:W3CDTF">2025-09-10T09:36:40Z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0x010100B17917BD1DD3FD43A53AD9CE171726C7</vt:lpwstr>
  </property>
  <property fmtid="{D5CDD505-2E9C-101B-9397-08002B2CF9AE}" pid="3" name="MediaServiceImageTags">
    <vt:lpwstr/>
  </property>
</Properties>
</file>