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GRAND OUEST (PB)/2FREU-123a/Dossier octobre 2024/"/>
    </mc:Choice>
  </mc:AlternateContent>
  <xr:revisionPtr revIDLastSave="94" documentId="8_{97490A21-B11F-4E08-BE56-583CC03BF880}" xr6:coauthVersionLast="47" xr6:coauthVersionMax="47" xr10:uidLastSave="{0ABC665B-3A37-4024-8890-76F6C8E21248}"/>
  <bookViews>
    <workbookView xWindow="-108" yWindow="-108" windowWidth="23256" windowHeight="13896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0" i="6" l="1"/>
  <c r="E268" i="6" l="1"/>
  <c r="E266" i="6"/>
  <c r="E237" i="6"/>
  <c r="E235" i="6"/>
  <c r="E206" i="6"/>
  <c r="E204" i="6"/>
  <c r="E175" i="6"/>
  <c r="E173" i="6"/>
  <c r="E144" i="6"/>
  <c r="E142" i="6"/>
  <c r="E113" i="6"/>
  <c r="E111" i="6"/>
  <c r="E82" i="6"/>
  <c r="E80" i="6"/>
  <c r="E51" i="6"/>
  <c r="E49" i="6"/>
  <c r="E18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E17" i="6" s="1"/>
  <c r="E19" i="6" s="1"/>
  <c r="D10" i="1"/>
  <c r="E48" i="6" s="1"/>
  <c r="E50" i="6" s="1"/>
  <c r="D11" i="1"/>
  <c r="E79" i="6" s="1"/>
  <c r="E81" i="6" s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2" i="6"/>
  <c r="T10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E110" i="6" s="1"/>
  <c r="D13" i="1"/>
  <c r="E141" i="6" s="1"/>
  <c r="D14" i="1"/>
  <c r="D15" i="1"/>
  <c r="D16" i="1"/>
  <c r="D17" i="1"/>
  <c r="D18" i="1"/>
  <c r="T19" i="6" l="1"/>
  <c r="U18" i="6"/>
  <c r="E265" i="6"/>
  <c r="U17" i="6"/>
  <c r="E234" i="6"/>
  <c r="U16" i="6"/>
  <c r="E203" i="6"/>
  <c r="U15" i="6"/>
  <c r="E172" i="6"/>
  <c r="E143" i="6"/>
  <c r="T14" i="6"/>
  <c r="E112" i="6"/>
  <c r="T13" i="6"/>
  <c r="P66" i="6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B9" i="4"/>
  <c r="U13" i="6"/>
  <c r="D19" i="1"/>
  <c r="B14" i="4"/>
  <c r="E267" i="6" l="1"/>
  <c r="T18" i="6"/>
  <c r="V18" i="6" s="1"/>
  <c r="E205" i="6"/>
  <c r="T16" i="6"/>
  <c r="V16" i="6" s="1"/>
  <c r="E236" i="6"/>
  <c r="T17" i="6"/>
  <c r="V17" i="6" s="1"/>
  <c r="E174" i="6"/>
  <c r="V13" i="6"/>
  <c r="V14" i="6"/>
  <c r="U31" i="6"/>
  <c r="V10" i="6"/>
  <c r="P67" i="6"/>
  <c r="H19" i="2"/>
  <c r="D20" i="2"/>
  <c r="G20" i="2" s="1"/>
  <c r="P40" i="6"/>
  <c r="U33" i="6" l="1"/>
  <c r="T15" i="6"/>
  <c r="V15" i="6" s="1"/>
  <c r="I24" i="6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FR4" i="2"/>
  <c r="B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FS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X130" i="2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ED154" i="2" s="1"/>
  <c r="A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H155" i="2"/>
  <c r="EY154" i="2"/>
  <c r="EA155" i="2"/>
  <c r="DI154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Y155" i="2"/>
  <c r="HH156" i="2"/>
  <c r="HG156" i="2"/>
  <c r="EX156" i="2"/>
  <c r="DH156" i="2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A157" i="2"/>
  <c r="HG157" i="2"/>
  <c r="EC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C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ED158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I160" i="2"/>
  <c r="FS160" i="2"/>
  <c r="HG160" i="2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HH161" i="2"/>
  <c r="HG161" i="2"/>
  <c r="EA161" i="2"/>
  <c r="AB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Y161" i="2"/>
  <c r="HG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HH163" i="2"/>
  <c r="HG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EY163" i="2"/>
  <c r="DI163" i="2"/>
  <c r="HH164" i="2"/>
  <c r="HG164" i="2"/>
  <c r="FR164" i="2"/>
  <c r="FS164" i="2"/>
  <c r="EX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J166" i="2"/>
  <c r="HI167" i="2"/>
  <c r="FR167" i="2"/>
  <c r="EX167" i="2"/>
  <c r="EY166" i="2"/>
  <c r="EC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B168" i="2"/>
  <c r="DI167" i="2"/>
  <c r="EW168" i="2"/>
  <c r="HI168" i="2"/>
  <c r="DG168" i="2"/>
  <c r="EV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W172" i="2"/>
  <c r="EA172" i="2"/>
  <c r="ED172" i="2" s="1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HG178" i="2"/>
  <c r="EB178" i="2"/>
  <c r="EA178" i="2"/>
  <c r="HH178" i="2"/>
  <c r="EW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DF179" i="2"/>
  <c r="HG179" i="2"/>
  <c r="HI179" i="2"/>
  <c r="FS179" i="2"/>
  <c r="EX179" i="2"/>
  <c r="AW179" i="2"/>
  <c r="EC179" i="2"/>
  <c r="ED179" i="2" s="1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B185" i="2"/>
  <c r="HH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G186" i="2"/>
  <c r="FR186" i="2"/>
  <c r="HH186" i="2"/>
  <c r="EA186" i="2"/>
  <c r="FS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H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V190" i="2"/>
  <c r="HH190" i="2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DI192" i="2" l="1"/>
  <c r="EY192" i="2"/>
  <c r="HI193" i="2"/>
  <c r="FQ193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HG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DH195" i="2"/>
  <c r="EY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Y195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HH197" i="2"/>
  <c r="EC197" i="2"/>
  <c r="EY196" i="2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W199" i="2"/>
  <c r="EY198" i="2"/>
  <c r="HG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 l="1"/>
  <c r="EA201" i="2"/>
  <c r="HH201" i="2"/>
  <c r="EB201" i="2"/>
  <c r="HJ200" i="2"/>
  <c r="HG201" i="2"/>
  <c r="FS201" i="2"/>
  <c r="HI201" i="2"/>
  <c r="EX201" i="2"/>
  <c r="AI5" i="2"/>
  <c r="EW201" i="2"/>
  <c r="EC201" i="2"/>
  <c r="ED201" i="2" s="1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FS202" i="2"/>
  <c r="HI202" i="2"/>
  <c r="FZ6" i="2"/>
  <c r="EW202" i="2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24" i="2" a="1"/>
  <c r="FY24" i="2" s="1"/>
  <c r="FY104" i="2" a="1"/>
  <c r="FY104" i="2" s="1"/>
  <c r="FD59" i="2" a="1"/>
  <c r="FD59" i="2" s="1"/>
  <c r="BC68" i="2" a="1"/>
  <c r="BC68" i="2" s="1"/>
  <c r="BC82" i="2" a="1"/>
  <c r="BC82" i="2" s="1"/>
  <c r="BC126" i="2" a="1"/>
  <c r="BC126" i="2" s="1"/>
  <c r="GT115" i="2" a="1"/>
  <c r="GT115" i="2" s="1"/>
  <c r="GT184" i="2" a="1"/>
  <c r="GT184" i="2" s="1"/>
  <c r="EI153" i="2" a="1"/>
  <c r="EI153" i="2" s="1"/>
  <c r="EI106" i="2" a="1"/>
  <c r="EI106" i="2" s="1"/>
  <c r="EI29" i="2" a="1"/>
  <c r="EI29" i="2" s="1"/>
  <c r="EI162" i="2" a="1"/>
  <c r="EI162" i="2" s="1"/>
  <c r="EI145" i="2" a="1"/>
  <c r="EI145" i="2" s="1"/>
  <c r="EI178" i="2" a="1"/>
  <c r="EI178" i="2" s="1"/>
  <c r="EI142" i="2" a="1"/>
  <c r="EI142" i="2" s="1"/>
  <c r="DN124" i="2" a="1"/>
  <c r="DN124" i="2" s="1"/>
  <c r="EI195" i="2" a="1"/>
  <c r="EI195" i="2" s="1"/>
  <c r="FD48" i="2" a="1"/>
  <c r="FD48" i="2" s="1"/>
  <c r="FD43" i="2" a="1"/>
  <c r="FD43" i="2" s="1"/>
  <c r="FD159" i="2" a="1"/>
  <c r="FD159" i="2" s="1"/>
  <c r="FD194" i="2" a="1"/>
  <c r="FD194" i="2" s="1"/>
  <c r="BC164" i="2" a="1"/>
  <c r="BC164" i="2" s="1"/>
  <c r="BC84" i="2" a="1"/>
  <c r="BC84" i="2" s="1"/>
  <c r="BC31" i="2" a="1"/>
  <c r="BC31" i="2" s="1"/>
  <c r="BC83" i="2" a="1"/>
  <c r="BC83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133" i="2" a="1"/>
  <c r="DN133" i="2" s="1"/>
  <c r="DN176" i="2" a="1"/>
  <c r="DN176" i="2" s="1"/>
  <c r="DN6" i="2" a="1"/>
  <c r="DN6" i="2" s="1"/>
  <c r="DO6" i="2" s="1"/>
  <c r="EY202" i="2"/>
  <c r="AX200" i="2"/>
  <c r="GT107" i="2" l="1" a="1"/>
  <c r="GT107" i="2" s="1"/>
  <c r="CS116" i="2" a="1"/>
  <c r="CS116" i="2" s="1"/>
  <c r="DN190" i="2" a="1"/>
  <c r="DN190" i="2" s="1"/>
  <c r="BC32" i="2" a="1"/>
  <c r="BC32" i="2" s="1"/>
  <c r="DN188" i="2" a="1"/>
  <c r="DN188" i="2" s="1"/>
  <c r="EI150" i="2" a="1"/>
  <c r="EI150" i="2" s="1"/>
  <c r="BC47" i="2" a="1"/>
  <c r="BC47" i="2" s="1"/>
  <c r="DN65" i="2" a="1"/>
  <c r="DN65" i="2" s="1"/>
  <c r="DN63" i="2" a="1"/>
  <c r="DN63" i="2" s="1"/>
  <c r="BC192" i="2" a="1"/>
  <c r="BC192" i="2" s="1"/>
  <c r="DN177" i="2" a="1"/>
  <c r="DN177" i="2" s="1"/>
  <c r="BC58" i="2" a="1"/>
  <c r="BC58" i="2" s="1"/>
  <c r="CS56" i="2" a="1"/>
  <c r="CS56" i="2" s="1"/>
  <c r="BC18" i="2" a="1"/>
  <c r="BC18" i="2" s="1"/>
  <c r="BC55" i="2" a="1"/>
  <c r="BC55" i="2" s="1"/>
  <c r="DN115" i="2" a="1"/>
  <c r="DN115" i="2" s="1"/>
  <c r="BC34" i="2" a="1"/>
  <c r="BC34" i="2" s="1"/>
  <c r="DN86" i="2" a="1"/>
  <c r="DN86" i="2" s="1"/>
  <c r="DN80" i="2" a="1"/>
  <c r="DN80" i="2" s="1"/>
  <c r="BC38" i="2" a="1"/>
  <c r="BC38" i="2" s="1"/>
  <c r="BC130" i="2" a="1"/>
  <c r="BC130" i="2" s="1"/>
  <c r="DN137" i="2" a="1"/>
  <c r="DN137" i="2" s="1"/>
  <c r="BC151" i="2" a="1"/>
  <c r="BC151" i="2" s="1"/>
  <c r="CS66" i="2" a="1"/>
  <c r="CS66" i="2" s="1"/>
  <c r="BC117" i="2" a="1"/>
  <c r="BC117" i="2" s="1"/>
  <c r="BC7" i="2" a="1"/>
  <c r="BC7" i="2" s="1"/>
  <c r="DN155" i="2" a="1"/>
  <c r="DN155" i="2" s="1"/>
  <c r="BC181" i="2" a="1"/>
  <c r="BC181" i="2" s="1"/>
  <c r="BC185" i="2" a="1"/>
  <c r="BC185" i="2" s="1"/>
  <c r="BC65" i="2" a="1"/>
  <c r="BC65" i="2" s="1"/>
  <c r="CS72" i="2" a="1"/>
  <c r="CS72" i="2" s="1"/>
  <c r="CS24" i="2" a="1"/>
  <c r="CS24" i="2" s="1"/>
  <c r="BC143" i="2" a="1"/>
  <c r="BC143" i="2" s="1"/>
  <c r="CS38" i="2" a="1"/>
  <c r="CS38" i="2" s="1"/>
  <c r="BC114" i="2" a="1"/>
  <c r="BC114" i="2" s="1"/>
  <c r="HJ202" i="2"/>
  <c r="GT147" i="2" a="1"/>
  <c r="GT147" i="2" s="1"/>
  <c r="GT152" i="2" a="1"/>
  <c r="GT152" i="2" s="1"/>
  <c r="GT74" i="2" a="1"/>
  <c r="GT74" i="2" s="1"/>
  <c r="GT33" i="2" a="1"/>
  <c r="GT33" i="2" s="1"/>
  <c r="GT38" i="2" a="1"/>
  <c r="GT38" i="2" s="1"/>
  <c r="GT178" i="2" a="1"/>
  <c r="GT178" i="2" s="1"/>
  <c r="GT133" i="2" a="1"/>
  <c r="GT133" i="2" s="1"/>
  <c r="GT174" i="2" a="1"/>
  <c r="GT174" i="2" s="1"/>
  <c r="GT126" i="2" a="1"/>
  <c r="GT126" i="2" s="1"/>
  <c r="GT121" i="2" a="1"/>
  <c r="GT121" i="2" s="1"/>
  <c r="GT102" i="2" a="1"/>
  <c r="GT102" i="2" s="1"/>
  <c r="GT198" i="2" a="1"/>
  <c r="GT198" i="2" s="1"/>
  <c r="GT122" i="2" a="1"/>
  <c r="GT122" i="2" s="1"/>
  <c r="GT190" i="2" a="1"/>
  <c r="GT190" i="2" s="1"/>
  <c r="GT21" i="2" a="1"/>
  <c r="GT21" i="2" s="1"/>
  <c r="GT51" i="2" a="1"/>
  <c r="GT51" i="2" s="1"/>
  <c r="HH203" i="2"/>
  <c r="GT191" i="2" a="1"/>
  <c r="GT191" i="2" s="1"/>
  <c r="GT189" i="2" a="1"/>
  <c r="GT189" i="2" s="1"/>
  <c r="GT68" i="2" a="1"/>
  <c r="GT68" i="2" s="1"/>
  <c r="GT11" i="2" a="1"/>
  <c r="GT11" i="2" s="1"/>
  <c r="GT12" i="2" a="1"/>
  <c r="GT12" i="2" s="1"/>
  <c r="GT181" i="2" a="1"/>
  <c r="GT181" i="2" s="1"/>
  <c r="FY121" i="2" a="1"/>
  <c r="FY121" i="2" s="1"/>
  <c r="FY190" i="2" a="1"/>
  <c r="FY190" i="2" s="1"/>
  <c r="FY30" i="2" a="1"/>
  <c r="FY30" i="2" s="1"/>
  <c r="FY55" i="2" a="1"/>
  <c r="FY55" i="2" s="1"/>
  <c r="FY182" i="2" a="1"/>
  <c r="FY182" i="2" s="1"/>
  <c r="FY78" i="2" a="1"/>
  <c r="FY78" i="2" s="1"/>
  <c r="FY92" i="2" a="1"/>
  <c r="FY92" i="2" s="1"/>
  <c r="FY186" i="2" a="1"/>
  <c r="FY186" i="2" s="1"/>
  <c r="FY191" i="2" a="1"/>
  <c r="FY191" i="2" s="1"/>
  <c r="FY69" i="2" a="1"/>
  <c r="FY69" i="2" s="1"/>
  <c r="FY18" i="2" a="1"/>
  <c r="FY18" i="2" s="1"/>
  <c r="FS203" i="2"/>
  <c r="EI166" i="2" a="1"/>
  <c r="EI166" i="2" s="1"/>
  <c r="EI198" i="2" a="1"/>
  <c r="EI198" i="2" s="1"/>
  <c r="DN170" i="2" a="1"/>
  <c r="DN170" i="2" s="1"/>
  <c r="DN187" i="2" a="1"/>
  <c r="DN187" i="2" s="1"/>
  <c r="DN16" i="2" a="1"/>
  <c r="DN16" i="2" s="1"/>
  <c r="DN103" i="2" a="1"/>
  <c r="DN103" i="2" s="1"/>
  <c r="DN25" i="2" a="1"/>
  <c r="DN25" i="2" s="1"/>
  <c r="DN70" i="2" a="1"/>
  <c r="DN70" i="2" s="1"/>
  <c r="DN50" i="2" a="1"/>
  <c r="DN50" i="2" s="1"/>
  <c r="DN45" i="2" a="1"/>
  <c r="DN45" i="2" s="1"/>
  <c r="DN162" i="2" a="1"/>
  <c r="DN162" i="2" s="1"/>
  <c r="DN123" i="2" a="1"/>
  <c r="DN123" i="2" s="1"/>
  <c r="DN184" i="2" a="1"/>
  <c r="DN184" i="2" s="1"/>
  <c r="DN153" i="2" a="1"/>
  <c r="DN153" i="2" s="1"/>
  <c r="DN114" i="2" a="1"/>
  <c r="DN114" i="2" s="1"/>
  <c r="DN49" i="2" a="1"/>
  <c r="DN49" i="2" s="1"/>
  <c r="DN152" i="2" a="1"/>
  <c r="DN152" i="2" s="1"/>
  <c r="DN56" i="2" a="1"/>
  <c r="DN56" i="2" s="1"/>
  <c r="DN55" i="2" a="1"/>
  <c r="DN55" i="2" s="1"/>
  <c r="DN113" i="2" a="1"/>
  <c r="DN113" i="2" s="1"/>
  <c r="DN132" i="2" a="1"/>
  <c r="DN132" i="2" s="1"/>
  <c r="DN164" i="2" a="1"/>
  <c r="DN164" i="2" s="1"/>
  <c r="DN29" i="2" a="1"/>
  <c r="DN29" i="2" s="1"/>
  <c r="DN129" i="2" a="1"/>
  <c r="DN129" i="2" s="1"/>
  <c r="DN30" i="2" a="1"/>
  <c r="DN30" i="2" s="1"/>
  <c r="DN135" i="2" a="1"/>
  <c r="DN135" i="2" s="1"/>
  <c r="DN150" i="2" a="1"/>
  <c r="DN150" i="2" s="1"/>
  <c r="DN41" i="2" a="1"/>
  <c r="DN41" i="2" s="1"/>
  <c r="DN110" i="2" a="1"/>
  <c r="DN110" i="2" s="1"/>
  <c r="DN167" i="2" a="1"/>
  <c r="DN167" i="2" s="1"/>
  <c r="DN38" i="2" a="1"/>
  <c r="DN38" i="2" s="1"/>
  <c r="DN192" i="2" a="1"/>
  <c r="DN192" i="2" s="1"/>
  <c r="DN43" i="2" a="1"/>
  <c r="DN43" i="2" s="1"/>
  <c r="DN31" i="2" a="1"/>
  <c r="DN31" i="2" s="1"/>
  <c r="DN46" i="2" a="1"/>
  <c r="DN46" i="2" s="1"/>
  <c r="DN66" i="2" a="1"/>
  <c r="DN66" i="2" s="1"/>
  <c r="DN186" i="2" a="1"/>
  <c r="DN186" i="2" s="1"/>
  <c r="BX107" i="2" a="1"/>
  <c r="BX107" i="2" s="1"/>
  <c r="AH151" i="2" a="1"/>
  <c r="AH151" i="2" s="1"/>
  <c r="AH90" i="2" a="1"/>
  <c r="AH90" i="2" s="1"/>
  <c r="AH62" i="2" a="1"/>
  <c r="AH62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8" i="2"/>
  <c r="EY203" i="2"/>
  <c r="ED203" i="2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GE58" i="2" l="1"/>
  <c r="GE62" i="2"/>
  <c r="GE157" i="2"/>
  <c r="GE105" i="2"/>
  <c r="GE197" i="2"/>
  <c r="GE25" i="2"/>
  <c r="GE182" i="2"/>
  <c r="GE46" i="2"/>
  <c r="GE11" i="2"/>
  <c r="GE178" i="2"/>
  <c r="GE92" i="2"/>
  <c r="GE196" i="2"/>
  <c r="GE119" i="2"/>
  <c r="GE201" i="2"/>
  <c r="GE72" i="2"/>
  <c r="GE144" i="2"/>
  <c r="GE118" i="2"/>
  <c r="GE161" i="2"/>
  <c r="GE194" i="2"/>
  <c r="GE160" i="2"/>
  <c r="GE169" i="2"/>
  <c r="GE186" i="2"/>
  <c r="GE193" i="2"/>
  <c r="GE31" i="2"/>
  <c r="GE99" i="2"/>
  <c r="GE126" i="2"/>
  <c r="GE19" i="2"/>
  <c r="GE130" i="2"/>
  <c r="GE185" i="2"/>
  <c r="GE109" i="2"/>
  <c r="GE190" i="2"/>
  <c r="GE171" i="2"/>
  <c r="GE143" i="2"/>
  <c r="GE4" i="2"/>
  <c r="GE113" i="2"/>
  <c r="GE60" i="2"/>
  <c r="GE128" i="2"/>
  <c r="GE140" i="2"/>
  <c r="GE166" i="2"/>
  <c r="GE30" i="2"/>
  <c r="GE28" i="2"/>
  <c r="GE138" i="2"/>
  <c r="GE97" i="2"/>
  <c r="GE184" i="2"/>
  <c r="GE71" i="2"/>
  <c r="GE17" i="2"/>
  <c r="GE41" i="2"/>
  <c r="GE26" i="2"/>
  <c r="GE55" i="2"/>
  <c r="GE154" i="2"/>
  <c r="GE12" i="2"/>
  <c r="GE200" i="2"/>
  <c r="GE39" i="2"/>
  <c r="GE49" i="2"/>
  <c r="GE145" i="2"/>
  <c r="GE36" i="2"/>
  <c r="GE7" i="2"/>
  <c r="GE93" i="2"/>
  <c r="GE202" i="2"/>
  <c r="GE34" i="2"/>
  <c r="GE22" i="2"/>
  <c r="GE51" i="2"/>
  <c r="GE135" i="2"/>
  <c r="GE174" i="2"/>
  <c r="GE179" i="2"/>
  <c r="GE131" i="2"/>
  <c r="GE14" i="2"/>
  <c r="GE48" i="2"/>
  <c r="GE122" i="2"/>
  <c r="GE176" i="2"/>
  <c r="GE52" i="2"/>
  <c r="GE66" i="2"/>
  <c r="GE6" i="2"/>
  <c r="GE101" i="2"/>
  <c r="GE121" i="2"/>
  <c r="GE96" i="2"/>
  <c r="GE141" i="2"/>
  <c r="GE136" i="2"/>
  <c r="GE84" i="2"/>
  <c r="GE124" i="2"/>
  <c r="GE147" i="2"/>
  <c r="GE123" i="2"/>
  <c r="GE114" i="2"/>
  <c r="GE117" i="2"/>
  <c r="GE198" i="2"/>
  <c r="GE18" i="2"/>
  <c r="GE15" i="2"/>
  <c r="GE24" i="2"/>
  <c r="GE162" i="2"/>
  <c r="GE146" i="2"/>
  <c r="GE42" i="2"/>
  <c r="GE47" i="2"/>
  <c r="GE79" i="2"/>
  <c r="GE170" i="2"/>
  <c r="GE82" i="2"/>
  <c r="GE61" i="2"/>
  <c r="GE148" i="2"/>
  <c r="GE35" i="2"/>
  <c r="GE16" i="2"/>
  <c r="GE142" i="2"/>
  <c r="GE43" i="2"/>
  <c r="GE163" i="2"/>
  <c r="GE149" i="2"/>
  <c r="GE132" i="2"/>
  <c r="GE106" i="2"/>
  <c r="GE110" i="2"/>
  <c r="GE159" i="2"/>
  <c r="GE180" i="2"/>
  <c r="GE91" i="2"/>
  <c r="GE152" i="2"/>
  <c r="GE73" i="2"/>
  <c r="GE137" i="2"/>
  <c r="GE27" i="2"/>
  <c r="GE188" i="2"/>
  <c r="GE195" i="2"/>
  <c r="GE80" i="2"/>
  <c r="GE50" i="2"/>
  <c r="GE192" i="2"/>
  <c r="GE168" i="2"/>
  <c r="GE156" i="2"/>
  <c r="GE189" i="2"/>
  <c r="GE151" i="2"/>
  <c r="GE54" i="2"/>
  <c r="GE129" i="2"/>
  <c r="GE5" i="2"/>
  <c r="GE65" i="2"/>
  <c r="GE120" i="2"/>
  <c r="GE108" i="2"/>
  <c r="GE38" i="2"/>
  <c r="GE115" i="2"/>
  <c r="GE77" i="2"/>
  <c r="GE87" i="2"/>
  <c r="GE76" i="2"/>
  <c r="GE44" i="2"/>
  <c r="GE3" i="2"/>
  <c r="C14" i="4" s="1"/>
  <c r="E14" i="4" s="1"/>
  <c r="F14" i="4" s="1"/>
  <c r="G14" i="4" s="1"/>
  <c r="L14" i="4" s="1"/>
  <c r="GE29" i="2"/>
  <c r="GE125" i="2"/>
  <c r="GE111" i="2"/>
  <c r="GE40" i="2"/>
  <c r="GE116" i="2"/>
  <c r="GE81" i="2"/>
  <c r="GE23" i="2"/>
  <c r="GE33" i="2"/>
  <c r="GE127" i="2"/>
  <c r="GE64" i="2"/>
  <c r="GE133" i="2"/>
  <c r="GE187" i="2"/>
  <c r="GE175" i="2"/>
  <c r="GE53" i="2"/>
  <c r="GE94" i="2"/>
  <c r="GE134" i="2"/>
  <c r="GE83" i="2"/>
  <c r="GE70" i="2"/>
  <c r="GE103" i="2"/>
  <c r="GE98" i="2"/>
  <c r="GE88" i="2"/>
  <c r="GE86" i="2"/>
  <c r="GE13" i="2"/>
  <c r="GE56" i="2"/>
  <c r="GE57" i="2"/>
  <c r="GE164" i="2"/>
  <c r="GE150" i="2"/>
  <c r="GE78" i="2"/>
  <c r="GE75" i="2"/>
  <c r="GE167" i="2"/>
  <c r="GE95" i="2"/>
  <c r="GE104" i="2"/>
  <c r="GE67" i="2"/>
  <c r="GE45" i="2"/>
  <c r="GE155" i="2"/>
  <c r="GE107" i="2"/>
  <c r="GE32" i="2"/>
  <c r="GE9" i="2"/>
  <c r="GE68" i="2"/>
  <c r="GE177" i="2"/>
  <c r="GE139" i="2"/>
  <c r="GE203" i="2"/>
  <c r="GE112" i="2"/>
  <c r="GE20" i="2"/>
  <c r="GE63" i="2"/>
  <c r="GE153" i="2"/>
  <c r="GE21" i="2"/>
  <c r="GE37" i="2"/>
  <c r="GE85" i="2"/>
  <c r="GE181" i="2"/>
  <c r="GE172" i="2"/>
  <c r="GE8" i="2"/>
  <c r="GE191" i="2"/>
  <c r="GE100" i="2"/>
  <c r="GE102" i="2"/>
  <c r="GE199" i="2"/>
  <c r="GE165" i="2"/>
  <c r="GE74" i="2"/>
  <c r="GE69" i="2"/>
  <c r="GE59" i="2"/>
  <c r="GE183" i="2"/>
  <c r="GE10" i="2"/>
  <c r="GE89" i="2"/>
  <c r="GE90" i="2"/>
  <c r="GE158" i="2"/>
  <c r="GE173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GZ195" i="2" l="1"/>
  <c r="GZ102" i="2"/>
  <c r="GZ48" i="2"/>
  <c r="GZ99" i="2"/>
  <c r="GZ103" i="2"/>
  <c r="GZ116" i="2"/>
  <c r="GZ138" i="2"/>
  <c r="GZ159" i="2"/>
  <c r="GZ147" i="2"/>
  <c r="GZ165" i="2"/>
  <c r="GZ75" i="2"/>
  <c r="GZ90" i="2"/>
  <c r="GZ125" i="2"/>
  <c r="GZ188" i="2"/>
  <c r="GZ10" i="2"/>
  <c r="GZ63" i="2"/>
  <c r="GZ65" i="2"/>
  <c r="GZ178" i="2"/>
  <c r="GZ89" i="2"/>
  <c r="GZ9" i="2"/>
  <c r="GZ113" i="2"/>
  <c r="GZ44" i="2"/>
  <c r="GZ28" i="2"/>
  <c r="GZ153" i="2"/>
  <c r="GZ122" i="2"/>
  <c r="GZ76" i="2"/>
  <c r="GZ6" i="2"/>
  <c r="GZ129" i="2"/>
  <c r="GZ119" i="2"/>
  <c r="GZ118" i="2"/>
  <c r="GZ55" i="2"/>
  <c r="GZ82" i="2"/>
  <c r="GZ139" i="2"/>
  <c r="GZ20" i="2"/>
  <c r="GZ92" i="2"/>
  <c r="GZ111" i="2"/>
  <c r="GZ80" i="2"/>
  <c r="GZ52" i="2"/>
  <c r="GZ196" i="2"/>
  <c r="GZ176" i="2"/>
  <c r="GZ117" i="2"/>
  <c r="GZ58" i="2"/>
  <c r="GZ35" i="2"/>
  <c r="GZ189" i="2"/>
  <c r="GZ192" i="2"/>
  <c r="GZ62" i="2"/>
  <c r="GZ43" i="2"/>
  <c r="GZ29" i="2"/>
  <c r="GZ186" i="2"/>
  <c r="GZ120" i="2"/>
  <c r="GZ16" i="2"/>
  <c r="GZ23" i="2"/>
  <c r="GZ95" i="2"/>
  <c r="GZ41" i="2"/>
  <c r="GZ106" i="2"/>
  <c r="GZ107" i="2"/>
  <c r="GZ101" i="2"/>
  <c r="GZ164" i="2"/>
  <c r="GZ149" i="2"/>
  <c r="GZ54" i="2"/>
  <c r="GZ114" i="2"/>
  <c r="GZ157" i="2"/>
  <c r="GZ200" i="2"/>
  <c r="GZ19" i="2"/>
  <c r="GZ70" i="2"/>
  <c r="GZ69" i="2"/>
  <c r="GZ197" i="2"/>
  <c r="GZ71" i="2"/>
  <c r="GZ109" i="2"/>
  <c r="GZ78" i="2"/>
  <c r="GZ18" i="2"/>
  <c r="GZ31" i="2"/>
  <c r="GZ64" i="2"/>
  <c r="GZ84" i="2"/>
  <c r="GZ140" i="2"/>
  <c r="GZ17" i="2"/>
  <c r="GZ39" i="2"/>
  <c r="GZ203" i="2"/>
  <c r="GZ85" i="2"/>
  <c r="GZ81" i="2"/>
  <c r="GZ77" i="2"/>
  <c r="GZ133" i="2"/>
  <c r="GZ60" i="2"/>
  <c r="GZ21" i="2"/>
  <c r="GZ151" i="2"/>
  <c r="GZ179" i="2"/>
  <c r="GZ141" i="2"/>
  <c r="GZ112" i="2"/>
  <c r="GZ175" i="2"/>
  <c r="GZ72" i="2"/>
  <c r="GZ154" i="2"/>
  <c r="GZ51" i="2"/>
  <c r="GZ155" i="2"/>
  <c r="GZ83" i="2"/>
  <c r="GZ98" i="2"/>
  <c r="GZ168" i="2"/>
  <c r="GZ198" i="2"/>
  <c r="GZ26" i="2"/>
  <c r="GZ134" i="2"/>
  <c r="GZ115" i="2"/>
  <c r="GZ13" i="2"/>
  <c r="GZ162" i="2"/>
  <c r="GZ24" i="2"/>
  <c r="GZ4" i="2"/>
  <c r="GZ132" i="2"/>
  <c r="GZ97" i="2"/>
  <c r="GZ156" i="2"/>
  <c r="GZ180" i="2"/>
  <c r="GZ32" i="2"/>
  <c r="GZ56" i="2"/>
  <c r="GZ30" i="2"/>
  <c r="GZ25" i="2"/>
  <c r="GZ27" i="2"/>
  <c r="GZ199" i="2"/>
  <c r="GZ15" i="2"/>
  <c r="GZ61" i="2"/>
  <c r="GZ169" i="2"/>
  <c r="GZ49" i="2"/>
  <c r="GZ22" i="2"/>
  <c r="GZ47" i="2"/>
  <c r="GZ183" i="2"/>
  <c r="GZ33" i="2"/>
  <c r="GZ37" i="2"/>
  <c r="GZ131" i="2"/>
  <c r="GZ45" i="2"/>
  <c r="GZ202" i="2"/>
  <c r="GZ5" i="2"/>
  <c r="GZ8" i="2"/>
  <c r="GZ161" i="2"/>
  <c r="GZ150" i="2"/>
  <c r="GZ194" i="2"/>
  <c r="GZ137" i="2"/>
  <c r="GZ193" i="2"/>
  <c r="GZ144" i="2"/>
  <c r="GZ191" i="2"/>
  <c r="GZ187" i="2"/>
  <c r="GZ36" i="2"/>
  <c r="GZ74" i="2"/>
  <c r="GZ91" i="2"/>
  <c r="GZ201" i="2"/>
  <c r="GZ14" i="2"/>
  <c r="GZ160" i="2"/>
  <c r="GZ136" i="2"/>
  <c r="GZ87" i="2"/>
  <c r="GZ124" i="2"/>
  <c r="GZ152" i="2"/>
  <c r="GZ96" i="2"/>
  <c r="GZ79" i="2"/>
  <c r="GZ7" i="2"/>
  <c r="GZ94" i="2"/>
  <c r="GZ126" i="2"/>
  <c r="GZ73" i="2"/>
  <c r="GZ163" i="2"/>
  <c r="GZ146" i="2"/>
  <c r="GZ172" i="2"/>
  <c r="GZ123" i="2"/>
  <c r="GZ93" i="2"/>
  <c r="GZ12" i="2"/>
  <c r="GZ184" i="2"/>
  <c r="GZ166" i="2"/>
  <c r="GZ181" i="2"/>
  <c r="GZ46" i="2"/>
  <c r="GZ59" i="2"/>
  <c r="GZ38" i="2"/>
  <c r="GZ57" i="2"/>
  <c r="GZ105" i="2"/>
  <c r="GZ171" i="2"/>
  <c r="GZ145" i="2"/>
  <c r="GZ100" i="2"/>
  <c r="GZ190" i="2"/>
  <c r="GZ128" i="2"/>
  <c r="GZ177" i="2"/>
  <c r="GZ142" i="2"/>
  <c r="GZ34" i="2"/>
  <c r="GZ40" i="2"/>
  <c r="GZ148" i="2"/>
  <c r="GZ68" i="2"/>
  <c r="GZ50" i="2"/>
  <c r="GZ173" i="2"/>
  <c r="GZ88" i="2"/>
  <c r="GZ67" i="2"/>
  <c r="GZ127" i="2"/>
  <c r="GZ170" i="2"/>
  <c r="GZ143" i="2"/>
  <c r="GZ185" i="2"/>
  <c r="GZ135" i="2"/>
  <c r="GZ121" i="2"/>
  <c r="GZ108" i="2"/>
  <c r="GZ130" i="2"/>
  <c r="GZ66" i="2"/>
  <c r="GZ86" i="2"/>
  <c r="GZ104" i="2"/>
  <c r="GZ167" i="2"/>
  <c r="GZ53" i="2"/>
  <c r="GZ182" i="2"/>
  <c r="GZ11" i="2"/>
  <c r="GZ174" i="2"/>
  <c r="GZ42" i="2"/>
  <c r="GZ110" i="2"/>
  <c r="GZ158" i="2"/>
  <c r="GZ3" i="2"/>
  <c r="C15" i="4" s="1"/>
  <c r="E15" i="4" s="1"/>
  <c r="F15" i="4" s="1"/>
  <c r="G15" i="4" s="1"/>
  <c r="L15" i="4" s="1"/>
  <c r="AN51" i="2"/>
  <c r="AN112" i="2"/>
  <c r="AN87" i="2"/>
  <c r="AN72" i="2"/>
  <c r="AN200" i="2"/>
  <c r="AN177" i="2"/>
  <c r="AN95" i="2"/>
  <c r="AN5" i="2"/>
  <c r="AN100" i="2"/>
  <c r="AN41" i="2"/>
  <c r="AN120" i="2"/>
  <c r="AN128" i="2"/>
  <c r="AN8" i="2"/>
  <c r="AN27" i="2"/>
  <c r="AN61" i="2"/>
  <c r="AN187" i="2"/>
  <c r="AN9" i="2"/>
  <c r="AN198" i="2"/>
  <c r="AN40" i="2"/>
  <c r="AN171" i="2"/>
  <c r="AN132" i="2"/>
  <c r="AN184" i="2"/>
  <c r="AN11" i="2"/>
  <c r="AN139" i="2"/>
  <c r="AN114" i="2"/>
  <c r="AN38" i="2"/>
  <c r="AN34" i="2"/>
  <c r="AN142" i="2"/>
  <c r="AN105" i="2"/>
  <c r="AN125" i="2"/>
  <c r="AN69" i="2"/>
  <c r="AN83" i="2"/>
  <c r="AN18" i="2"/>
  <c r="AN131" i="2"/>
  <c r="AN157" i="2"/>
  <c r="AN43" i="2"/>
  <c r="AN79" i="2"/>
  <c r="AN119" i="2"/>
  <c r="AN30" i="2"/>
  <c r="AN94" i="2"/>
  <c r="AN67" i="2"/>
  <c r="AN3" i="2"/>
  <c r="C7" i="4" s="1"/>
  <c r="E7" i="4" s="1"/>
  <c r="F7" i="4" s="1"/>
  <c r="G7" i="4" s="1"/>
  <c r="L7" i="4" s="1"/>
  <c r="AN101" i="2"/>
  <c r="AN99" i="2"/>
  <c r="AN138" i="2"/>
  <c r="AN166" i="2"/>
  <c r="AN165" i="2"/>
  <c r="AN19" i="2"/>
  <c r="AN158" i="2"/>
  <c r="AN68" i="2"/>
  <c r="AN173" i="2"/>
  <c r="AN37" i="2"/>
  <c r="AN20" i="2"/>
  <c r="AN152" i="2"/>
  <c r="AN89" i="2"/>
  <c r="AN129" i="2"/>
  <c r="AN21" i="2"/>
  <c r="AN96" i="2"/>
  <c r="AN160" i="2"/>
  <c r="AN170" i="2"/>
  <c r="AN52" i="2"/>
  <c r="AN109" i="2"/>
  <c r="AN133" i="2"/>
  <c r="AN14" i="2"/>
  <c r="AN113" i="2"/>
  <c r="AN179" i="2"/>
  <c r="AN28" i="2"/>
  <c r="AN47" i="2"/>
  <c r="AN70" i="2"/>
  <c r="AN54" i="2"/>
  <c r="AN136" i="2"/>
  <c r="AN116" i="2"/>
  <c r="AN182" i="2"/>
  <c r="AN150" i="2"/>
  <c r="AN130" i="2"/>
  <c r="AN190" i="2"/>
  <c r="AN97" i="2"/>
  <c r="AN4" i="2"/>
  <c r="AN32" i="2"/>
  <c r="AN77" i="2"/>
  <c r="AN90" i="2"/>
  <c r="AN111" i="2"/>
  <c r="AN7" i="2"/>
  <c r="AN102" i="2"/>
  <c r="AN108" i="2"/>
  <c r="AN154" i="2"/>
  <c r="AN66" i="2"/>
  <c r="AN33" i="2"/>
  <c r="AN188" i="2"/>
  <c r="AN53" i="2"/>
  <c r="AN24" i="2"/>
  <c r="AN36" i="2"/>
  <c r="AN12" i="2"/>
  <c r="AN44" i="2"/>
  <c r="AN107" i="2"/>
  <c r="AN17" i="2"/>
  <c r="AN143" i="2"/>
  <c r="AN199" i="2"/>
  <c r="AN49" i="2"/>
  <c r="AN75" i="2"/>
  <c r="AN172" i="2"/>
  <c r="AN59" i="2"/>
  <c r="AN98" i="2"/>
  <c r="AN203" i="2"/>
  <c r="AN149" i="2"/>
  <c r="AN82" i="2"/>
  <c r="AN202" i="2"/>
  <c r="AN191" i="2"/>
  <c r="AN181" i="2"/>
  <c r="AN57" i="2"/>
  <c r="AN73" i="2"/>
  <c r="AN164" i="2"/>
  <c r="AN162" i="2"/>
  <c r="AN22" i="2"/>
  <c r="AN189" i="2"/>
  <c r="AN106" i="2"/>
  <c r="AN15" i="2"/>
  <c r="AN180" i="2"/>
  <c r="AN153" i="2"/>
  <c r="AN121" i="2"/>
  <c r="AN76" i="2"/>
  <c r="AN159" i="2"/>
  <c r="AN155" i="2"/>
  <c r="AN194" i="2"/>
  <c r="AN104" i="2"/>
  <c r="AN91" i="2"/>
  <c r="AN169" i="2"/>
  <c r="AN78" i="2"/>
  <c r="AN197" i="2"/>
  <c r="AN63" i="2"/>
  <c r="AN135" i="2"/>
  <c r="AN145" i="2"/>
  <c r="AN55" i="2"/>
  <c r="AN58" i="2"/>
  <c r="AN201" i="2"/>
  <c r="AN196" i="2"/>
  <c r="AN163" i="2"/>
  <c r="AN48" i="2"/>
  <c r="AN156" i="2"/>
  <c r="AN10" i="2"/>
  <c r="AN151" i="2"/>
  <c r="AN92" i="2"/>
  <c r="AN74" i="2"/>
  <c r="AN124" i="2"/>
  <c r="AN186" i="2"/>
  <c r="AN176" i="2"/>
  <c r="AN195" i="2"/>
  <c r="AN183" i="2"/>
  <c r="AN29" i="2"/>
  <c r="AN93" i="2"/>
  <c r="AN60" i="2"/>
  <c r="AN110" i="2"/>
  <c r="AN134" i="2"/>
  <c r="AN86" i="2"/>
  <c r="AN42" i="2"/>
  <c r="AN81" i="2"/>
  <c r="AN103" i="2"/>
  <c r="AN35" i="2"/>
  <c r="AN141" i="2"/>
  <c r="AN161" i="2"/>
  <c r="AN64" i="2"/>
  <c r="AN16" i="2"/>
  <c r="AN167" i="2"/>
  <c r="AN168" i="2"/>
  <c r="AN192" i="2"/>
  <c r="AN140" i="2"/>
  <c r="AN31" i="2"/>
  <c r="AN122" i="2"/>
  <c r="AN117" i="2"/>
  <c r="AN185" i="2"/>
  <c r="AN46" i="2"/>
  <c r="AN146" i="2"/>
  <c r="AN50" i="2"/>
  <c r="AN193" i="2"/>
  <c r="AN147" i="2"/>
  <c r="AN174" i="2"/>
  <c r="AN39" i="2"/>
  <c r="AN148" i="2"/>
  <c r="AN115" i="2"/>
  <c r="AN127" i="2"/>
  <c r="AN178" i="2"/>
  <c r="AN56" i="2"/>
  <c r="AN26" i="2"/>
  <c r="AN45" i="2"/>
  <c r="AN62" i="2"/>
  <c r="AN88" i="2"/>
  <c r="AN80" i="2"/>
  <c r="AN65" i="2"/>
  <c r="AN71" i="2"/>
  <c r="AN84" i="2"/>
  <c r="AN144" i="2"/>
  <c r="AN123" i="2"/>
  <c r="AN85" i="2"/>
  <c r="AN137" i="2"/>
  <c r="AN118" i="2"/>
  <c r="AN23" i="2"/>
  <c r="AN6" i="2"/>
  <c r="AN126" i="2"/>
  <c r="AN175" i="2"/>
  <c r="AN25" i="2"/>
  <c r="AN13" i="2"/>
  <c r="EO165" i="2"/>
  <c r="EO15" i="2"/>
  <c r="EO87" i="2"/>
  <c r="EO163" i="2"/>
  <c r="EO105" i="2"/>
  <c r="EO49" i="2"/>
  <c r="EO113" i="2"/>
  <c r="EO120" i="2"/>
  <c r="EO145" i="2"/>
  <c r="EO80" i="2"/>
  <c r="EO137" i="2"/>
  <c r="EO122" i="2"/>
  <c r="EO26" i="2"/>
  <c r="EO174" i="2"/>
  <c r="EO21" i="2"/>
  <c r="EO148" i="2"/>
  <c r="EO203" i="2"/>
  <c r="EO162" i="2"/>
  <c r="EO140" i="2"/>
  <c r="EO61" i="2"/>
  <c r="EO131" i="2"/>
  <c r="EO128" i="2"/>
  <c r="EO169" i="2"/>
  <c r="EO112" i="2"/>
  <c r="EO64" i="2"/>
  <c r="EO130" i="2"/>
  <c r="EO37" i="2"/>
  <c r="EO175" i="2"/>
  <c r="EO194" i="2"/>
  <c r="EO150" i="2"/>
  <c r="EO110" i="2"/>
  <c r="EO101" i="2"/>
  <c r="EO82" i="2"/>
  <c r="EO139" i="2"/>
  <c r="EO115" i="2"/>
  <c r="EO134" i="2"/>
  <c r="EO164" i="2"/>
  <c r="EO189" i="2"/>
  <c r="EO147" i="2"/>
  <c r="EO84" i="2"/>
  <c r="EO44" i="2"/>
  <c r="EO107" i="2"/>
  <c r="EO50" i="2"/>
  <c r="EO151" i="2"/>
  <c r="EO53" i="2"/>
  <c r="EO170" i="2"/>
  <c r="EO124" i="2"/>
  <c r="EO13" i="2"/>
  <c r="EO29" i="2"/>
  <c r="EO196" i="2"/>
  <c r="EO48" i="2"/>
  <c r="EO96" i="2"/>
  <c r="EO158" i="2"/>
  <c r="EO159" i="2"/>
  <c r="EO102" i="2"/>
  <c r="EO10" i="2"/>
  <c r="EO100" i="2"/>
  <c r="EO99" i="2"/>
  <c r="EO67" i="2"/>
  <c r="EO33" i="2"/>
  <c r="EO94" i="2"/>
  <c r="EO195" i="2"/>
  <c r="EO81" i="2"/>
  <c r="EO118" i="2"/>
  <c r="EO62" i="2"/>
  <c r="EO155" i="2"/>
  <c r="EO156" i="2"/>
  <c r="EO186" i="2"/>
  <c r="EO125" i="2"/>
  <c r="EO85" i="2"/>
  <c r="EO34" i="2"/>
  <c r="EO149" i="2"/>
  <c r="EO103" i="2"/>
  <c r="EO65" i="2"/>
  <c r="EO30" i="2"/>
  <c r="EO9" i="2"/>
  <c r="EO23" i="2"/>
  <c r="EO185" i="2"/>
  <c r="EO95" i="2"/>
  <c r="EO17" i="2"/>
  <c r="EO133" i="2"/>
  <c r="EO198" i="2"/>
  <c r="EO22" i="2"/>
  <c r="EO66" i="2"/>
  <c r="EO129" i="2"/>
  <c r="EO32" i="2"/>
  <c r="EO25" i="2"/>
  <c r="EO181" i="2"/>
  <c r="EO157" i="2"/>
  <c r="EO69" i="2"/>
  <c r="EO42" i="2"/>
  <c r="EO183" i="2"/>
  <c r="EO78" i="2"/>
  <c r="EO19" i="2"/>
  <c r="EO72" i="2"/>
  <c r="EO136" i="2"/>
  <c r="EO141" i="2"/>
  <c r="EO109" i="2"/>
  <c r="EO114" i="2"/>
  <c r="EO199" i="2"/>
  <c r="EO143" i="2"/>
  <c r="EO14" i="2"/>
  <c r="EO18" i="2"/>
  <c r="EO171" i="2"/>
  <c r="EO167" i="2"/>
  <c r="EO192" i="2"/>
  <c r="EO16" i="2"/>
  <c r="EO117" i="2"/>
  <c r="EO91" i="2"/>
  <c r="EO153" i="2"/>
  <c r="EO88" i="2"/>
  <c r="EO63" i="2"/>
  <c r="EO70" i="2"/>
  <c r="EO93" i="2"/>
  <c r="EO86" i="2"/>
  <c r="EO168" i="2"/>
  <c r="EO36" i="2"/>
  <c r="EO77" i="2"/>
  <c r="EO144" i="2"/>
  <c r="EO68" i="2"/>
  <c r="EO172" i="2"/>
  <c r="EO178" i="2"/>
  <c r="EO35" i="2"/>
  <c r="EO79" i="2"/>
  <c r="EO60" i="2"/>
  <c r="EO161" i="2"/>
  <c r="EO98" i="2"/>
  <c r="EO75" i="2"/>
  <c r="EO97" i="2"/>
  <c r="EO135" i="2"/>
  <c r="EO11" i="2"/>
  <c r="EO8" i="2"/>
  <c r="EO152" i="2"/>
  <c r="EO24" i="2"/>
  <c r="EO12" i="2"/>
  <c r="EO5" i="2"/>
  <c r="EO28" i="2"/>
  <c r="EO59" i="2"/>
  <c r="EO190" i="2"/>
  <c r="EO187" i="2"/>
  <c r="EO90" i="2"/>
  <c r="EO92" i="2"/>
  <c r="EO193" i="2"/>
  <c r="EO176" i="2"/>
  <c r="EO121" i="2"/>
  <c r="EO7" i="2"/>
  <c r="EO54" i="2"/>
  <c r="EO142" i="2"/>
  <c r="EO123" i="2"/>
  <c r="EO108" i="2"/>
  <c r="EO119" i="2"/>
  <c r="EO76" i="2"/>
  <c r="EO27" i="2"/>
  <c r="EO73" i="2"/>
  <c r="EO3" i="2"/>
  <c r="C12" i="4" s="1"/>
  <c r="E12" i="4" s="1"/>
  <c r="F12" i="4" s="1"/>
  <c r="G12" i="4" s="1"/>
  <c r="L12" i="4" s="1"/>
  <c r="EO173" i="2"/>
  <c r="EO126" i="2"/>
  <c r="EO38" i="2"/>
  <c r="EO160" i="2"/>
  <c r="EO4" i="2"/>
  <c r="EO202" i="2"/>
  <c r="EO197" i="2"/>
  <c r="EO20" i="2"/>
  <c r="EO180" i="2"/>
  <c r="EO177" i="2"/>
  <c r="EO111" i="2"/>
  <c r="EO74" i="2"/>
  <c r="EO191" i="2"/>
  <c r="EO52" i="2"/>
  <c r="EO40" i="2"/>
  <c r="EO138" i="2"/>
  <c r="EO154" i="2"/>
  <c r="EO201" i="2"/>
  <c r="EO83" i="2"/>
  <c r="EO45" i="2"/>
  <c r="EO39" i="2"/>
  <c r="EO106" i="2"/>
  <c r="EO47" i="2"/>
  <c r="EO89" i="2"/>
  <c r="EO166" i="2"/>
  <c r="EO41" i="2"/>
  <c r="EO55" i="2"/>
  <c r="EO146" i="2"/>
  <c r="EO31" i="2"/>
  <c r="EO58" i="2"/>
  <c r="EO46" i="2"/>
  <c r="EO71" i="2"/>
  <c r="EO127" i="2"/>
  <c r="EO200" i="2"/>
  <c r="EO57" i="2"/>
  <c r="EO132" i="2"/>
  <c r="EO188" i="2"/>
  <c r="EO116" i="2"/>
  <c r="EO6" i="2"/>
  <c r="EO43" i="2"/>
  <c r="EO182" i="2"/>
  <c r="EO179" i="2"/>
  <c r="EO51" i="2"/>
  <c r="EO184" i="2"/>
  <c r="EO104" i="2"/>
  <c r="EO56" i="2"/>
  <c r="CD84" i="2"/>
  <c r="CD81" i="2"/>
  <c r="CD168" i="2"/>
  <c r="CD140" i="2"/>
  <c r="CD189" i="2"/>
  <c r="CD148" i="2"/>
  <c r="CD161" i="2"/>
  <c r="CD175" i="2"/>
  <c r="CD186" i="2"/>
  <c r="CD121" i="2"/>
  <c r="CD130" i="2"/>
  <c r="CD147" i="2"/>
  <c r="CD25" i="2"/>
  <c r="CD68" i="2"/>
  <c r="CD153" i="2"/>
  <c r="CD202" i="2"/>
  <c r="CD3" i="2"/>
  <c r="C9" i="4" s="1"/>
  <c r="E9" i="4" s="1"/>
  <c r="F9" i="4" s="1"/>
  <c r="G9" i="4" s="1"/>
  <c r="L9" i="4" s="1"/>
  <c r="CD56" i="2"/>
  <c r="CD199" i="2"/>
  <c r="CD104" i="2"/>
  <c r="CD80" i="2"/>
  <c r="CD60" i="2"/>
  <c r="CD22" i="2"/>
  <c r="CD176" i="2"/>
  <c r="CD182" i="2"/>
  <c r="CD163" i="2"/>
  <c r="CD94" i="2"/>
  <c r="CD73" i="2"/>
  <c r="CD20" i="2"/>
  <c r="CD123" i="2"/>
  <c r="CD12" i="2"/>
  <c r="CD150" i="2"/>
  <c r="CD87" i="2"/>
  <c r="CD187" i="2"/>
  <c r="CD82" i="2"/>
  <c r="CD152" i="2"/>
  <c r="CD138" i="2"/>
  <c r="CD58" i="2"/>
  <c r="CD17" i="2"/>
  <c r="CD97" i="2"/>
  <c r="CD166" i="2"/>
  <c r="CD156" i="2"/>
  <c r="CD154" i="2"/>
  <c r="CD30" i="2"/>
  <c r="CD201" i="2"/>
  <c r="CD190" i="2"/>
  <c r="CD91" i="2"/>
  <c r="CD16" i="2"/>
  <c r="CD128" i="2"/>
  <c r="CD164" i="2"/>
  <c r="CD23" i="2"/>
  <c r="CD155" i="2"/>
  <c r="CD27" i="2"/>
  <c r="CD195" i="2"/>
  <c r="CD96" i="2"/>
  <c r="CD196" i="2"/>
  <c r="CD5" i="2"/>
  <c r="CD92" i="2"/>
  <c r="CD177" i="2"/>
  <c r="CD139" i="2"/>
  <c r="CD78" i="2"/>
  <c r="CD67" i="2"/>
  <c r="CD191" i="2"/>
  <c r="CD7" i="2"/>
  <c r="CD174" i="2"/>
  <c r="CD158" i="2"/>
  <c r="CD157" i="2"/>
  <c r="CD59" i="2"/>
  <c r="CD143" i="2"/>
  <c r="CD146" i="2"/>
  <c r="CD88" i="2"/>
  <c r="CD46" i="2"/>
  <c r="CD83" i="2"/>
  <c r="CD53" i="2"/>
  <c r="CD49" i="2"/>
  <c r="CD118" i="2"/>
  <c r="CD127" i="2"/>
  <c r="CD11" i="2"/>
  <c r="CD39" i="2"/>
  <c r="CD134" i="2"/>
  <c r="CD106" i="2"/>
  <c r="CD55" i="2"/>
  <c r="CD114" i="2"/>
  <c r="CD180" i="2"/>
  <c r="CD36" i="2"/>
  <c r="CD71" i="2"/>
  <c r="CD170" i="2"/>
  <c r="CD165" i="2"/>
  <c r="CD159" i="2"/>
  <c r="CD99" i="2"/>
  <c r="CD105" i="2"/>
  <c r="CD77" i="2"/>
  <c r="CD117" i="2"/>
  <c r="CD69" i="2"/>
  <c r="CD26" i="2"/>
  <c r="CD35" i="2"/>
  <c r="CD13" i="2"/>
  <c r="CD184" i="2"/>
  <c r="CD50" i="2"/>
  <c r="CD129" i="2"/>
  <c r="CD37" i="2"/>
  <c r="CD136" i="2"/>
  <c r="CD70" i="2"/>
  <c r="CD8" i="2"/>
  <c r="CD76" i="2"/>
  <c r="CD113" i="2"/>
  <c r="CD31" i="2"/>
  <c r="CD90" i="2"/>
  <c r="CD63" i="2"/>
  <c r="CD98" i="2"/>
  <c r="CD38" i="2"/>
  <c r="CD185" i="2"/>
  <c r="CD178" i="2"/>
  <c r="CD4" i="2"/>
  <c r="CD167" i="2"/>
  <c r="CD79" i="2"/>
  <c r="CD64" i="2"/>
  <c r="CD14" i="2"/>
  <c r="CD160" i="2"/>
  <c r="CD66" i="2"/>
  <c r="CD162" i="2"/>
  <c r="CD74" i="2"/>
  <c r="CD44" i="2"/>
  <c r="CD43" i="2"/>
  <c r="CD135" i="2"/>
  <c r="CD116" i="2"/>
  <c r="CD203" i="2"/>
  <c r="CD75" i="2"/>
  <c r="CD115" i="2"/>
  <c r="CD33" i="2"/>
  <c r="CD100" i="2"/>
  <c r="CD18" i="2"/>
  <c r="CD142" i="2"/>
  <c r="CD119" i="2"/>
  <c r="CD19" i="2"/>
  <c r="CD131" i="2"/>
  <c r="CD21" i="2"/>
  <c r="CD179" i="2"/>
  <c r="CD198" i="2"/>
  <c r="CD62" i="2"/>
  <c r="CD95" i="2"/>
  <c r="CD85" i="2"/>
  <c r="CD6" i="2"/>
  <c r="CD29" i="2"/>
  <c r="CD24" i="2"/>
  <c r="CD28" i="2"/>
  <c r="CD132" i="2"/>
  <c r="CD145" i="2"/>
  <c r="CD10" i="2"/>
  <c r="CD89" i="2"/>
  <c r="CD188" i="2"/>
  <c r="CD193" i="2"/>
  <c r="CD122" i="2"/>
  <c r="CD15" i="2"/>
  <c r="CD181" i="2"/>
  <c r="CD108" i="2"/>
  <c r="CD42" i="2"/>
  <c r="CD125" i="2"/>
  <c r="CD72" i="2"/>
  <c r="CD65" i="2"/>
  <c r="CD61" i="2"/>
  <c r="CD57" i="2"/>
  <c r="CD172" i="2"/>
  <c r="CD86" i="2"/>
  <c r="CD124" i="2"/>
  <c r="CD109" i="2"/>
  <c r="CD32" i="2"/>
  <c r="CD51" i="2"/>
  <c r="CD192" i="2"/>
  <c r="CD111" i="2"/>
  <c r="CD45" i="2"/>
  <c r="CD47" i="2"/>
  <c r="CD120" i="2"/>
  <c r="CD107" i="2"/>
  <c r="CD194" i="2"/>
  <c r="CD133" i="2"/>
  <c r="CD173" i="2"/>
  <c r="CD52" i="2"/>
  <c r="CD171" i="2"/>
  <c r="CD144" i="2"/>
  <c r="CD197" i="2"/>
  <c r="CD41" i="2"/>
  <c r="CD48" i="2"/>
  <c r="CD34" i="2"/>
  <c r="CD93" i="2"/>
  <c r="CD9" i="2"/>
  <c r="CD137" i="2"/>
  <c r="CD183" i="2"/>
  <c r="CD151" i="2"/>
  <c r="CD110" i="2"/>
  <c r="CD102" i="2"/>
  <c r="CD141" i="2"/>
  <c r="CD169" i="2"/>
  <c r="CD40" i="2"/>
  <c r="CD101" i="2"/>
  <c r="CD112" i="2"/>
  <c r="CD54" i="2"/>
  <c r="CD200" i="2"/>
  <c r="CD126" i="2"/>
  <c r="CD149" i="2"/>
  <c r="CD103" i="2"/>
  <c r="DT27" i="2"/>
  <c r="DT23" i="2"/>
  <c r="DT76" i="2"/>
  <c r="DT34" i="2"/>
  <c r="DT186" i="2"/>
  <c r="DT67" i="2"/>
  <c r="DT196" i="2"/>
  <c r="DT32" i="2"/>
  <c r="DT97" i="2"/>
  <c r="DT123" i="2"/>
  <c r="DT50" i="2"/>
  <c r="DT42" i="2"/>
  <c r="DT108" i="2"/>
  <c r="DT127" i="2"/>
  <c r="DT137" i="2"/>
  <c r="DT146" i="2"/>
  <c r="DT40" i="2"/>
  <c r="DT121" i="2"/>
  <c r="DT3" i="2"/>
  <c r="C11" i="4" s="1"/>
  <c r="E11" i="4" s="1"/>
  <c r="F11" i="4" s="1"/>
  <c r="G11" i="4" s="1"/>
  <c r="L11" i="4" s="1"/>
  <c r="DT15" i="2"/>
  <c r="DT185" i="2"/>
  <c r="DT125" i="2"/>
  <c r="DT150" i="2"/>
  <c r="DT114" i="2"/>
  <c r="DT69" i="2"/>
  <c r="DT141" i="2"/>
  <c r="DT11" i="2"/>
  <c r="DT165" i="2"/>
  <c r="DT192" i="2"/>
  <c r="DT96" i="2"/>
  <c r="DT83" i="2"/>
  <c r="DT197" i="2"/>
  <c r="DT18" i="2"/>
  <c r="DT13" i="2"/>
  <c r="DT63" i="2"/>
  <c r="DT14" i="2"/>
  <c r="DT180" i="2"/>
  <c r="DT59" i="2"/>
  <c r="DT188" i="2"/>
  <c r="DT113" i="2"/>
  <c r="DT118" i="2"/>
  <c r="DT176" i="2"/>
  <c r="DT43" i="2"/>
  <c r="DT45" i="2"/>
  <c r="DT80" i="2"/>
  <c r="DT85" i="2"/>
  <c r="DT25" i="2"/>
  <c r="DT91" i="2"/>
  <c r="DT36" i="2"/>
  <c r="DT102" i="2"/>
  <c r="DT183" i="2"/>
  <c r="DT33" i="2"/>
  <c r="DT29" i="2"/>
  <c r="DT179" i="2"/>
  <c r="DT5" i="2"/>
  <c r="DT65" i="2"/>
  <c r="DT133" i="2"/>
  <c r="DT117" i="2"/>
  <c r="DT171" i="2"/>
  <c r="DT158" i="2"/>
  <c r="DT106" i="2"/>
  <c r="DT160" i="2"/>
  <c r="DT162" i="2"/>
  <c r="DT24" i="2"/>
  <c r="DT169" i="2"/>
  <c r="DT64" i="2"/>
  <c r="DT12" i="2"/>
  <c r="DT175" i="2"/>
  <c r="DT157" i="2"/>
  <c r="DT41" i="2"/>
  <c r="DT172" i="2"/>
  <c r="DT81" i="2"/>
  <c r="DT92" i="2"/>
  <c r="DT107" i="2"/>
  <c r="DT104" i="2"/>
  <c r="DT120" i="2"/>
  <c r="DT77" i="2"/>
  <c r="DT156" i="2"/>
  <c r="DT166" i="2"/>
  <c r="DT193" i="2"/>
  <c r="DT98" i="2"/>
  <c r="DT19" i="2"/>
  <c r="DT153" i="2"/>
  <c r="DT17" i="2"/>
  <c r="DT181" i="2"/>
  <c r="DT22" i="2"/>
  <c r="DT73" i="2"/>
  <c r="DT37" i="2"/>
  <c r="DT31" i="2"/>
  <c r="DT159" i="2"/>
  <c r="DT70" i="2"/>
  <c r="DT60" i="2"/>
  <c r="DT21" i="2"/>
  <c r="DT154" i="2"/>
  <c r="DT8" i="2"/>
  <c r="DT53" i="2"/>
  <c r="DT7" i="2"/>
  <c r="DT177" i="2"/>
  <c r="DT119" i="2"/>
  <c r="DT68" i="2"/>
  <c r="DT131" i="2"/>
  <c r="DT194" i="2"/>
  <c r="DT143" i="2"/>
  <c r="DT110" i="2"/>
  <c r="DT55" i="2"/>
  <c r="DT147" i="2"/>
  <c r="DT195" i="2"/>
  <c r="DT84" i="2"/>
  <c r="DT49" i="2"/>
  <c r="DT87" i="2"/>
  <c r="DT144" i="2"/>
  <c r="DT105" i="2"/>
  <c r="DT95" i="2"/>
  <c r="DT47" i="2"/>
  <c r="DT99" i="2"/>
  <c r="DT52" i="2"/>
  <c r="DT138" i="2"/>
  <c r="DT115" i="2"/>
  <c r="DT129" i="2"/>
  <c r="DT168" i="2"/>
  <c r="DT4" i="2"/>
  <c r="DT178" i="2"/>
  <c r="DT79" i="2"/>
  <c r="DT112" i="2"/>
  <c r="DT139" i="2"/>
  <c r="DT30" i="2"/>
  <c r="DT44" i="2"/>
  <c r="DT72" i="2"/>
  <c r="DT20" i="2"/>
  <c r="DT109" i="2"/>
  <c r="DT189" i="2"/>
  <c r="DT145" i="2"/>
  <c r="DT135" i="2"/>
  <c r="DT93" i="2"/>
  <c r="DT111" i="2"/>
  <c r="DT62" i="2"/>
  <c r="DT61" i="2"/>
  <c r="DT94" i="2"/>
  <c r="DT199" i="2"/>
  <c r="DT51" i="2"/>
  <c r="DT128" i="2"/>
  <c r="DT151" i="2"/>
  <c r="DT48" i="2"/>
  <c r="DT86" i="2"/>
  <c r="DT75" i="2"/>
  <c r="DT38" i="2"/>
  <c r="DT184" i="2"/>
  <c r="DT191" i="2"/>
  <c r="DT203" i="2"/>
  <c r="DT28" i="2"/>
  <c r="DT26" i="2"/>
  <c r="DT200" i="2"/>
  <c r="DT16" i="2"/>
  <c r="DT90" i="2"/>
  <c r="DT6" i="2"/>
  <c r="DT155" i="2"/>
  <c r="DT100" i="2"/>
  <c r="DT152" i="2"/>
  <c r="DT149" i="2"/>
  <c r="DT54" i="2"/>
  <c r="DT201" i="2"/>
  <c r="DT161" i="2"/>
  <c r="DT57" i="2"/>
  <c r="DT101" i="2"/>
  <c r="DT167" i="2"/>
  <c r="DT134" i="2"/>
  <c r="DT74" i="2"/>
  <c r="DT174" i="2"/>
  <c r="DT56" i="2"/>
  <c r="DT122" i="2"/>
  <c r="DT82" i="2"/>
  <c r="DT163" i="2"/>
  <c r="DT130" i="2"/>
  <c r="DT136" i="2"/>
  <c r="DT103" i="2"/>
  <c r="DT78" i="2"/>
  <c r="DT164" i="2"/>
  <c r="DT182" i="2"/>
  <c r="DT10" i="2"/>
  <c r="DT39" i="2"/>
  <c r="DT58" i="2"/>
  <c r="DT173" i="2"/>
  <c r="DT126" i="2"/>
  <c r="DT142" i="2"/>
  <c r="DT198" i="2"/>
  <c r="DT190" i="2"/>
  <c r="DT187" i="2"/>
  <c r="DT116" i="2"/>
  <c r="DT35" i="2"/>
  <c r="DT46" i="2"/>
  <c r="DT132" i="2"/>
  <c r="DT71" i="2"/>
  <c r="DT148" i="2"/>
  <c r="DT124" i="2"/>
  <c r="DT202" i="2"/>
  <c r="DT140" i="2"/>
  <c r="DT66" i="2"/>
  <c r="DT9" i="2"/>
  <c r="DT170" i="2"/>
  <c r="DT88" i="2"/>
  <c r="DT89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8" i="2" l="1"/>
  <c r="BI114" i="2"/>
  <c r="BI84" i="2"/>
  <c r="BI20" i="2"/>
  <c r="BI136" i="2"/>
  <c r="BI47" i="2"/>
  <c r="BI71" i="2"/>
  <c r="BI61" i="2"/>
  <c r="BI152" i="2"/>
  <c r="BI100" i="2"/>
  <c r="BI70" i="2"/>
  <c r="BI174" i="2"/>
  <c r="BI109" i="2"/>
  <c r="BI81" i="2"/>
  <c r="BI124" i="2"/>
  <c r="BI50" i="2"/>
  <c r="BI197" i="2"/>
  <c r="BI170" i="2"/>
  <c r="BI7" i="2"/>
  <c r="BI202" i="2"/>
  <c r="BI91" i="2"/>
  <c r="BI53" i="2"/>
  <c r="BI168" i="2"/>
  <c r="BI160" i="2"/>
  <c r="BI198" i="2"/>
  <c r="BI63" i="2"/>
  <c r="BI110" i="2"/>
  <c r="BI36" i="2"/>
  <c r="BI82" i="2"/>
  <c r="BI107" i="2"/>
  <c r="BI128" i="2"/>
  <c r="BI192" i="2"/>
  <c r="BI167" i="2"/>
  <c r="BI143" i="2"/>
  <c r="BI33" i="2"/>
  <c r="BI85" i="2"/>
  <c r="BI52" i="2"/>
  <c r="BI140" i="2"/>
  <c r="BI156" i="2"/>
  <c r="BI55" i="2"/>
  <c r="BI101" i="2"/>
  <c r="BI105" i="2"/>
  <c r="BI29" i="2"/>
  <c r="BI171" i="2"/>
  <c r="BI157" i="2"/>
  <c r="BI108" i="2"/>
  <c r="BI125" i="2"/>
  <c r="BI172" i="2"/>
  <c r="BI49" i="2"/>
  <c r="BI154" i="2"/>
  <c r="BI41" i="2"/>
  <c r="BI182" i="2"/>
  <c r="BI30" i="2"/>
  <c r="BI191" i="2"/>
  <c r="BI118" i="2"/>
  <c r="BI189" i="2"/>
  <c r="BI86" i="2"/>
  <c r="BI147" i="2"/>
  <c r="BI123" i="2"/>
  <c r="BI116" i="2"/>
  <c r="BI113" i="2"/>
  <c r="BI127" i="2"/>
  <c r="BI155" i="2"/>
  <c r="BI14" i="2"/>
  <c r="BI64" i="2"/>
  <c r="BI27" i="2"/>
  <c r="BI129" i="2"/>
  <c r="BI181" i="2"/>
  <c r="BI51" i="2"/>
  <c r="BI130" i="2"/>
  <c r="BI43" i="2"/>
  <c r="BI68" i="2"/>
  <c r="BI115" i="2"/>
  <c r="BI112" i="2"/>
  <c r="BI96" i="2"/>
  <c r="BI23" i="2"/>
  <c r="BI158" i="2"/>
  <c r="BI149" i="2"/>
  <c r="BI164" i="2"/>
  <c r="BI28" i="2"/>
  <c r="BI139" i="2"/>
  <c r="BI193" i="2"/>
  <c r="BI201" i="2"/>
  <c r="BI87" i="2"/>
  <c r="BI165" i="2"/>
  <c r="BI150" i="2"/>
  <c r="BI9" i="2"/>
  <c r="BI75" i="2"/>
  <c r="BI98" i="2"/>
  <c r="BI186" i="2"/>
  <c r="BI38" i="2"/>
  <c r="BI15" i="2"/>
  <c r="BI19" i="2"/>
  <c r="BI199" i="2"/>
  <c r="BI24" i="2"/>
  <c r="BI37" i="2"/>
  <c r="BI169" i="2"/>
  <c r="BI135" i="2"/>
  <c r="BI173" i="2"/>
  <c r="BI22" i="2"/>
  <c r="BI4" i="2"/>
  <c r="BI18" i="2"/>
  <c r="BI179" i="2"/>
  <c r="BI126" i="2"/>
  <c r="BI13" i="2"/>
  <c r="BI74" i="2"/>
  <c r="BI117" i="2"/>
  <c r="BI16" i="2"/>
  <c r="BI32" i="2"/>
  <c r="BI83" i="2"/>
  <c r="BI153" i="2"/>
  <c r="BI195" i="2"/>
  <c r="BI162" i="2"/>
  <c r="BI104" i="2"/>
  <c r="BI42" i="2"/>
  <c r="BI163" i="2"/>
  <c r="BI58" i="2"/>
  <c r="BI88" i="2"/>
  <c r="BI151" i="2"/>
  <c r="BI190" i="2"/>
  <c r="BI69" i="2"/>
  <c r="BI141" i="2"/>
  <c r="BI8" i="2"/>
  <c r="BI119" i="2"/>
  <c r="BI59" i="2"/>
  <c r="BI144" i="2"/>
  <c r="BI80" i="2"/>
  <c r="BI99" i="2"/>
  <c r="BI146" i="2"/>
  <c r="BI102" i="2"/>
  <c r="BI93" i="2"/>
  <c r="BI187" i="2"/>
  <c r="BI10" i="2"/>
  <c r="BI175" i="2"/>
  <c r="BI106" i="2"/>
  <c r="BI161" i="2"/>
  <c r="BI95" i="2"/>
  <c r="BI194" i="2"/>
  <c r="BI34" i="2"/>
  <c r="BI196" i="2"/>
  <c r="BI142" i="2"/>
  <c r="BI44" i="2"/>
  <c r="BI25" i="2"/>
  <c r="BI46" i="2"/>
  <c r="BI176" i="2"/>
  <c r="BI57" i="2"/>
  <c r="BI159" i="2"/>
  <c r="BI203" i="2"/>
  <c r="BI26" i="2"/>
  <c r="BI67" i="2"/>
  <c r="BI66" i="2"/>
  <c r="BI103" i="2"/>
  <c r="BI120" i="2"/>
  <c r="BI78" i="2"/>
  <c r="BI3" i="2"/>
  <c r="C8" i="4" s="1"/>
  <c r="E8" i="4" s="1"/>
  <c r="F8" i="4" s="1"/>
  <c r="G8" i="4" s="1"/>
  <c r="L8" i="4" s="1"/>
  <c r="BI137" i="2"/>
  <c r="BI12" i="2"/>
  <c r="BI65" i="2"/>
  <c r="BI166" i="2"/>
  <c r="BI31" i="2"/>
  <c r="BI73" i="2"/>
  <c r="BI90" i="2"/>
  <c r="BI180" i="2"/>
  <c r="BI89" i="2"/>
  <c r="BI45" i="2"/>
  <c r="BI54" i="2"/>
  <c r="BI178" i="2"/>
  <c r="BI76" i="2"/>
  <c r="BI185" i="2"/>
  <c r="BI131" i="2"/>
  <c r="BI177" i="2"/>
  <c r="BI121" i="2"/>
  <c r="BI94" i="2"/>
  <c r="BI17" i="2"/>
  <c r="BI35" i="2"/>
  <c r="BI133" i="2"/>
  <c r="BI145" i="2"/>
  <c r="BI11" i="2"/>
  <c r="BI138" i="2"/>
  <c r="BI77" i="2"/>
  <c r="BI39" i="2"/>
  <c r="BI111" i="2"/>
  <c r="BI184" i="2"/>
  <c r="BI132" i="2"/>
  <c r="BI122" i="2"/>
  <c r="BI60" i="2"/>
  <c r="BI56" i="2"/>
  <c r="BI97" i="2"/>
  <c r="BI6" i="2"/>
  <c r="BI92" i="2"/>
  <c r="BI200" i="2"/>
  <c r="BI79" i="2"/>
  <c r="BI62" i="2"/>
  <c r="BI72" i="2"/>
  <c r="BI183" i="2"/>
  <c r="BI48" i="2"/>
  <c r="BI5" i="2"/>
  <c r="BI148" i="2"/>
  <c r="BI134" i="2"/>
  <c r="BI21" i="2"/>
  <c r="BI4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tc={62A1E670-6D3F-4CD0-AE7F-8AC44E824BDD}</author>
    <author>tc={425D1E99-B98D-4864-8950-AF7B01C86264}</author>
    <author>tc={8F54D893-D0EF-49C0-A2B7-8F00C7E3B6F1}</author>
    <author>tc={CE8DE784-91A8-4075-A4D0-3AC7C2EB98FC}</author>
    <author>tc={252A15A3-BD20-4644-ADEF-8187A05C4E49}</author>
    <author>tc={E00617E4-3D03-4559-A82D-71A3074BA412}</author>
    <author>tc={E5E3A605-078B-45CD-BFAF-E16A93164F63}</author>
    <author>tc={849810E7-B227-42DF-B692-4867171B4C1F}</author>
    <author>tc={9E2C39CB-4264-4736-AE1D-C0214AAD99D1}</author>
    <author>tc={B2B4D4BC-7BEA-4F48-B7E9-89EED53D5A26}</author>
    <author>tc={8221CC2D-739D-4CD3-BD5E-8557D8FB8AB3}</author>
    <author>tc={C33E2C3D-2148-4D66-86D7-9856F5F4779F}</author>
    <author>tc={31AF4B70-F7E1-41BA-A833-FE40DCA65A21}</author>
    <author>tc={F735ABA0-BA31-4EA4-AB0C-FF77099AB6EB}</author>
    <author>tc={447362BC-1A6B-4857-8E8E-D97B60A3F99F}</author>
    <author>tc={0D0120E2-C20C-4FE5-A9B4-4703FA9D6722}</author>
    <author>tc={048774CF-3631-48B9-989C-157B841DF97F}</author>
    <author>tc={3E904B93-5E63-4CEA-AD64-373DF06CE2A3}</author>
    <author>tc={D2660773-7E96-425D-A90E-697EAC80D976}</author>
    <author>tc={78CB1FD1-F911-471A-844F-5AD26C5606A3}</author>
    <author>tc={2E2C9091-B2AC-47D6-85FF-3E3E7E9190D4}</author>
    <author>tc={92E66D28-D88E-45C9-B170-3036BEC36DCA}</author>
    <author>tc={ABE176F4-3444-476D-8FDE-F4A3DF140698}</author>
    <author>tc={8C019888-6B76-47A9-96BC-188DA75717F9}</author>
    <author>tc={3C400172-E0FA-4B74-AA98-3ADD50A2C17F}</author>
    <author>tc={96F957EE-450A-44E3-B6B5-B62AB801E431}</author>
    <author>tc={8EADFB8E-1A14-4845-B916-CF260763A167}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62A1E670-6D3F-4CD0-AE7F-8AC44E824BD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425D1E99-B98D-4864-8950-AF7B01C86264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8F54D893-D0EF-49C0-A2B7-8F00C7E3B6F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CE8DE784-91A8-4075-A4D0-3AC7C2EB98F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252A15A3-BD20-4644-ADEF-8187A05C4E4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E00617E4-3D03-4559-A82D-71A3074BA41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E5E3A605-078B-45CD-BFAF-E16A93164F6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849810E7-B227-42DF-B692-4867171B4C1F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9E2C39CB-4264-4736-AE1D-C0214AAD99D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2" authorId="16" shapeId="0" xr:uid="{B2B4D4BC-7BEA-4F48-B7E9-89EED53D5A2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3" authorId="17" shapeId="0" xr:uid="{8221CC2D-739D-4CD3-BD5E-8557D8FB8AB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44" authorId="18" shapeId="0" xr:uid="{C33E2C3D-2148-4D66-86D7-9856F5F4779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3" authorId="19" shapeId="0" xr:uid="{31AF4B70-F7E1-41BA-A833-FE40DCA65A2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4" authorId="20" shapeId="0" xr:uid="{F735ABA0-BA31-4EA4-AB0C-FF77099AB6EB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75" authorId="21" shapeId="0" xr:uid="{447362BC-1A6B-4857-8E8E-D97B60A3F99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04" authorId="22" shapeId="0" xr:uid="{0D0120E2-C20C-4FE5-A9B4-4703FA9D672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05" authorId="23" shapeId="0" xr:uid="{048774CF-3631-48B9-989C-157B841DF97F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206" authorId="24" shapeId="0" xr:uid="{3E904B93-5E63-4CEA-AD64-373DF06CE2A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35" authorId="25" shapeId="0" xr:uid="{D2660773-7E96-425D-A90E-697EAC80D97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36" authorId="26" shapeId="0" xr:uid="{78CB1FD1-F911-471A-844F-5AD26C5606A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237" authorId="27" shapeId="0" xr:uid="{2E2C9091-B2AC-47D6-85FF-3E3E7E9190D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66" authorId="28" shapeId="0" xr:uid="{92E66D28-D88E-45C9-B170-3036BEC36DC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67" authorId="29" shapeId="0" xr:uid="{ABE176F4-3444-476D-8FDE-F4A3DF14069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268" authorId="30" shapeId="0" xr:uid="{8C019888-6B76-47A9-96BC-188DA75717F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97" authorId="31" shapeId="0" xr:uid="{3C400172-E0FA-4B74-AA98-3ADD50A2C17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98" authorId="32" shapeId="0" xr:uid="{96F957EE-450A-44E3-B6B5-B62AB801E431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299" authorId="33" shapeId="0" xr:uid="{8EADFB8E-1A14-4845-B916-CF260763A16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<sst xmlns="http://schemas.openxmlformats.org/spreadsheetml/2006/main" count="1185" uniqueCount="330">
  <si>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</si>
  <si>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</si>
  <si>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</si>
  <si>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</si>
  <si>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</si>
  <si>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</si>
  <si>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</si>
  <si>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</si>
  <si>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</si>
  <si>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</si>
  <si>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</si>
  <si>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</si>
  <si>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</si>
  <si>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</si>
  <si>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</si>
  <si>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</si>
  <si>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</si>
  <si>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</si>
  <si>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</si>
  <si>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</si>
  <si>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</si>
  <si>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</si>
  <si>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</si>
  <si>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</si>
  <si>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</si>
  <si>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</si>
  <si>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</si>
  <si>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</si>
  <si>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</si>
  <si>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</si>
  <si>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</si>
  <si>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</si>
  <si>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</si>
  <si>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</si>
  <si>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</si>
  <si>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</si>
  <si>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</si>
  <si>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</si>
  <si>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</si>
  <si>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</si>
  <si>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</si>
  <si>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</si>
  <si>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</si>
  <si>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</si>
  <si>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</si>
  <si>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</si>
  <si>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</si>
  <si>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</si>
  <si>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</si>
  <si>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</si>
  <si>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</si>
  <si>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</si>
  <si>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</si>
  <si>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</si>
  <si>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</si>
  <si>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</si>
  <si>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</si>
  <si>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</si>
  <si>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</si>
  <si>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</si>
  <si>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</si>
  <si>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</si>
  <si>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</si>
  <si>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</si>
  <si>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</si>
  <si>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</si>
  <si>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</si>
  <si>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</si>
  <si>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</si>
  <si>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</si>
  <si>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</si>
  <si>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</si>
  <si>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</si>
  <si>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</si>
  <si>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</si>
  <si>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</si>
  <si>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</si>
  <si>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</si>
  <si>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</si>
  <si>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</si>
  <si>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</si>
  <si>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</si>
  <si>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</si>
  <si>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</si>
  <si>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</si>
  <si>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</si>
  <si>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</si>
  <si>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</si>
  <si>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</si>
  <si>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</si>
  <si>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</si>
  <si>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</si>
  <si>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</si>
  <si>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</si>
  <si>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</si>
  <si>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</si>
  <si>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</si>
  <si>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</si>
  <si>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</si>
  <si>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</si>
  <si>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</si>
  <si>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</si>
  <si>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</si>
  <si>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</si>
  <si>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</si>
  <si>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</si>
  <si>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</si>
  <si>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</si>
  <si>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</si>
  <si>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</si>
  <si>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</si>
  <si>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</si>
  <si>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</si>
  <si>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</si>
  <si>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</si>
  <si>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</si>
  <si>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</si>
  <si>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</si>
  <si>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</si>
  <si>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</si>
  <si>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</si>
  <si>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</si>
  <si>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</si>
  <si>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</si>
  <si>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</si>
  <si>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</si>
  <si>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</si>
  <si>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</si>
  <si>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</si>
  <si>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</si>
  <si>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</si>
  <si>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</si>
  <si>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</si>
  <si>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</si>
  <si>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</si>
  <si>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</si>
  <si>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</si>
  <si>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</si>
  <si>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</si>
  <si>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</si>
  <si>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</si>
  <si>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</si>
  <si>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</si>
  <si>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</si>
  <si>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</si>
  <si>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</si>
  <si>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</si>
  <si>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</si>
  <si>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</si>
  <si>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</si>
  <si>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</si>
  <si>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</si>
  <si>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</si>
  <si>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</si>
  <si>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</si>
  <si>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</si>
  <si>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</si>
  <si>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</si>
  <si>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</si>
  <si>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</si>
  <si>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</si>
  <si>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</si>
  <si>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</si>
  <si>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</si>
  <si>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</si>
  <si>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</si>
  <si>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</si>
  <si>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</si>
  <si>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</si>
  <si>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</si>
  <si>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</si>
  <si>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</si>
  <si>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</si>
  <si>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</si>
  <si>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</si>
  <si>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</si>
  <si>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</si>
  <si>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</si>
  <si>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</si>
  <si>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</si>
  <si>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</si>
  <si>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</si>
  <si>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</si>
  <si>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</si>
  <si>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</si>
  <si>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</si>
  <si>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</si>
  <si>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</si>
  <si>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</si>
  <si>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</si>
  <si>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</si>
  <si>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</si>
  <si>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</si>
  <si>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</si>
  <si>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</si>
  <si>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</si>
  <si>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</si>
  <si>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</si>
  <si>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</si>
  <si>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</si>
  <si>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</si>
  <si>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</si>
  <si>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</si>
  <si>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</si>
  <si>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</si>
  <si>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</si>
  <si>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</si>
  <si>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</si>
  <si>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</si>
  <si>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</si>
  <si>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</si>
  <si>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</si>
  <si>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</si>
  <si>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</si>
  <si>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</si>
  <si>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</si>
  <si>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</si>
  <si>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</si>
  <si>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</si>
  <si>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</si>
  <si>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</si>
  <si>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</si>
  <si>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</si>
  <si>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</si>
  <si>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</si>
  <si>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</si>
  <si>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</si>
  <si>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</si>
  <si>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</si>
  <si>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</si>
  <si>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</si>
  <si>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</si>
  <si>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</si>
  <si>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</si>
  <si>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</si>
  <si>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</si>
  <si>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</si>
  <si>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</si>
  <si>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</si>
  <si>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</si>
  <si>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</si>
  <si>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</si>
  <si>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</si>
  <si>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</si>
  <si>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</si>
  <si>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</si>
  <si>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</si>
  <si>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</si>
  <si>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</si>
  <si>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</si>
  <si>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</si>
  <si>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</si>
  <si>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</si>
  <si>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</si>
  <si>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</si>
  <si>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</si>
  <si>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</si>
  <si>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</si>
  <si>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</si>
  <si>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</si>
  <si>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</si>
  <si>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</si>
  <si>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</si>
  <si>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</si>
  <si>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</si>
  <si>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</si>
  <si>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</si>
  <si>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</si>
  <si>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</si>
  <si>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</si>
  <si>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</si>
  <si>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</si>
  <si>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</si>
  <si>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</si>
  <si>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</si>
  <si>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</si>
  <si>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</si>
  <si>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</si>
  <si>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</si>
  <si>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</si>
  <si>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</si>
  <si>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</si>
  <si>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</si>
  <si>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</si>
  <si>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</si>
  <si>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</si>
  <si>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</si>
  <si>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</si>
  <si>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</si>
  <si>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</si>
  <si>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</si>
  <si>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</si>
  <si>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</si>
  <si>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</si>
  <si>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</si>
  <si>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</si>
  <si>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</si>
  <si>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</si>
  <si>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</si>
  <si>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</si>
  <si>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</si>
  <si>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</si>
  <si>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</si>
  <si>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</si>
  <si>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</si>
  <si>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</si>
  <si>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</si>
  <si>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</si>
  <si>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</si>
  <si>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</si>
  <si>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</si>
  <si>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</si>
  <si>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</si>
  <si>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</si>
  <si>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</si>
  <si>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</si>
  <si>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</si>
  <si>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</si>
  <si>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</si>
  <si>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</si>
  <si>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</si>
  <si>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</si>
  <si>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</si>
  <si>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</si>
  <si>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</si>
  <si>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Coût total du projet Néosylva sur les 5 premières années</t>
  </si>
  <si>
    <t>Cout plantation + entretien</t>
  </si>
  <si>
    <t>Cout gestionnaire</t>
  </si>
  <si>
    <t>Frais notariés</t>
  </si>
  <si>
    <t>Van 2e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</si>
</sst>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6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9.4193882827073434</c:v>
                </c:pt>
                <c:pt idx="2">
                  <c:v>18.42638818768588</c:v>
                </c:pt>
                <c:pt idx="3">
                  <c:v>27.300207347259629</c:v>
                </c:pt>
                <c:pt idx="4">
                  <c:v>36.091930796591754</c:v>
                </c:pt>
                <c:pt idx="5">
                  <c:v>44.824711948296368</c:v>
                </c:pt>
                <c:pt idx="6">
                  <c:v>53.511758475610577</c:v>
                </c:pt>
                <c:pt idx="7">
                  <c:v>62.161584854788174</c:v>
                </c:pt>
                <c:pt idx="8">
                  <c:v>70.78012175469128</c:v>
                </c:pt>
                <c:pt idx="9">
                  <c:v>79.371728292377725</c:v>
                </c:pt>
                <c:pt idx="10">
                  <c:v>87.939738063743405</c:v>
                </c:pt>
                <c:pt idx="11">
                  <c:v>96.486779364248193</c:v>
                </c:pt>
                <c:pt idx="12">
                  <c:v>105.01497520828984</c:v>
                </c:pt>
                <c:pt idx="13">
                  <c:v>113.52607459732667</c:v>
                </c:pt>
                <c:pt idx="14">
                  <c:v>122.02154217035626</c:v>
                </c:pt>
                <c:pt idx="15">
                  <c:v>130.5026214760403</c:v>
                </c:pt>
                <c:pt idx="16">
                  <c:v>138.97038087611381</c:v>
                </c:pt>
                <c:pt idx="17">
                  <c:v>147.42574763909488</c:v>
                </c:pt>
                <c:pt idx="18">
                  <c:v>155.86953378049074</c:v>
                </c:pt>
                <c:pt idx="19">
                  <c:v>164.30245599611001</c:v>
                </c:pt>
                <c:pt idx="20">
                  <c:v>172.725151279172</c:v>
                </c:pt>
                <c:pt idx="21">
                  <c:v>181.13818932523142</c:v>
                </c:pt>
                <c:pt idx="22">
                  <c:v>189.54208250731338</c:v>
                </c:pt>
                <c:pt idx="23">
                  <c:v>197.93729398611916</c:v>
                </c:pt>
                <c:pt idx="24">
                  <c:v>206.32424436996232</c:v>
                </c:pt>
                <c:pt idx="25">
                  <c:v>214.70331723343793</c:v>
                </c:pt>
                <c:pt idx="26">
                  <c:v>223.07486372824971</c:v>
                </c:pt>
                <c:pt idx="27">
                  <c:v>231.43920646472668</c:v>
                </c:pt>
                <c:pt idx="28">
                  <c:v>239.79664280213578</c:v>
                </c:pt>
                <c:pt idx="29">
                  <c:v>248.14744765573963</c:v>
                </c:pt>
                <c:pt idx="30">
                  <c:v>256.49187590579737</c:v>
                </c:pt>
                <c:pt idx="31">
                  <c:v>264.8301644763423</c:v>
                </c:pt>
                <c:pt idx="32">
                  <c:v>273.16253413819476</c:v>
                </c:pt>
                <c:pt idx="33">
                  <c:v>281.48919108026752</c:v>
                </c:pt>
                <c:pt idx="34">
                  <c:v>289.81032828505903</c:v>
                </c:pt>
                <c:pt idx="35">
                  <c:v>298.12612673777545</c:v>
                </c:pt>
                <c:pt idx="36">
                  <c:v>306.43675649338468</c:v>
                </c:pt>
                <c:pt idx="37">
                  <c:v>314.74237762177472</c:v>
                </c:pt>
                <c:pt idx="38">
                  <c:v>323.04314104785948</c:v>
                </c:pt>
                <c:pt idx="39">
                  <c:v>331.3391893007655</c:v>
                </c:pt>
                <c:pt idx="40">
                  <c:v>339.6306571840156</c:v>
                </c:pt>
                <c:pt idx="41">
                  <c:v>347.91767237680875</c:v>
                </c:pt>
                <c:pt idx="42">
                  <c:v>356.200355974986</c:v>
                </c:pt>
                <c:pt idx="43">
                  <c:v>283.94198420506444</c:v>
                </c:pt>
                <c:pt idx="44">
                  <c:v>303.99006139658371</c:v>
                </c:pt>
                <c:pt idx="45">
                  <c:v>324.00873777215151</c:v>
                </c:pt>
                <c:pt idx="46">
                  <c:v>344.00008459215809</c:v>
                </c:pt>
                <c:pt idx="47">
                  <c:v>363.96591277003245</c:v>
                </c:pt>
                <c:pt idx="48">
                  <c:v>383.90781837980768</c:v>
                </c:pt>
                <c:pt idx="49">
                  <c:v>403.82721821030958</c:v>
                </c:pt>
                <c:pt idx="50">
                  <c:v>423.72537793632745</c:v>
                </c:pt>
                <c:pt idx="51">
                  <c:v>368.41010563020251</c:v>
                </c:pt>
                <c:pt idx="52">
                  <c:v>388.73491417546956</c:v>
                </c:pt>
                <c:pt idx="53">
                  <c:v>409.03666341625996</c:v>
                </c:pt>
                <c:pt idx="54">
                  <c:v>429.31665816428682</c:v>
                </c:pt>
                <c:pt idx="55">
                  <c:v>449.5760699670829</c:v>
                </c:pt>
                <c:pt idx="56">
                  <c:v>469.81595623341042</c:v>
                </c:pt>
                <c:pt idx="57">
                  <c:v>490.03727589169108</c:v>
                </c:pt>
                <c:pt idx="58">
                  <c:v>510.24090232987305</c:v>
                </c:pt>
                <c:pt idx="59">
                  <c:v>434.69957086033838</c:v>
                </c:pt>
                <c:pt idx="60">
                  <c:v>454.3153414858395</c:v>
                </c:pt>
                <c:pt idx="61">
                  <c:v>473.91301730495275</c:v>
                </c:pt>
                <c:pt idx="62">
                  <c:v>493.49345138740546</c:v>
                </c:pt>
                <c:pt idx="63">
                  <c:v>513.0574236314477</c:v>
                </c:pt>
                <c:pt idx="64">
                  <c:v>532.60564964776006</c:v>
                </c:pt>
                <c:pt idx="65">
                  <c:v>552.13878827175824</c:v>
                </c:pt>
                <c:pt idx="66">
                  <c:v>571.65744795804289</c:v>
                </c:pt>
                <c:pt idx="67">
                  <c:v>484.95916994912301</c:v>
                </c:pt>
                <c:pt idx="68">
                  <c:v>503.7135502793696</c:v>
                </c:pt>
                <c:pt idx="69">
                  <c:v>522.45316497823399</c:v>
                </c:pt>
                <c:pt idx="70">
                  <c:v>541.17861785321224</c:v>
                </c:pt>
                <c:pt idx="71">
                  <c:v>559.89046754860965</c:v>
                </c:pt>
                <c:pt idx="72">
                  <c:v>578.5892323508557</c:v>
                </c:pt>
                <c:pt idx="73">
                  <c:v>597.2753943406625</c:v>
                </c:pt>
                <c:pt idx="74">
                  <c:v>615.94940299886127</c:v>
                </c:pt>
                <c:pt idx="75">
                  <c:v>534.29935611056555</c:v>
                </c:pt>
                <c:pt idx="76">
                  <c:v>552.61677302812234</c:v>
                </c:pt>
                <c:pt idx="77">
                  <c:v>570.92146913609633</c:v>
                </c:pt>
                <c:pt idx="78">
                  <c:v>589.21390940540005</c:v>
                </c:pt>
                <c:pt idx="79">
                  <c:v>607.494527604268</c:v>
                </c:pt>
                <c:pt idx="80">
                  <c:v>625.7637292872231</c:v>
                </c:pt>
                <c:pt idx="81">
                  <c:v>644.02189441707537</c:v>
                </c:pt>
                <c:pt idx="82">
                  <c:v>662.26937967433901</c:v>
                </c:pt>
                <c:pt idx="83">
                  <c:v>680.50652049908581</c:v>
                </c:pt>
                <c:pt idx="84">
                  <c:v>698.73363290271516</c:v>
                </c:pt>
                <c:pt idx="85">
                  <c:v>586.85977477112215</c:v>
                </c:pt>
                <c:pt idx="86">
                  <c:v>604.32885050733364</c:v>
                </c:pt>
                <c:pt idx="87">
                  <c:v>621.78744064250577</c:v>
                </c:pt>
                <c:pt idx="88">
                  <c:v>639.23588082843344</c:v>
                </c:pt>
                <c:pt idx="89">
                  <c:v>656.67448691358697</c:v>
                </c:pt>
                <c:pt idx="90">
                  <c:v>674.10355661709843</c:v>
                </c:pt>
                <c:pt idx="91">
                  <c:v>691.52337102075171</c:v>
                </c:pt>
                <c:pt idx="92">
                  <c:v>708.93419590294559</c:v>
                </c:pt>
                <c:pt idx="93">
                  <c:v>726.33628293490972</c:v>
                </c:pt>
                <c:pt idx="94">
                  <c:v>743.72987075642277</c:v>
                </c:pt>
                <c:pt idx="95">
                  <c:v>630.69915716322805</c:v>
                </c:pt>
                <c:pt idx="96">
                  <c:v>647.62932676471792</c:v>
                </c:pt>
                <c:pt idx="97">
                  <c:v>664.55036966079922</c:v>
                </c:pt>
                <c:pt idx="98">
                  <c:v>681.46255078502929</c:v>
                </c:pt>
                <c:pt idx="99">
                  <c:v>698.36612085967442</c:v>
                </c:pt>
                <c:pt idx="100">
                  <c:v>715.26131749056776</c:v>
                </c:pt>
                <c:pt idx="101">
                  <c:v>732.14836615322599</c:v>
                </c:pt>
                <c:pt idx="102">
                  <c:v>749.02748108333992</c:v>
                </c:pt>
                <c:pt idx="103">
                  <c:v>765.89886608289453</c:v>
                </c:pt>
                <c:pt idx="104">
                  <c:v>782.76271525163827</c:v>
                </c:pt>
                <c:pt idx="105">
                  <c:v>673.11368631963296</c:v>
                </c:pt>
                <c:pt idx="106">
                  <c:v>689.78620966546498</c:v>
                </c:pt>
                <c:pt idx="107">
                  <c:v>706.45047530806914</c:v>
                </c:pt>
                <c:pt idx="108">
                  <c:v>723.10670530872665</c:v>
                </c:pt>
                <c:pt idx="109">
                  <c:v>739.75511067356092</c:v>
                </c:pt>
                <c:pt idx="110">
                  <c:v>756.3958921454024</c:v>
                </c:pt>
                <c:pt idx="111">
                  <c:v>773.02924092240949</c:v>
                </c:pt>
                <c:pt idx="112">
                  <c:v>789.65533931168341</c:v>
                </c:pt>
                <c:pt idx="113">
                  <c:v>806.27436132502669</c:v>
                </c:pt>
                <c:pt idx="114">
                  <c:v>822.886473223081</c:v>
                </c:pt>
                <c:pt idx="115">
                  <c:v>722.12455324042503</c:v>
                </c:pt>
                <c:pt idx="116">
                  <c:v>738.89298141622714</c:v>
                </c:pt>
                <c:pt idx="117">
                  <c:v>755.65366545974848</c:v>
                </c:pt>
                <c:pt idx="118">
                  <c:v>772.40680117461989</c:v>
                </c:pt>
                <c:pt idx="119">
                  <c:v>789.15257518634792</c:v>
                </c:pt>
                <c:pt idx="120">
                  <c:v>805.89116556212809</c:v>
                </c:pt>
                <c:pt idx="121">
                  <c:v>822.62274237653764</c:v>
                </c:pt>
                <c:pt idx="122">
                  <c:v>839.34746822886348</c:v>
                </c:pt>
                <c:pt idx="123">
                  <c:v>856.06549871709547</c:v>
                </c:pt>
                <c:pt idx="124">
                  <c:v>872.77698287301212</c:v>
                </c:pt>
                <c:pt idx="125">
                  <c:v>779.72454327011326</c:v>
                </c:pt>
                <c:pt idx="126">
                  <c:v>796.63052564953432</c:v>
                </c:pt>
                <c:pt idx="127">
                  <c:v>813.52926191120775</c:v>
                </c:pt>
                <c:pt idx="128">
                  <c:v>830.42092362074527</c:v>
                </c:pt>
                <c:pt idx="129">
                  <c:v>847.30567480242655</c:v>
                </c:pt>
                <c:pt idx="130">
                  <c:v>864.18367241741134</c:v>
                </c:pt>
                <c:pt idx="131">
                  <c:v>881.05506680269593</c:v>
                </c:pt>
                <c:pt idx="132">
                  <c:v>897.92000207473495</c:v>
                </c:pt>
                <c:pt idx="133">
                  <c:v>914.77861650120224</c:v>
                </c:pt>
                <c:pt idx="134">
                  <c:v>931.63104284395422</c:v>
                </c:pt>
                <c:pt idx="135">
                  <c:v>833.82980967165804</c:v>
                </c:pt>
                <c:pt idx="136">
                  <c:v>850.89934572048639</c:v>
                </c:pt>
                <c:pt idx="137">
                  <c:v>867.96201167288427</c:v>
                </c:pt>
                <c:pt idx="138">
                  <c:v>885.01796145758317</c:v>
                </c:pt>
                <c:pt idx="139">
                  <c:v>902.06734259341818</c:v>
                </c:pt>
                <c:pt idx="140">
                  <c:v>919.11029657480549</c:v>
                </c:pt>
                <c:pt idx="141">
                  <c:v>936.14695922717965</c:v>
                </c:pt>
                <c:pt idx="142">
                  <c:v>953.17746103524541</c:v>
                </c:pt>
                <c:pt idx="143">
                  <c:v>970.20192744657516</c:v>
                </c:pt>
                <c:pt idx="144">
                  <c:v>987.22047915282508</c:v>
                </c:pt>
                <c:pt idx="145">
                  <c:v>887.67014364583281</c:v>
                </c:pt>
                <c:pt idx="146">
                  <c:v>905.06530892730018</c:v>
                </c:pt>
                <c:pt idx="147">
                  <c:v>922.45380813334907</c:v>
                </c:pt>
                <c:pt idx="148">
                  <c:v>939.83578447022671</c:v>
                </c:pt>
                <c:pt idx="149">
                  <c:v>957.21137542177928</c:v>
                </c:pt>
                <c:pt idx="150">
                  <c:v>974.5807130799385</c:v>
                </c:pt>
                <c:pt idx="151">
                  <c:v>991.94392445044957</c:v>
                </c:pt>
                <c:pt idx="152">
                  <c:v>1009.3011317361103</c:v>
                </c:pt>
                <c:pt idx="153">
                  <c:v>1026.6524525995455</c:v>
                </c:pt>
                <c:pt idx="154">
                  <c:v>1043.9980004073127</c:v>
                </c:pt>
                <c:pt idx="155">
                  <c:v>946.64693474066087</c:v>
                </c:pt>
                <c:pt idx="156">
                  <c:v>964.2662640567969</c:v>
                </c:pt>
                <c:pt idx="157">
                  <c:v>981.87921520735699</c:v>
                </c:pt>
                <c:pt idx="158">
                  <c:v>999.48591857183294</c:v>
                </c:pt>
                <c:pt idx="159">
                  <c:v>1017.0864995678789</c:v>
                </c:pt>
                <c:pt idx="160">
                  <c:v>1034.6810789244676</c:v>
                </c:pt>
                <c:pt idx="161">
                  <c:v>1052.2697729355266</c:v>
                </c:pt>
                <c:pt idx="162">
                  <c:v>1069.8526936957651</c:v>
                </c:pt>
                <c:pt idx="163">
                  <c:v>1087.4299493202068</c:v>
                </c:pt>
                <c:pt idx="164">
                  <c:v>1105.0016441488187</c:v>
                </c:pt>
                <c:pt idx="165">
                  <c:v>998.70195398326302</c:v>
                </c:pt>
                <c:pt idx="166">
                  <c:v>1016.5174884946508</c:v>
                </c:pt>
                <c:pt idx="167">
                  <c:v>1034.3268701035061</c:v>
                </c:pt>
                <c:pt idx="168">
                  <c:v>1052.1302195302717</c:v>
                </c:pt>
                <c:pt idx="169">
                  <c:v>1069.9276530825985</c:v>
                </c:pt>
                <c:pt idx="170">
                  <c:v>1087.7192828888385</c:v>
                </c:pt>
                <c:pt idx="171">
                  <c:v>1105.5052171155019</c:v>
                </c:pt>
                <c:pt idx="172">
                  <c:v>1123.2855601700023</c:v>
                </c:pt>
                <c:pt idx="173">
                  <c:v>1141.0604128899265</c:v>
                </c:pt>
                <c:pt idx="174">
                  <c:v>1158.8298727199137</c:v>
                </c:pt>
                <c:pt idx="175">
                  <c:v>721.65165548862421</c:v>
                </c:pt>
                <c:pt idx="176">
                  <c:v>732.95470950438084</c:v>
                </c:pt>
                <c:pt idx="177">
                  <c:v>744.25421311641105</c:v>
                </c:pt>
                <c:pt idx="178">
                  <c:v>508.6272875869351</c:v>
                </c:pt>
                <c:pt idx="179">
                  <c:v>515.51082485647021</c:v>
                </c:pt>
                <c:pt idx="180">
                  <c:v>522.39242247421544</c:v>
                </c:pt>
                <c:pt idx="181">
                  <c:v>361.72385186545154</c:v>
                </c:pt>
                <c:pt idx="182">
                  <c:v>365.88300356112859</c:v>
                </c:pt>
                <c:pt idx="183">
                  <c:v>370.04112273645654</c:v>
                </c:pt>
                <c:pt idx="184">
                  <c:v>1.1349444334115651E-11</c:v>
                </c:pt>
                <c:pt idx="185">
                  <c:v>1.1349444334115651E-11</c:v>
                </c:pt>
                <c:pt idx="186">
                  <c:v>1.1349444334115651E-11</c:v>
                </c:pt>
                <c:pt idx="187">
                  <c:v>1.1349444334115651E-11</c:v>
                </c:pt>
                <c:pt idx="188">
                  <c:v>1.1349444334115651E-11</c:v>
                </c:pt>
                <c:pt idx="189">
                  <c:v>1.1349444334115651E-11</c:v>
                </c:pt>
                <c:pt idx="190">
                  <c:v>1.1349444334115651E-11</c:v>
                </c:pt>
                <c:pt idx="191">
                  <c:v>1.1349444334115651E-11</c:v>
                </c:pt>
                <c:pt idx="192">
                  <c:v>1.1349444334115651E-11</c:v>
                </c:pt>
                <c:pt idx="193">
                  <c:v>1.1349444334115651E-11</c:v>
                </c:pt>
                <c:pt idx="194">
                  <c:v>1.1349444334115651E-11</c:v>
                </c:pt>
                <c:pt idx="195">
                  <c:v>1.1349444334115651E-11</c:v>
                </c:pt>
                <c:pt idx="196">
                  <c:v>1.1349444334115651E-11</c:v>
                </c:pt>
                <c:pt idx="197">
                  <c:v>1.1349444334115651E-11</c:v>
                </c:pt>
                <c:pt idx="198">
                  <c:v>1.1349444334115651E-11</c:v>
                </c:pt>
                <c:pt idx="199">
                  <c:v>1.1349444334115651E-11</c:v>
                </c:pt>
                <c:pt idx="200">
                  <c:v>1.1349444334115651E-11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8.9920627420786783</c:v>
                </c:pt>
                <c:pt idx="2">
                  <c:v>17.588865149203851</c:v>
                </c:pt>
                <c:pt idx="3">
                  <c:v>26.05801830896668</c:v>
                </c:pt>
                <c:pt idx="4">
                  <c:v>34.448485502585022</c:v>
                </c:pt>
                <c:pt idx="5">
                  <c:v>42.782458494229274</c:v>
                </c:pt>
                <c:pt idx="6">
                  <c:v>51.072596392714296</c:v>
                </c:pt>
                <c:pt idx="7">
                  <c:v>59.327060036021408</c:v>
                </c:pt>
                <c:pt idx="8">
                  <c:v>67.551533769994364</c:v>
                </c:pt>
                <c:pt idx="9">
                  <c:v>75.750195661138918</c:v>
                </c:pt>
                <c:pt idx="10">
                  <c:v>83.92624084855602</c:v>
                </c:pt>
                <c:pt idx="11">
                  <c:v>92.082188464694312</c:v>
                </c:pt>
                <c:pt idx="12">
                  <c:v>100.22007334716635</c:v>
                </c:pt>
                <c:pt idx="13">
                  <c:v>108.34157185481153</c:v>
                </c:pt>
                <c:pt idx="14">
                  <c:v>116.44808779465257</c:v>
                </c:pt>
                <c:pt idx="15">
                  <c:v>124.54081306609082</c:v>
                </c:pt>
                <c:pt idx="16">
                  <c:v>132.62077165777404</c:v>
                </c:pt>
                <c:pt idx="17">
                  <c:v>140.6888523252658</c:v>
                </c:pt>
                <c:pt idx="18">
                  <c:v>148.7458333580104</c:v>
                </c:pt>
                <c:pt idx="19">
                  <c:v>156.79240168473996</c:v>
                </c:pt>
                <c:pt idx="20">
                  <c:v>164.82916784194558</c:v>
                </c:pt>
                <c:pt idx="21">
                  <c:v>172.85667786357976</c:v>
                </c:pt>
                <c:pt idx="22">
                  <c:v>180.87542284188578</c:v>
                </c:pt>
                <c:pt idx="23">
                  <c:v>188.88584670075628</c:v>
                </c:pt>
                <c:pt idx="24">
                  <c:v>196.88835257905711</c:v>
                </c:pt>
                <c:pt idx="25">
                  <c:v>204.88330812008542</c:v>
                </c:pt>
                <c:pt idx="26">
                  <c:v>212.87104989089207</c:v>
                </c:pt>
                <c:pt idx="27">
                  <c:v>220.85188710258387</c:v>
                </c:pt>
                <c:pt idx="28">
                  <c:v>228.8261047639771</c:v>
                </c:pt>
                <c:pt idx="29">
                  <c:v>236.79396637206796</c:v>
                </c:pt>
                <c:pt idx="30">
                  <c:v>244.75571622097837</c:v>
                </c:pt>
                <c:pt idx="31">
                  <c:v>252.71158139439407</c:v>
                </c:pt>
                <c:pt idx="32">
                  <c:v>260.6617734936915</c:v>
                </c:pt>
                <c:pt idx="33">
                  <c:v>268.60649014398143</c:v>
                </c:pt>
                <c:pt idx="34">
                  <c:v>276.54591631247177</c:v>
                </c:pt>
                <c:pt idx="35">
                  <c:v>284.48022546737167</c:v>
                </c:pt>
                <c:pt idx="36">
                  <c:v>292.40958060062536</c:v>
                </c:pt>
                <c:pt idx="37">
                  <c:v>300.33413513381555</c:v>
                </c:pt>
                <c:pt idx="38">
                  <c:v>308.2540337233761</c:v>
                </c:pt>
                <c:pt idx="39">
                  <c:v>316.16941297866185</c:v>
                </c:pt>
                <c:pt idx="40">
                  <c:v>324.08040210429743</c:v>
                </c:pt>
                <c:pt idx="41">
                  <c:v>331.98712347648376</c:v>
                </c:pt>
                <c:pt idx="42">
                  <c:v>339.88969316149564</c:v>
                </c:pt>
                <c:pt idx="43">
                  <c:v>270.94677006615854</c:v>
                </c:pt>
                <c:pt idx="44">
                  <c:v>290.07513713972457</c:v>
                </c:pt>
                <c:pt idx="45">
                  <c:v>309.17532452397717</c:v>
                </c:pt>
                <c:pt idx="46">
                  <c:v>328.24931745205993</c:v>
                </c:pt>
                <c:pt idx="47">
                  <c:v>347.29885162334591</c:v>
                </c:pt>
                <c:pt idx="48">
                  <c:v>366.32545682090125</c:v>
                </c:pt>
                <c:pt idx="49">
                  <c:v>385.33049098897459</c:v>
                </c:pt>
                <c:pt idx="50">
                  <c:v>404.31516723411369</c:v>
                </c:pt>
                <c:pt idx="51">
                  <c:v>351.53907220703439</c:v>
                </c:pt>
                <c:pt idx="52">
                  <c:v>370.93098192198687</c:v>
                </c:pt>
                <c:pt idx="53">
                  <c:v>390.30079007224117</c:v>
                </c:pt>
                <c:pt idx="54">
                  <c:v>409.64974727576458</c:v>
                </c:pt>
                <c:pt idx="55">
                  <c:v>428.97897642130755</c:v>
                </c:pt>
                <c:pt idx="56">
                  <c:v>448.28949099946317</c:v>
                </c:pt>
                <c:pt idx="57">
                  <c:v>467.58221011074392</c:v>
                </c:pt>
                <c:pt idx="58">
                  <c:v>486.85797086800625</c:v>
                </c:pt>
                <c:pt idx="59">
                  <c:v>414.78551963094213</c:v>
                </c:pt>
                <c:pt idx="60">
                  <c:v>433.50063838054979</c:v>
                </c:pt>
                <c:pt idx="61">
                  <c:v>452.19841386924122</c:v>
                </c:pt>
                <c:pt idx="62">
                  <c:v>470.87966373554445</c:v>
                </c:pt>
                <c:pt idx="63">
                  <c:v>489.54513548559765</c:v>
                </c:pt>
                <c:pt idx="64">
                  <c:v>508.19551500807347</c:v>
                </c:pt>
                <c:pt idx="65">
                  <c:v>526.83143377447163</c:v>
                </c:pt>
                <c:pt idx="66">
                  <c:v>545.45347496798104</c:v>
                </c:pt>
                <c:pt idx="67">
                  <c:v>462.73730766892845</c:v>
                </c:pt>
                <c:pt idx="68">
                  <c:v>480.63040030564292</c:v>
                </c:pt>
                <c:pt idx="69">
                  <c:v>498.50934058326834</c:v>
                </c:pt>
                <c:pt idx="70">
                  <c:v>516.37470723090053</c:v>
                </c:pt>
                <c:pt idx="71">
                  <c:v>534.22703569024236</c:v>
                </c:pt>
                <c:pt idx="72">
                  <c:v>552.06682272133571</c:v>
                </c:pt>
                <c:pt idx="73">
                  <c:v>569.89453038226452</c:v>
                </c:pt>
                <c:pt idx="74">
                  <c:v>587.71058948522784</c:v>
                </c:pt>
                <c:pt idx="75">
                  <c:v>509.81142667518242</c:v>
                </c:pt>
                <c:pt idx="76">
                  <c:v>527.28746234496555</c:v>
                </c:pt>
                <c:pt idx="77">
                  <c:v>544.75130554830673</c:v>
                </c:pt>
                <c:pt idx="78">
                  <c:v>562.20340194412472</c:v>
                </c:pt>
                <c:pt idx="79">
                  <c:v>579.6441672846255</c:v>
                </c:pt>
                <c:pt idx="80">
                  <c:v>597.07399028012458</c:v>
                </c:pt>
                <c:pt idx="81">
                  <c:v>614.49323511214538</c:v>
                </c:pt>
                <c:pt idx="82">
                  <c:v>631.90224364691676</c:v>
                </c:pt>
                <c:pt idx="83">
                  <c:v>649.30133739242081</c:v>
                </c:pt>
                <c:pt idx="84">
                  <c:v>666.69081923491296</c:v>
                </c:pt>
                <c:pt idx="85">
                  <c:v>559.95741782075277</c:v>
                </c:pt>
                <c:pt idx="86">
                  <c:v>576.62393219075545</c:v>
                </c:pt>
                <c:pt idx="87">
                  <c:v>593.28039646622881</c:v>
                </c:pt>
                <c:pt idx="88">
                  <c:v>609.92713235808367</c:v>
                </c:pt>
                <c:pt idx="89">
                  <c:v>626.56444259641489</c:v>
                </c:pt>
                <c:pt idx="90">
                  <c:v>643.19261253495631</c:v>
                </c:pt>
                <c:pt idx="91">
                  <c:v>659.81191158110698</c:v>
                </c:pt>
                <c:pt idx="92">
                  <c:v>676.42259447448771</c:v>
                </c:pt>
                <c:pt idx="93">
                  <c:v>693.02490243347381</c:v>
                </c:pt>
                <c:pt idx="94">
                  <c:v>709.61906418623494</c:v>
                </c:pt>
                <c:pt idx="95">
                  <c:v>601.78265143992576</c:v>
                </c:pt>
                <c:pt idx="96">
                  <c:v>617.93490869126617</c:v>
                </c:pt>
                <c:pt idx="97">
                  <c:v>634.07841830365373</c:v>
                </c:pt>
                <c:pt idx="98">
                  <c:v>650.21343420695678</c:v>
                </c:pt>
                <c:pt idx="99">
                  <c:v>666.34019671000158</c:v>
                </c:pt>
                <c:pt idx="100">
                  <c:v>682.45893354995599</c:v>
                </c:pt>
                <c:pt idx="101">
                  <c:v>698.56986083748905</c:v>
                </c:pt>
                <c:pt idx="102">
                  <c:v>714.67318391027641</c:v>
                </c:pt>
                <c:pt idx="103">
                  <c:v>730.76909810563927</c:v>
                </c:pt>
                <c:pt idx="104">
                  <c:v>746.85778946163146</c:v>
                </c:pt>
                <c:pt idx="105">
                  <c:v>642.24822981626392</c:v>
                </c:pt>
                <c:pt idx="106">
                  <c:v>658.1545820609773</c:v>
                </c:pt>
                <c:pt idx="107">
                  <c:v>674.05301957598442</c:v>
                </c:pt>
                <c:pt idx="108">
                  <c:v>689.94375519952473</c:v>
                </c:pt>
                <c:pt idx="109">
                  <c:v>705.82699117384254</c:v>
                </c:pt>
                <c:pt idx="110">
                  <c:v>721.70291990416251</c:v>
                </c:pt>
                <c:pt idx="111">
                  <c:v>737.57172464746327</c:v>
                </c:pt>
                <c:pt idx="112">
                  <c:v>753.4335801389451</c:v>
                </c:pt>
                <c:pt idx="113">
                  <c:v>769.28865316304507</c:v>
                </c:pt>
                <c:pt idx="114">
                  <c:v>785.13710307497422</c:v>
                </c:pt>
                <c:pt idx="115">
                  <c:v>689.00674227957461</c:v>
                </c:pt>
                <c:pt idx="116">
                  <c:v>705.00448666289128</c:v>
                </c:pt>
                <c:pt idx="117">
                  <c:v>720.99480855691252</c:v>
                </c:pt>
                <c:pt idx="118">
                  <c:v>736.97789563280696</c:v>
                </c:pt>
                <c:pt idx="119">
                  <c:v>752.95392676482072</c:v>
                </c:pt>
                <c:pt idx="120">
                  <c:v>768.92307262434781</c:v>
                </c:pt>
                <c:pt idx="121">
                  <c:v>784.88549622212815</c:v>
                </c:pt>
                <c:pt idx="122">
                  <c:v>800.84135340408704</c:v>
                </c:pt>
                <c:pt idx="123">
                  <c:v>816.79079330564412</c:v>
                </c:pt>
                <c:pt idx="124">
                  <c:v>832.73395876872667</c:v>
                </c:pt>
                <c:pt idx="125">
                  <c:v>743.95927146396605</c:v>
                </c:pt>
                <c:pt idx="126">
                  <c:v>760.08813246112607</c:v>
                </c:pt>
                <c:pt idx="127">
                  <c:v>776.21004829910419</c:v>
                </c:pt>
                <c:pt idx="128">
                  <c:v>792.32518341774664</c:v>
                </c:pt>
                <c:pt idx="129">
                  <c:v>808.43369502878579</c:v>
                </c:pt>
                <c:pt idx="130">
                  <c:v>824.53573357419418</c:v>
                </c:pt>
                <c:pt idx="131">
                  <c:v>840.63144314690555</c:v>
                </c:pt>
                <c:pt idx="132">
                  <c:v>856.72096187767556</c:v>
                </c:pt>
                <c:pt idx="133">
                  <c:v>872.80442229140101</c:v>
                </c:pt>
                <c:pt idx="134">
                  <c:v>888.88195163583805</c:v>
                </c:pt>
                <c:pt idx="135">
                  <c:v>795.57735582340092</c:v>
                </c:pt>
                <c:pt idx="136">
                  <c:v>811.86215087904327</c:v>
                </c:pt>
                <c:pt idx="137">
                  <c:v>828.14036117923899</c:v>
                </c:pt>
                <c:pt idx="138">
                  <c:v>844.41213425948001</c:v>
                </c:pt>
                <c:pt idx="139">
                  <c:v>860.67761151158822</c:v>
                </c:pt>
                <c:pt idx="140">
                  <c:v>876.93692855318386</c:v>
                </c:pt>
                <c:pt idx="141">
                  <c:v>893.19021556835969</c:v>
                </c:pt>
                <c:pt idx="142">
                  <c:v>909.4375976222982</c:v>
                </c:pt>
                <c:pt idx="143">
                  <c:v>925.67919495226249</c:v>
                </c:pt>
                <c:pt idx="144">
                  <c:v>941.91512323712925</c:v>
                </c:pt>
                <c:pt idx="145">
                  <c:v>846.94237515915131</c:v>
                </c:pt>
                <c:pt idx="146">
                  <c:v>863.5377330700602</c:v>
                </c:pt>
                <c:pt idx="147">
                  <c:v>880.12670177277323</c:v>
                </c:pt>
                <c:pt idx="148">
                  <c:v>896.70941852564249</c:v>
                </c:pt>
                <c:pt idx="149">
                  <c:v>913.28601510229339</c:v>
                </c:pt>
                <c:pt idx="150">
                  <c:v>929.85661810838155</c:v>
                </c:pt>
                <c:pt idx="151">
                  <c:v>946.42134927462405</c:v>
                </c:pt>
                <c:pt idx="152">
                  <c:v>962.98032572827799</c:v>
                </c:pt>
                <c:pt idx="153">
                  <c:v>979.53366024499553</c:v>
                </c:pt>
                <c:pt idx="154">
                  <c:v>996.08146148279309</c:v>
                </c:pt>
                <c:pt idx="155">
                  <c:v>903.20737009634547</c:v>
                </c:pt>
                <c:pt idx="156">
                  <c:v>920.01648570907571</c:v>
                </c:pt>
                <c:pt idx="157">
                  <c:v>936.81948806547246</c:v>
                </c:pt>
                <c:pt idx="158">
                  <c:v>953.61650212987649</c:v>
                </c:pt>
                <c:pt idx="159">
                  <c:v>970.40764811087411</c:v>
                </c:pt>
                <c:pt idx="160">
                  <c:v>987.19304172310842</c:v>
                </c:pt>
                <c:pt idx="161">
                  <c:v>1003.9727944303836</c:v>
                </c:pt>
                <c:pt idx="162">
                  <c:v>1020.7470136716917</c:v>
                </c:pt>
                <c:pt idx="163">
                  <c:v>1037.5158030716334</c:v>
                </c:pt>
                <c:pt idx="164">
                  <c:v>1054.2792626365431</c:v>
                </c:pt>
                <c:pt idx="165">
                  <c:v>952.8685907428362</c:v>
                </c:pt>
                <c:pt idx="166">
                  <c:v>969.8648057703416</c:v>
                </c:pt>
                <c:pt idx="167">
                  <c:v>986.85512344853396</c:v>
                </c:pt>
                <c:pt idx="168">
                  <c:v>1003.8396594838824</c:v>
                </c:pt>
                <c:pt idx="169">
                  <c:v>1020.8185253533417</c:v>
                </c:pt>
                <c:pt idx="170">
                  <c:v>1037.7918285281523</c:v>
                </c:pt>
                <c:pt idx="171">
                  <c:v>1054.7596726822603</c:v>
                </c:pt>
                <c:pt idx="172">
                  <c:v>1071.7221578866472</c:v>
                </c:pt>
                <c:pt idx="173">
                  <c:v>1088.6793807907352</c:v>
                </c:pt>
                <c:pt idx="174">
                  <c:v>1105.6314347919194</c:v>
                </c:pt>
                <c:pt idx="175">
                  <c:v>688.55557859545763</c:v>
                </c:pt>
                <c:pt idx="176">
                  <c:v>699.33914411477656</c:v>
                </c:pt>
                <c:pt idx="177">
                  <c:v>710.11930669200956</c:v>
                </c:pt>
                <c:pt idx="178">
                  <c:v>485.31846528308853</c:v>
                </c:pt>
                <c:pt idx="179">
                  <c:v>491.88585617064223</c:v>
                </c:pt>
                <c:pt idx="180">
                  <c:v>498.45138796745135</c:v>
                </c:pt>
                <c:pt idx="181">
                  <c:v>345.15969119466746</c:v>
                </c:pt>
                <c:pt idx="182">
                  <c:v>349.12795555540646</c:v>
                </c:pt>
                <c:pt idx="183">
                  <c:v>353.09523028025586</c:v>
                </c:pt>
                <c:pt idx="184">
                  <c:v>1.0873571598205634E-11</c:v>
                </c:pt>
                <c:pt idx="185">
                  <c:v>1.0873571598205634E-11</c:v>
                </c:pt>
                <c:pt idx="186">
                  <c:v>1.0873571598205634E-11</c:v>
                </c:pt>
                <c:pt idx="187">
                  <c:v>1.0873571598205634E-11</c:v>
                </c:pt>
                <c:pt idx="188">
                  <c:v>1.0873571598205634E-11</c:v>
                </c:pt>
                <c:pt idx="189">
                  <c:v>1.0873571598205634E-11</c:v>
                </c:pt>
                <c:pt idx="190">
                  <c:v>1.0873571598205634E-11</c:v>
                </c:pt>
                <c:pt idx="191">
                  <c:v>1.0873571598205634E-11</c:v>
                </c:pt>
                <c:pt idx="192">
                  <c:v>1.0873571598205634E-11</c:v>
                </c:pt>
                <c:pt idx="193">
                  <c:v>1.0873571598205634E-11</c:v>
                </c:pt>
                <c:pt idx="194">
                  <c:v>1.0873571598205634E-11</c:v>
                </c:pt>
                <c:pt idx="195">
                  <c:v>1.0873571598205634E-11</c:v>
                </c:pt>
                <c:pt idx="196">
                  <c:v>1.0873571598205634E-11</c:v>
                </c:pt>
                <c:pt idx="197">
                  <c:v>1.0873571598205634E-11</c:v>
                </c:pt>
                <c:pt idx="198">
                  <c:v>1.0873571598205634E-11</c:v>
                </c:pt>
                <c:pt idx="199">
                  <c:v>1.0873571598205634E-11</c:v>
                </c:pt>
                <c:pt idx="200">
                  <c:v>1.0873571598205634E-11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755.88482662893102</c:v>
                </c:pt>
                <c:pt idx="126">
                  <c:v>772.27280239944514</c:v>
                </c:pt>
                <c:pt idx="127">
                  <c:v>788.65373250384312</c:v>
                </c:pt>
                <c:pt idx="128">
                  <c:v>805.02778376166316</c:v>
                </c:pt>
                <c:pt idx="129">
                  <c:v>821.39511565972941</c:v>
                </c:pt>
                <c:pt idx="130">
                  <c:v>837.75588081713613</c:v>
                </c:pt>
                <c:pt idx="131">
                  <c:v>854.11022541205978</c:v>
                </c:pt>
                <c:pt idx="132">
                  <c:v>870.45828957421656</c:v>
                </c:pt>
                <c:pt idx="133">
                  <c:v>886.80020774633806</c:v>
                </c:pt>
                <c:pt idx="134">
                  <c:v>903.13610901764775</c:v>
                </c:pt>
                <c:pt idx="135">
                  <c:v>808.33220895313741</c:v>
                </c:pt>
                <c:pt idx="136">
                  <c:v>824.87865887987221</c:v>
                </c:pt>
                <c:pt idx="137">
                  <c:v>841.41842875981195</c:v>
                </c:pt>
                <c:pt idx="138">
                  <c:v>857.95166826350953</c:v>
                </c:pt>
                <c:pt idx="139">
                  <c:v>874.47852082893996</c:v>
                </c:pt>
                <c:pt idx="140">
                  <c:v>890.99912403631481</c:v>
                </c:pt>
                <c:pt idx="141">
                  <c:v>907.51360995368759</c:v>
                </c:pt>
                <c:pt idx="142">
                  <c:v>924.02210545612218</c:v>
                </c:pt>
                <c:pt idx="143">
                  <c:v>940.52473252089715</c:v>
                </c:pt>
                <c:pt idx="144">
                  <c:v>957.02160850093696</c:v>
                </c:pt>
                <c:pt idx="145">
                  <c:v>860.52256778285062</c:v>
                </c:pt>
                <c:pt idx="146">
                  <c:v>877.38460364696311</c:v>
                </c:pt>
                <c:pt idx="147">
                  <c:v>894.24015784139544</c:v>
                </c:pt>
                <c:pt idx="148">
                  <c:v>911.08936961083464</c:v>
                </c:pt>
                <c:pt idx="149">
                  <c:v>927.93237263586946</c:v>
                </c:pt>
                <c:pt idx="150">
                  <c:v>944.76929535432998</c:v>
                </c:pt>
                <c:pt idx="151">
                  <c:v>961.6002612585612</c:v>
                </c:pt>
                <c:pt idx="152">
                  <c:v>978.42538917082777</c:v>
                </c:pt>
                <c:pt idx="153">
                  <c:v>995.24479349881619</c:v>
                </c:pt>
                <c:pt idx="154">
                  <c:v>1012.0585844729879</c:v>
                </c:pt>
                <c:pt idx="155">
                  <c:v>917.69175016011229</c:v>
                </c:pt>
                <c:pt idx="156">
                  <c:v>934.77101299445985</c:v>
                </c:pt>
                <c:pt idx="157">
                  <c:v>951.84407410442907</c:v>
                </c:pt>
                <c:pt idx="158">
                  <c:v>968.91106026278305</c:v>
                </c:pt>
                <c:pt idx="159">
                  <c:v>985.97209341770815</c:v>
                </c:pt>
                <c:pt idx="160">
                  <c:v>1003.0272909584129</c:v>
                </c:pt>
                <c:pt idx="161">
                  <c:v>1020.0767659617509</c:v>
                </c:pt>
                <c:pt idx="162">
                  <c:v>1037.1206274215183</c:v>
                </c:pt>
                <c:pt idx="163">
                  <c:v>1054.1589804619205</c:v>
                </c:pt>
                <c:pt idx="164">
                  <c:v>1071.1919265365345</c:v>
                </c:pt>
                <c:pt idx="165">
                  <c:v>968.15112777582817</c:v>
                </c:pt>
                <c:pt idx="166">
                  <c:v>985.42052572739613</c:v>
                </c:pt>
                <c:pt idx="167">
                  <c:v>1002.6839409861069</c:v>
                </c:pt>
                <c:pt idx="168">
                  <c:v>1019.9414909328767</c:v>
                </c:pt>
                <c:pt idx="169">
                  <c:v>1037.1932886578995</c:v>
                </c:pt>
                <c:pt idx="170">
                  <c:v>1054.4394431876869</c:v>
                </c:pt>
                <c:pt idx="171">
                  <c:v>1071.6800596965038</c:v>
                </c:pt>
                <c:pt idx="172">
                  <c:v>1088.9152397035102</c:v>
                </c:pt>
                <c:pt idx="173">
                  <c:v>1106.1450812567903</c:v>
                </c:pt>
                <c:pt idx="174">
                  <c:v>1123.369679105341</c:v>
                </c:pt>
                <c:pt idx="175">
                  <c:v>699.59114561774857</c:v>
                </c:pt>
                <c:pt idx="176">
                  <c:v>710.54792404908528</c:v>
                </c:pt>
                <c:pt idx="177">
                  <c:v>721.50125029262847</c:v>
                </c:pt>
                <c:pt idx="178">
                  <c:v>493.09065406114672</c:v>
                </c:pt>
                <c:pt idx="179">
                  <c:v>499.76345864506885</c:v>
                </c:pt>
                <c:pt idx="180">
                  <c:v>506.43437723439791</c:v>
                </c:pt>
                <c:pt idx="181">
                  <c:v>350.68297454801086</c:v>
                </c:pt>
                <c:pt idx="182">
                  <c:v>354.71488774261428</c:v>
                </c:pt>
                <c:pt idx="183">
                  <c:v>358.7457969798034</c:v>
                </c:pt>
                <c:pt idx="184">
                  <c:v>1.1032467653906121E-11</c:v>
                </c:pt>
                <c:pt idx="185">
                  <c:v>1.1032467653906121E-11</c:v>
                </c:pt>
                <c:pt idx="186">
                  <c:v>1.1032467653906121E-11</c:v>
                </c:pt>
                <c:pt idx="187">
                  <c:v>1.1032467653906121E-11</c:v>
                </c:pt>
                <c:pt idx="188">
                  <c:v>1.1032467653906121E-11</c:v>
                </c:pt>
                <c:pt idx="189">
                  <c:v>1.1032467653906121E-11</c:v>
                </c:pt>
                <c:pt idx="190">
                  <c:v>1.1032467653906121E-11</c:v>
                </c:pt>
                <c:pt idx="191">
                  <c:v>1.1032467653906121E-11</c:v>
                </c:pt>
                <c:pt idx="192">
                  <c:v>1.1032467653906121E-11</c:v>
                </c:pt>
                <c:pt idx="193">
                  <c:v>1.1032467653906121E-11</c:v>
                </c:pt>
                <c:pt idx="194">
                  <c:v>1.1032467653906121E-11</c:v>
                </c:pt>
                <c:pt idx="195">
                  <c:v>1.1032467653906121E-11</c:v>
                </c:pt>
                <c:pt idx="196">
                  <c:v>1.1032467653906121E-11</c:v>
                </c:pt>
                <c:pt idx="197">
                  <c:v>1.1032467653906121E-11</c:v>
                </c:pt>
                <c:pt idx="198">
                  <c:v>1.1032467653906121E-11</c:v>
                </c:pt>
                <c:pt idx="199">
                  <c:v>1.1032467653906121E-11</c:v>
                </c:pt>
                <c:pt idx="200">
                  <c:v>1.1032467653906121E-11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10.130275957229648</c:v>
                </c:pt>
                <c:pt idx="2">
                  <c:v>19.819821675730836</c:v>
                </c:pt>
                <c:pt idx="3">
                  <c:v>29.367033650396774</c:v>
                </c:pt>
                <c:pt idx="4">
                  <c:v>38.826507793621758</c:v>
                </c:pt>
                <c:pt idx="5">
                  <c:v>48.22298876267525</c:v>
                </c:pt>
                <c:pt idx="6">
                  <c:v>57.570591943182031</c:v>
                </c:pt>
                <c:pt idx="7">
                  <c:v>66.878416978475101</c:v>
                </c:pt>
                <c:pt idx="8">
                  <c:v>76.152802129389514</c:v>
                </c:pt>
                <c:pt idx="9">
                  <c:v>85.39840609826831</c:v>
                </c:pt>
                <c:pt idx="10">
                  <c:v>94.618791586182525</c:v>
                </c:pt>
                <c:pt idx="11">
                  <c:v>103.81676752119135</c:v>
                </c:pt>
                <c:pt idx="12">
                  <c:v>112.99460282427522</c:v>
                </c:pt>
                <c:pt idx="13">
                  <c:v>122.15416669900999</c:v>
                </c:pt>
                <c:pt idx="14">
                  <c:v>131.29702444337667</c:v>
                </c:pt>
                <c:pt idx="15">
                  <c:v>140.42450507033516</c:v>
                </c:pt>
                <c:pt idx="16">
                  <c:v>149.53775036599768</c:v>
                </c:pt>
                <c:pt idx="17">
                  <c:v>158.63775132646754</c:v>
                </c:pt>
                <c:pt idx="18">
                  <c:v>167.72537577394252</c:v>
                </c:pt>
                <c:pt idx="19">
                  <c:v>176.80138965996716</c:v>
                </c:pt>
                <c:pt idx="20">
                  <c:v>185.86647375584525</c:v>
                </c:pt>
                <c:pt idx="21">
                  <c:v>194.9212369101075</c:v>
                </c:pt>
                <c:pt idx="22">
                  <c:v>203.96622670919882</c:v>
                </c:pt>
                <c:pt idx="23">
                  <c:v>213.00193814506721</c:v>
                </c:pt>
                <c:pt idx="24">
                  <c:v>222.02882073281162</c:v>
                </c:pt>
                <c:pt idx="25">
                  <c:v>231.04728440862814</c:v>
                </c:pt>
                <c:pt idx="26">
                  <c:v>240.05770445752137</c:v>
                </c:pt>
                <c:pt idx="27">
                  <c:v>249.0604256615828</c:v>
                </c:pt>
                <c:pt idx="28">
                  <c:v>258.05576581643328</c:v>
                </c:pt>
                <c:pt idx="29">
                  <c:v>267.04401873120031</c:v>
                </c:pt>
                <c:pt idx="30">
                  <c:v>276.02545680307912</c:v>
                </c:pt>
                <c:pt idx="31">
                  <c:v>285.00033323897713</c:v>
                </c:pt>
                <c:pt idx="32">
                  <c:v>293.96888398244056</c:v>
                </c:pt>
                <c:pt idx="33">
                  <c:v>302.93132939295043</c:v>
                </c:pt>
                <c:pt idx="34">
                  <c:v>311.88787571594702</c:v>
                </c:pt>
                <c:pt idx="35">
                  <c:v>320.83871637505081</c:v>
                </c:pt>
                <c:pt idx="36">
                  <c:v>329.78403311245114</c:v>
                </c:pt>
                <c:pt idx="37">
                  <c:v>338.72399699902149</c:v>
                </c:pt>
                <c:pt idx="38">
                  <c:v>347.65876933216242</c:v>
                </c:pt>
                <c:pt idx="39">
                  <c:v>356.58850243647703</c:v>
                </c:pt>
                <c:pt idx="40">
                  <c:v>365.51334038001369</c:v>
                </c:pt>
                <c:pt idx="41">
                  <c:v>374.43341961686974</c:v>
                </c:pt>
                <c:pt idx="42">
                  <c:v>383.34886956533597</c:v>
                </c:pt>
                <c:pt idx="43">
                  <c:v>305.57141557212645</c:v>
                </c:pt>
                <c:pt idx="44">
                  <c:v>327.15047864759407</c:v>
                </c:pt>
                <c:pt idx="45">
                  <c:v>348.69812030254405</c:v>
                </c:pt>
                <c:pt idx="46">
                  <c:v>370.21655414709659</c:v>
                </c:pt>
                <c:pt idx="47">
                  <c:v>391.70771555176884</c:v>
                </c:pt>
                <c:pt idx="48">
                  <c:v>413.17331028259986</c:v>
                </c:pt>
                <c:pt idx="49">
                  <c:v>434.61485249884117</c:v>
                </c:pt>
                <c:pt idx="50">
                  <c:v>456.03369486022365</c:v>
                </c:pt>
                <c:pt idx="51">
                  <c:v>396.49145766657904</c:v>
                </c:pt>
                <c:pt idx="52">
                  <c:v>418.36925346045797</c:v>
                </c:pt>
                <c:pt idx="53">
                  <c:v>440.22240517289401</c:v>
                </c:pt>
                <c:pt idx="54">
                  <c:v>462.05230729027113</c:v>
                </c:pt>
                <c:pt idx="55">
                  <c:v>483.86021187606133</c:v>
                </c:pt>
                <c:pt idx="56">
                  <c:v>505.64724901064801</c:v>
                </c:pt>
                <c:pt idx="57">
                  <c:v>527.41444352590111</c:v>
                </c:pt>
                <c:pt idx="58">
                  <c:v>549.16272883435045</c:v>
                </c:pt>
                <c:pt idx="59">
                  <c:v>467.8466384020341</c:v>
                </c:pt>
                <c:pt idx="60">
                  <c:v>488.96174336071476</c:v>
                </c:pt>
                <c:pt idx="61">
                  <c:v>510.05750992682715</c:v>
                </c:pt>
                <c:pt idx="62">
                  <c:v>531.13484979828741</c:v>
                </c:pt>
                <c:pt idx="63">
                  <c:v>552.19459647274118</c:v>
                </c:pt>
                <c:pt idx="64">
                  <c:v>573.23751474202811</c:v>
                </c:pt>
                <c:pt idx="65">
                  <c:v>594.26430872077879</c:v>
                </c:pt>
                <c:pt idx="66">
                  <c:v>615.27562868032874</c:v>
                </c:pt>
                <c:pt idx="67">
                  <c:v>521.94811458900415</c:v>
                </c:pt>
                <c:pt idx="68">
                  <c:v>542.13631654969231</c:v>
                </c:pt>
                <c:pt idx="69">
                  <c:v>562.30873809416232</c:v>
                </c:pt>
                <c:pt idx="70">
                  <c:v>582.46602452726813</c:v>
                </c:pt>
                <c:pt idx="71">
                  <c:v>602.60877288678148</c:v>
                </c:pt>
                <c:pt idx="72">
                  <c:v>622.73753707895719</c:v>
                </c:pt>
                <c:pt idx="73">
                  <c:v>642.8528323160532</c:v>
                </c:pt>
                <c:pt idx="74">
                  <c:v>662.95513896998261</c:v>
                </c:pt>
                <c:pt idx="75">
                  <c:v>575.06073059075879</c:v>
                </c:pt>
                <c:pt idx="76">
                  <c:v>594.77884532476037</c:v>
                </c:pt>
                <c:pt idx="77">
                  <c:v>614.48336499705067</c:v>
                </c:pt>
                <c:pt idx="78">
                  <c:v>634.17478653419778</c:v>
                </c:pt>
                <c:pt idx="79">
                  <c:v>653.85357351565222</c:v>
                </c:pt>
                <c:pt idx="80">
                  <c:v>673.52015936813336</c:v>
                </c:pt>
                <c:pt idx="81">
                  <c:v>693.17495016782834</c:v>
                </c:pt>
                <c:pt idx="82">
                  <c:v>712.81832710852598</c:v>
                </c:pt>
                <c:pt idx="83">
                  <c:v>732.45064868379905</c:v>
                </c:pt>
                <c:pt idx="84">
                  <c:v>752.07225262328996</c:v>
                </c:pt>
                <c:pt idx="85">
                  <c:v>631.64060563587861</c:v>
                </c:pt>
                <c:pt idx="86">
                  <c:v>650.44576738688704</c:v>
                </c:pt>
                <c:pt idx="87">
                  <c:v>669.23972290198083</c:v>
                </c:pt>
                <c:pt idx="88">
                  <c:v>688.02283090100661</c:v>
                </c:pt>
                <c:pt idx="89">
                  <c:v>706.79542893948144</c:v>
                </c:pt>
                <c:pt idx="90">
                  <c:v>725.55783519762269</c:v>
                </c:pt>
                <c:pt idx="91">
                  <c:v>744.31035007488038</c:v>
                </c:pt>
                <c:pt idx="92">
                  <c:v>763.05325761557697</c:v>
                </c:pt>
                <c:pt idx="93">
                  <c:v>781.78682678733367</c:v>
                </c:pt>
                <c:pt idx="94">
                  <c:v>800.51131263071977</c:v>
                </c:pt>
                <c:pt idx="95">
                  <c:v>678.8331056338011</c:v>
                </c:pt>
                <c:pt idx="96">
                  <c:v>697.05833650025124</c:v>
                </c:pt>
                <c:pt idx="97">
                  <c:v>715.27381341806779</c:v>
                </c:pt>
                <c:pt idx="98">
                  <c:v>733.47981952866837</c:v>
                </c:pt>
                <c:pt idx="99">
                  <c:v>751.6766227854929</c:v>
                </c:pt>
                <c:pt idx="100">
                  <c:v>769.86447712410529</c:v>
                </c:pt>
                <c:pt idx="101">
                  <c:v>788.04362351608518</c:v>
                </c:pt>
                <c:pt idx="102">
                  <c:v>806.21429092071401</c:v>
                </c:pt>
                <c:pt idx="103">
                  <c:v>824.37669714650144</c:v>
                </c:pt>
                <c:pt idx="104">
                  <c:v>842.53104963292105</c:v>
                </c:pt>
                <c:pt idx="105">
                  <c:v>724.49223715203243</c:v>
                </c:pt>
                <c:pt idx="106">
                  <c:v>742.44028425940235</c:v>
                </c:pt>
                <c:pt idx="107">
                  <c:v>760.37950614348438</c:v>
                </c:pt>
                <c:pt idx="108">
                  <c:v>778.31014012697335</c:v>
                </c:pt>
                <c:pt idx="109">
                  <c:v>796.23241171762959</c:v>
                </c:pt>
                <c:pt idx="110">
                  <c:v>814.14653545456304</c:v>
                </c:pt>
                <c:pt idx="111">
                  <c:v>832.05271567624311</c:v>
                </c:pt>
                <c:pt idx="112">
                  <c:v>849.95114721903428</c:v>
                </c:pt>
                <c:pt idx="113">
                  <c:v>867.84201605389853</c:v>
                </c:pt>
                <c:pt idx="114">
                  <c:v>885.7254998679291</c:v>
                </c:pt>
                <c:pt idx="115">
                  <c:v>777.25283978511197</c:v>
                </c:pt>
                <c:pt idx="116">
                  <c:v>795.3043144701378</c:v>
                </c:pt>
                <c:pt idx="117">
                  <c:v>813.34751279857085</c:v>
                </c:pt>
                <c:pt idx="118">
                  <c:v>831.38264403086941</c:v>
                </c:pt>
                <c:pt idx="119">
                  <c:v>849.40990761859075</c:v>
                </c:pt>
                <c:pt idx="120">
                  <c:v>867.42949386680073</c:v>
                </c:pt>
                <c:pt idx="121">
                  <c:v>885.44158453864645</c:v>
                </c:pt>
                <c:pt idx="122">
                  <c:v>903.4463534082347</c:v>
                </c:pt>
                <c:pt idx="123">
                  <c:v>921.44396676720589</c:v>
                </c:pt>
                <c:pt idx="124">
                  <c:v>939.43458388971624</c:v>
                </c:pt>
                <c:pt idx="125">
                  <c:v>839.26037775889756</c:v>
                </c:pt>
                <c:pt idx="126">
                  <c:v>857.46013500919116</c:v>
                </c:pt>
                <c:pt idx="127">
                  <c:v>875.65214814404089</c:v>
                </c:pt>
                <c:pt idx="128">
                  <c:v>893.83660052010089</c:v>
                </c:pt>
                <c:pt idx="129">
                  <c:v>912.01366743440576</c:v>
                </c:pt>
                <c:pt idx="130">
                  <c:v>930.18351663545093</c:v>
                </c:pt>
                <c:pt idx="131">
                  <c:v>948.34630879231224</c:v>
                </c:pt>
                <c:pt idx="132">
                  <c:v>966.50219792601331</c:v>
                </c:pt>
                <c:pt idx="133">
                  <c:v>984.65133180683051</c:v>
                </c:pt>
                <c:pt idx="134">
                  <c:v>1002.7938523208308</c:v>
                </c:pt>
                <c:pt idx="135">
                  <c:v>897.50638969514159</c:v>
                </c:pt>
                <c:pt idx="136">
                  <c:v>915.88239559779674</c:v>
                </c:pt>
                <c:pt idx="137">
                  <c:v>934.25105924881802</c:v>
                </c:pt>
                <c:pt idx="138">
                  <c:v>952.61254515586586</c:v>
                </c:pt>
                <c:pt idx="139">
                  <c:v>970.96701097617427</c:v>
                </c:pt>
                <c:pt idx="140">
                  <c:v>989.31460792852465</c:v>
                </c:pt>
                <c:pt idx="141">
                  <c:v>1007.655481173109</c:v>
                </c:pt>
                <c:pt idx="142">
                  <c:v>1025.989770162342</c:v>
                </c:pt>
                <c:pt idx="143">
                  <c:v>1044.3176089653236</c:v>
                </c:pt>
                <c:pt idx="144">
                  <c:v>1062.6391265683815</c:v>
                </c:pt>
                <c:pt idx="145">
                  <c:v>955.46774147647739</c:v>
                </c:pt>
                <c:pt idx="146">
                  <c:v>974.19446887125389</c:v>
                </c:pt>
                <c:pt idx="147">
                  <c:v>992.9140720569859</c:v>
                </c:pt>
                <c:pt idx="148">
                  <c:v>1011.626704081932</c:v>
                </c:pt>
                <c:pt idx="149">
                  <c:v>1030.3325118786743</c:v>
                </c:pt>
                <c:pt idx="150">
                  <c:v>1049.0316366173113</c:v>
                </c:pt>
                <c:pt idx="151">
                  <c:v>1067.7242140322026</c:v>
                </c:pt>
                <c:pt idx="152">
                  <c:v>1086.4103747246743</c:v>
                </c:pt>
                <c:pt idx="153">
                  <c:v>1105.0902444438475</c:v>
                </c:pt>
                <c:pt idx="154">
                  <c:v>1123.7639443475252</c:v>
                </c:pt>
                <c:pt idx="155">
                  <c:v>1018.9592872251741</c:v>
                </c:pt>
                <c:pt idx="156">
                  <c:v>1037.9275131152133</c:v>
                </c:pt>
                <c:pt idx="157">
                  <c:v>1056.8889224929817</c:v>
                </c:pt>
                <c:pt idx="158">
                  <c:v>1075.8436546984512</c:v>
                </c:pt>
                <c:pt idx="159">
                  <c:v>1094.7918437687465</c:v>
                </c:pt>
                <c:pt idx="160">
                  <c:v>1113.7336187300759</c:v>
                </c:pt>
                <c:pt idx="161">
                  <c:v>1132.6691038688009</c:v>
                </c:pt>
                <c:pt idx="162">
                  <c:v>1151.598418983466</c:v>
                </c:pt>
                <c:pt idx="163">
                  <c:v>1170.5216796194243</c:v>
                </c:pt>
                <c:pt idx="164">
                  <c:v>1189.4389972875249</c:v>
                </c:pt>
                <c:pt idx="165">
                  <c:v>1074.999666097814</c:v>
                </c:pt>
                <c:pt idx="166">
                  <c:v>1094.1792649882436</c:v>
                </c:pt>
                <c:pt idx="167">
                  <c:v>1113.3522881109047</c:v>
                </c:pt>
                <c:pt idx="168">
                  <c:v>1132.518864482892</c:v>
                </c:pt>
                <c:pt idx="169">
                  <c:v>1151.6791184052299</c:v>
                </c:pt>
                <c:pt idx="170">
                  <c:v>1170.8331697124213</c:v>
                </c:pt>
                <c:pt idx="171">
                  <c:v>1189.9811340048411</c:v>
                </c:pt>
                <c:pt idx="172">
                  <c:v>1209.1231228654231</c:v>
                </c:pt>
                <c:pt idx="173">
                  <c:v>1228.2592440619312</c:v>
                </c:pt>
                <c:pt idx="174">
                  <c:v>1247.3896017359975</c:v>
                </c:pt>
                <c:pt idx="175">
                  <c:v>776.74375886328278</c:v>
                </c:pt>
                <c:pt idx="176">
                  <c:v>788.91166508101742</c:v>
                </c:pt>
                <c:pt idx="177">
                  <c:v>801.07577688948459</c:v>
                </c:pt>
                <c:pt idx="178">
                  <c:v>547.42574104849564</c:v>
                </c:pt>
                <c:pt idx="179">
                  <c:v>554.83558256102708</c:v>
                </c:pt>
                <c:pt idx="180">
                  <c:v>562.24335111699042</c:v>
                </c:pt>
                <c:pt idx="181">
                  <c:v>389.29435812328035</c:v>
                </c:pt>
                <c:pt idx="182">
                  <c:v>393.77127654313722</c:v>
                </c:pt>
                <c:pt idx="183">
                  <c:v>398.24709148150777</c:v>
                </c:pt>
                <c:pt idx="184">
                  <c:v>1.213734449314598E-11</c:v>
                </c:pt>
                <c:pt idx="185">
                  <c:v>1.213734449314598E-11</c:v>
                </c:pt>
                <c:pt idx="186">
                  <c:v>1.213734449314598E-11</c:v>
                </c:pt>
                <c:pt idx="187">
                  <c:v>1.213734449314598E-11</c:v>
                </c:pt>
                <c:pt idx="188">
                  <c:v>1.213734449314598E-11</c:v>
                </c:pt>
                <c:pt idx="189">
                  <c:v>1.213734449314598E-11</c:v>
                </c:pt>
                <c:pt idx="190">
                  <c:v>1.213734449314598E-11</c:v>
                </c:pt>
                <c:pt idx="191">
                  <c:v>1.213734449314598E-11</c:v>
                </c:pt>
                <c:pt idx="192">
                  <c:v>1.213734449314598E-11</c:v>
                </c:pt>
                <c:pt idx="193">
                  <c:v>1.213734449314598E-11</c:v>
                </c:pt>
                <c:pt idx="194">
                  <c:v>1.213734449314598E-11</c:v>
                </c:pt>
                <c:pt idx="195">
                  <c:v>1.213734449314598E-11</c:v>
                </c:pt>
                <c:pt idx="196">
                  <c:v>1.213734449314598E-11</c:v>
                </c:pt>
                <c:pt idx="197">
                  <c:v>1.213734449314598E-11</c:v>
                </c:pt>
                <c:pt idx="198">
                  <c:v>1.213734449314598E-11</c:v>
                </c:pt>
                <c:pt idx="199">
                  <c:v>1.213734449314598E-11</c:v>
                </c:pt>
                <c:pt idx="200">
                  <c:v>1.213734449314598E-11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7.8416812518275494</c:v>
                </c:pt>
                <c:pt idx="2">
                  <c:v>15.334584394665216</c:v>
                </c:pt>
                <c:pt idx="3">
                  <c:v>22.714849715865025</c:v>
                </c:pt>
                <c:pt idx="4">
                  <c:v>30.025682463014238</c:v>
                </c:pt>
                <c:pt idx="5">
                  <c:v>37.286664670681112</c:v>
                </c:pt>
                <c:pt idx="6">
                  <c:v>44.508966748956091</c:v>
                </c:pt>
                <c:pt idx="7">
                  <c:v>51.699789829314369</c:v>
                </c:pt>
                <c:pt idx="8">
                  <c:v>58.864149784128841</c:v>
                </c:pt>
                <c:pt idx="9">
                  <c:v>66.005733343400635</c:v>
                </c:pt>
                <c:pt idx="10">
                  <c:v>73.127359901020441</c:v>
                </c:pt>
                <c:pt idx="11">
                  <c:v>80.231252341942835</c:v>
                </c:pt>
                <c:pt idx="12">
                  <c:v>87.319206208881965</c:v>
                </c:pt>
                <c:pt idx="13">
                  <c:v>94.392700722529355</c:v>
                </c:pt>
                <c:pt idx="14">
                  <c:v>101.45297460358488</c:v>
                </c:pt>
                <c:pt idx="15">
                  <c:v>108.50107958525473</c:v>
                </c:pt>
                <c:pt idx="16">
                  <c:v>115.53791923613043</c:v>
                </c:pt>
                <c:pt idx="17">
                  <c:v>122.56427779499695</c:v>
                </c:pt>
                <c:pt idx="18">
                  <c:v>129.58084202522676</c:v>
                </c:pt>
                <c:pt idx="19">
                  <c:v>136.58821807340979</c:v>
                </c:pt>
                <c:pt idx="20">
                  <c:v>143.58694467754751</c:v>
                </c:pt>
                <c:pt idx="21">
                  <c:v>150.57750365853744</c:v>
                </c:pt>
                <c:pt idx="22">
                  <c:v>157.56032835665889</c:v>
                </c:pt>
                <c:pt idx="23">
                  <c:v>164.5358104907921</c:v>
                </c:pt>
                <c:pt idx="24">
                  <c:v>171.50430579106953</c:v>
                </c:pt>
                <c:pt idx="25">
                  <c:v>178.46613866629886</c:v>
                </c:pt>
                <c:pt idx="26">
                  <c:v>185.42160610357715</c:v>
                </c:pt>
                <c:pt idx="27">
                  <c:v>192.3709809510899</c:v>
                </c:pt>
                <c:pt idx="28">
                  <c:v>199.31451470089735</c:v>
                </c:pt>
                <c:pt idx="29">
                  <c:v>206.25243986300856</c:v>
                </c:pt>
                <c:pt idx="30">
                  <c:v>213.18497200279739</c:v>
                </c:pt>
                <c:pt idx="31">
                  <c:v>220.11231149913181</c:v>
                </c:pt>
                <c:pt idx="32">
                  <c:v>227.03464506927492</c:v>
                </c:pt>
                <c:pt idx="33">
                  <c:v>233.95214709781916</c:v>
                </c:pt>
                <c:pt idx="34">
                  <c:v>240.86498080001115</c:v>
                </c:pt>
                <c:pt idx="35">
                  <c:v>247.77329924436927</c:v>
                </c:pt>
                <c:pt idx="36">
                  <c:v>254.677246255146</c:v>
                </c:pt>
                <c:pt idx="37">
                  <c:v>261.57695721169699</c:v>
                </c:pt>
                <c:pt idx="38">
                  <c:v>268.47255975900185</c:v>
                </c:pt>
                <c:pt idx="39">
                  <c:v>159.13424306647443</c:v>
                </c:pt>
                <c:pt idx="40">
                  <c:v>175.51556479645032</c:v>
                </c:pt>
                <c:pt idx="41">
                  <c:v>191.86098640807214</c:v>
                </c:pt>
                <c:pt idx="42">
                  <c:v>208.17399808399605</c:v>
                </c:pt>
                <c:pt idx="43">
                  <c:v>224.45749769106285</c:v>
                </c:pt>
                <c:pt idx="44">
                  <c:v>240.7139279284028</c:v>
                </c:pt>
                <c:pt idx="45">
                  <c:v>256.94537440132541</c:v>
                </c:pt>
                <c:pt idx="46">
                  <c:v>202.22829097191121</c:v>
                </c:pt>
                <c:pt idx="47">
                  <c:v>218.55599706941132</c:v>
                </c:pt>
                <c:pt idx="48">
                  <c:v>234.85567780270017</c:v>
                </c:pt>
                <c:pt idx="49">
                  <c:v>251.12955222049018</c:v>
                </c:pt>
                <c:pt idx="50">
                  <c:v>267.37952812778133</c:v>
                </c:pt>
                <c:pt idx="51">
                  <c:v>283.60726240907678</c:v>
                </c:pt>
                <c:pt idx="52">
                  <c:v>299.81420680494631</c:v>
                </c:pt>
                <c:pt idx="53">
                  <c:v>241.6852366162332</c:v>
                </c:pt>
                <c:pt idx="54">
                  <c:v>257.55058563444715</c:v>
                </c:pt>
                <c:pt idx="55">
                  <c:v>273.39384260859043</c:v>
                </c:pt>
                <c:pt idx="56">
                  <c:v>289.21646803530473</c:v>
                </c:pt>
                <c:pt idx="57">
                  <c:v>305.01974952062346</c:v>
                </c:pt>
                <c:pt idx="58">
                  <c:v>320.80483033300214</c:v>
                </c:pt>
                <c:pt idx="59">
                  <c:v>336.57273203877315</c:v>
                </c:pt>
                <c:pt idx="60">
                  <c:v>283.25886324647348</c:v>
                </c:pt>
                <c:pt idx="61">
                  <c:v>298.69552666245664</c:v>
                </c:pt>
                <c:pt idx="62">
                  <c:v>314.11441948835591</c:v>
                </c:pt>
                <c:pt idx="63">
                  <c:v>329.5165368153817</c:v>
                </c:pt>
                <c:pt idx="64">
                  <c:v>344.90277311048459</c:v>
                </c:pt>
                <c:pt idx="65">
                  <c:v>360.27393652075779</c:v>
                </c:pt>
                <c:pt idx="66">
                  <c:v>375.63076060827984</c:v>
                </c:pt>
                <c:pt idx="67">
                  <c:v>390.97391406527368</c:v>
                </c:pt>
                <c:pt idx="68">
                  <c:v>337.3982904915398</c:v>
                </c:pt>
                <c:pt idx="69">
                  <c:v>352.52277406224692</c:v>
                </c:pt>
                <c:pt idx="70">
                  <c:v>367.633038881017</c:v>
                </c:pt>
                <c:pt idx="71">
                  <c:v>382.72975159104658</c:v>
                </c:pt>
                <c:pt idx="72">
                  <c:v>397.81352195706603</c:v>
                </c:pt>
                <c:pt idx="73">
                  <c:v>412.88490973595452</c:v>
                </c:pt>
                <c:pt idx="74">
                  <c:v>427.94443049178523</c:v>
                </c:pt>
                <c:pt idx="75">
                  <c:v>442.99256054965764</c:v>
                </c:pt>
                <c:pt idx="76">
                  <c:v>387.99604929412675</c:v>
                </c:pt>
                <c:pt idx="77">
                  <c:v>402.71916140738546</c:v>
                </c:pt>
                <c:pt idx="78">
                  <c:v>417.43063383513555</c:v>
                </c:pt>
                <c:pt idx="79">
                  <c:v>432.13093449997854</c:v>
                </c:pt>
                <c:pt idx="80">
                  <c:v>446.82049689717434</c:v>
                </c:pt>
                <c:pt idx="81">
                  <c:v>461.49972369979611</c:v>
                </c:pt>
                <c:pt idx="82">
                  <c:v>476.16898988135159</c:v>
                </c:pt>
                <c:pt idx="83">
                  <c:v>490.8286454336303</c:v>
                </c:pt>
                <c:pt idx="84">
                  <c:v>426.05876215311855</c:v>
                </c:pt>
                <c:pt idx="85">
                  <c:v>440.35552328942782</c:v>
                </c:pt>
                <c:pt idx="86">
                  <c:v>454.64233594685237</c:v>
                </c:pt>
                <c:pt idx="87">
                  <c:v>468.91955672259991</c:v>
                </c:pt>
                <c:pt idx="88">
                  <c:v>483.18751873278489</c:v>
                </c:pt>
                <c:pt idx="89">
                  <c:v>497.44653382078923</c:v>
                </c:pt>
                <c:pt idx="90">
                  <c:v>511.69689449928336</c:v>
                </c:pt>
                <c:pt idx="91">
                  <c:v>525.93887566470653</c:v>
                </c:pt>
                <c:pt idx="92">
                  <c:v>540.17273611642679</c:v>
                </c:pt>
                <c:pt idx="93">
                  <c:v>554.39871990749418</c:v>
                </c:pt>
                <c:pt idx="94">
                  <c:v>462.45057577316379</c:v>
                </c:pt>
                <c:pt idx="95">
                  <c:v>476.2297193668951</c:v>
                </c:pt>
                <c:pt idx="96">
                  <c:v>490.00038431965748</c:v>
                </c:pt>
                <c:pt idx="97">
                  <c:v>503.76284242511315</c:v>
                </c:pt>
                <c:pt idx="98">
                  <c:v>517.51734941902237</c:v>
                </c:pt>
                <c:pt idx="99">
                  <c:v>531.26414633845241</c:v>
                </c:pt>
                <c:pt idx="100">
                  <c:v>545.00346073302319</c:v>
                </c:pt>
                <c:pt idx="101">
                  <c:v>558.73550774769456</c:v>
                </c:pt>
                <c:pt idx="102">
                  <c:v>572.46049109360445</c:v>
                </c:pt>
                <c:pt idx="103">
                  <c:v>586.17860392099487</c:v>
                </c:pt>
                <c:pt idx="104">
                  <c:v>494.39304365003255</c:v>
                </c:pt>
                <c:pt idx="105">
                  <c:v>507.69808885047905</c:v>
                </c:pt>
                <c:pt idx="106">
                  <c:v>520.99576594668645</c:v>
                </c:pt>
                <c:pt idx="107">
                  <c:v>534.28628945011303</c:v>
                </c:pt>
                <c:pt idx="108">
                  <c:v>547.56986233272289</c:v>
                </c:pt>
                <c:pt idx="109">
                  <c:v>560.84667691848119</c:v>
                </c:pt>
                <c:pt idx="110">
                  <c:v>574.11691568606932</c:v>
                </c:pt>
                <c:pt idx="111">
                  <c:v>587.38075199355023</c:v>
                </c:pt>
                <c:pt idx="112">
                  <c:v>600.63835073419614</c:v>
                </c:pt>
                <c:pt idx="113">
                  <c:v>613.88986893142953</c:v>
                </c:pt>
                <c:pt idx="114">
                  <c:v>521.12234181312056</c:v>
                </c:pt>
                <c:pt idx="115">
                  <c:v>534.29698035461945</c:v>
                </c:pt>
                <c:pt idx="116">
                  <c:v>547.46478909061773</c:v>
                </c:pt>
                <c:pt idx="117">
                  <c:v>560.62595539326617</c:v>
                </c:pt>
                <c:pt idx="118">
                  <c:v>573.78065712263424</c:v>
                </c:pt>
                <c:pt idx="119">
                  <c:v>586.92906332116638</c:v>
                </c:pt>
                <c:pt idx="120">
                  <c:v>600.07133484269514</c:v>
                </c:pt>
                <c:pt idx="121">
                  <c:v>613.20762492350696</c:v>
                </c:pt>
                <c:pt idx="122">
                  <c:v>626.33807970195176</c:v>
                </c:pt>
                <c:pt idx="123">
                  <c:v>639.46283869223191</c:v>
                </c:pt>
                <c:pt idx="124">
                  <c:v>333.6660506110839</c:v>
                </c:pt>
                <c:pt idx="125">
                  <c:v>341.01717737647567</c:v>
                </c:pt>
                <c:pt idx="126">
                  <c:v>236.43132973115257</c:v>
                </c:pt>
                <c:pt idx="127">
                  <c:v>241.4909819994119</c:v>
                </c:pt>
                <c:pt idx="128">
                  <c:v>173.26777390076953</c:v>
                </c:pt>
                <c:pt idx="129">
                  <c:v>177.0427019008545</c:v>
                </c:pt>
                <c:pt idx="130">
                  <c:v>180.81574144693499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62A1E670-6D3F-4CD0-AE7F-8AC44E824BDD}">
    <text>A recopier sur toutes les essences.
Correspond aux frais fixes d’entretien mécanique + répulsif gibier</text>
  </threadedComment>
  <threadedComment ref="E50" dT="2024-11-27T17:08:05.48" personId="{44BC7BF0-8157-4572-8E12-7E0C99523682}" id="{425D1E99-B98D-4864-8950-AF7B01C86264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8F54D893-D0EF-49C0-A2B7-8F00C7E3B6F1}">
    <text>A recopier sur toutes les essences.
Correspond aux frais fixes d’entretien mécanique + répulsif gibier</text>
  </threadedComment>
  <threadedComment ref="E80" dT="2024-11-27T17:07:34.75" personId="{44BC7BF0-8157-4572-8E12-7E0C99523682}" id="{CE8DE784-91A8-4075-A4D0-3AC7C2EB98FC}">
    <text>A recopier sur toutes les essences.
Correspond aux frais fixes d’entretien mécanique + répulsif gibier</text>
  </threadedComment>
  <threadedComment ref="E81" dT="2024-11-27T17:08:05.48" personId="{44BC7BF0-8157-4572-8E12-7E0C99523682}" id="{252A15A3-BD20-4644-ADEF-8187A05C4E49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E00617E4-3D03-4559-A82D-71A3074BA412}">
    <text>A recopier sur toutes les essences.
Correspond aux frais fixes d’entretien mécanique + répulsif gibier</text>
  </threadedComment>
  <threadedComment ref="E111" dT="2024-11-27T17:07:34.75" personId="{44BC7BF0-8157-4572-8E12-7E0C99523682}" id="{E5E3A605-078B-45CD-BFAF-E16A93164F63}">
    <text>A recopier sur toutes les essences.
Correspond aux frais fixes d’entretien mécanique + répulsif gibier</text>
  </threadedComment>
  <threadedComment ref="E112" dT="2024-11-27T17:08:05.48" personId="{44BC7BF0-8157-4572-8E12-7E0C99523682}" id="{849810E7-B227-42DF-B692-4867171B4C1F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9E2C39CB-4264-4736-AE1D-C0214AAD99D1}">
    <text>A recopier sur toutes les essences.
Correspond aux frais fixes d’entretien mécanique + répulsif gibier</text>
  </threadedComment>
  <threadedComment ref="E142" dT="2024-11-27T17:07:34.75" personId="{44BC7BF0-8157-4572-8E12-7E0C99523682}" id="{B2B4D4BC-7BEA-4F48-B7E9-89EED53D5A26}">
    <text>A recopier sur toutes les essences.
Correspond aux frais fixes d’entretien mécanique + répulsif gibier</text>
  </threadedComment>
  <threadedComment ref="E143" dT="2024-11-27T17:08:05.48" personId="{44BC7BF0-8157-4572-8E12-7E0C99523682}" id="{8221CC2D-739D-4CD3-BD5E-8557D8FB8AB3}">
    <text xml:space="preserve">A recopier sur toutes les essences
Correspond aux frais fixes entretien manuel + répulsif gibier + regarnis
</text>
  </threadedComment>
  <threadedComment ref="E144" dT="2024-11-27T17:07:34.75" personId="{44BC7BF0-8157-4572-8E12-7E0C99523682}" id="{C33E2C3D-2148-4D66-86D7-9856F5F4779F}">
    <text>A recopier sur toutes les essences.
Correspond aux frais fixes d’entretien mécanique + répulsif gibier</text>
  </threadedComment>
  <threadedComment ref="E173" dT="2024-11-27T17:07:34.75" personId="{44BC7BF0-8157-4572-8E12-7E0C99523682}" id="{31AF4B70-F7E1-41BA-A833-FE40DCA65A21}">
    <text>A recopier sur toutes les essences.
Correspond aux frais fixes d’entretien mécanique + répulsif gibier</text>
  </threadedComment>
  <threadedComment ref="E174" dT="2024-11-27T17:08:05.48" personId="{44BC7BF0-8157-4572-8E12-7E0C99523682}" id="{F735ABA0-BA31-4EA4-AB0C-FF77099AB6EB}">
    <text xml:space="preserve">A recopier sur toutes les essences
Correspond aux frais fixes entretien manuel + répulsif gibier + regarnis
</text>
  </threadedComment>
  <threadedComment ref="E175" dT="2024-11-27T17:07:34.75" personId="{44BC7BF0-8157-4572-8E12-7E0C99523682}" id="{447362BC-1A6B-4857-8E8E-D97B60A3F99F}">
    <text>A recopier sur toutes les essences.
Correspond aux frais fixes d’entretien mécanique + répulsif gibier</text>
  </threadedComment>
  <threadedComment ref="E204" dT="2024-11-27T17:07:34.75" personId="{44BC7BF0-8157-4572-8E12-7E0C99523682}" id="{0D0120E2-C20C-4FE5-A9B4-4703FA9D6722}">
    <text>A recopier sur toutes les essences.
Correspond aux frais fixes d’entretien mécanique + répulsif gibier</text>
  </threadedComment>
  <threadedComment ref="E205" dT="2024-11-27T17:08:05.48" personId="{44BC7BF0-8157-4572-8E12-7E0C99523682}" id="{048774CF-3631-48B9-989C-157B841DF97F}">
    <text xml:space="preserve">A recopier sur toutes les essences
Correspond aux frais fixes entretien manuel + répulsif gibier + regarnis
</text>
  </threadedComment>
  <threadedComment ref="E206" dT="2024-11-27T17:07:34.75" personId="{44BC7BF0-8157-4572-8E12-7E0C99523682}" id="{3E904B93-5E63-4CEA-AD64-373DF06CE2A3}">
    <text>A recopier sur toutes les essences.
Correspond aux frais fixes d’entretien mécanique + répulsif gibier</text>
  </threadedComment>
  <threadedComment ref="E235" dT="2024-11-27T17:07:34.75" personId="{44BC7BF0-8157-4572-8E12-7E0C99523682}" id="{D2660773-7E96-425D-A90E-697EAC80D976}">
    <text>A recopier sur toutes les essences.
Correspond aux frais fixes d’entretien mécanique + répulsif gibier</text>
  </threadedComment>
  <threadedComment ref="E236" dT="2024-11-27T17:08:05.48" personId="{44BC7BF0-8157-4572-8E12-7E0C99523682}" id="{78CB1FD1-F911-471A-844F-5AD26C5606A3}">
    <text xml:space="preserve">A recopier sur toutes les essences
Correspond aux frais fixes entretien manuel + répulsif gibier + regarnis
</text>
  </threadedComment>
  <threadedComment ref="E237" dT="2024-11-27T17:07:34.75" personId="{44BC7BF0-8157-4572-8E12-7E0C99523682}" id="{2E2C9091-B2AC-47D6-85FF-3E3E7E9190D4}">
    <text>A recopier sur toutes les essences.
Correspond aux frais fixes d’entretien mécanique + répulsif gibier</text>
  </threadedComment>
  <threadedComment ref="E266" dT="2024-11-27T17:07:34.75" personId="{44BC7BF0-8157-4572-8E12-7E0C99523682}" id="{92E66D28-D88E-45C9-B170-3036BEC36DCA}">
    <text>A recopier sur toutes les essences.
Correspond aux frais fixes d’entretien mécanique + répulsif gibier</text>
  </threadedComment>
  <threadedComment ref="E267" dT="2024-11-27T17:08:05.48" personId="{44BC7BF0-8157-4572-8E12-7E0C99523682}" id="{ABE176F4-3444-476D-8FDE-F4A3DF140698}">
    <text xml:space="preserve">A recopier sur toutes les essences
Correspond aux frais fixes entretien manuel + répulsif gibier + regarnis
</text>
  </threadedComment>
  <threadedComment ref="E268" dT="2024-11-27T17:07:34.75" personId="{44BC7BF0-8157-4572-8E12-7E0C99523682}" id="{8C019888-6B76-47A9-96BC-188DA75717F9}">
    <text>A recopier sur toutes les essences.
Correspond aux frais fixes d’entretien mécanique + répulsif gibier</text>
  </threadedComment>
  <threadedComment ref="E297" dT="2024-11-27T17:07:34.75" personId="{44BC7BF0-8157-4572-8E12-7E0C99523682}" id="{3C400172-E0FA-4B74-AA98-3ADD50A2C17F}">
    <text>A recopier sur toutes les essences.
Correspond aux frais fixes d’entretien mécanique + répulsif gibier</text>
  </threadedComment>
  <threadedComment ref="E298" dT="2024-11-27T17:08:05.48" personId="{44BC7BF0-8157-4572-8E12-7E0C99523682}" id="{96F957EE-450A-44E3-B6B5-B62AB801E431}">
    <text xml:space="preserve">A recopier sur toutes les essences
Correspond aux frais fixes entretien manuel + répulsif gibier + regarnis
</text>
  </threadedComment>
  <threadedComment ref="E299" dT="2024-11-27T17:07:34.75" personId="{44BC7BF0-8157-4572-8E12-7E0C99523682}" id="{8EADFB8E-1A14-4845-B916-CF260763A167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1" zoomScale="80" zoomScaleNormal="80" workbookViewId="0">
      <selection activeCell="I136" sqref="I13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5" t="s">
        <v>190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5.43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0.26481481481481478</v>
      </c>
      <c r="D9" s="33">
        <f t="shared" ref="D9:D18" si="0">C9*$C$5</f>
        <v>1.4379444444444442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0.05</v>
      </c>
      <c r="D10" s="33">
        <f t="shared" si="0"/>
        <v>0.27150000000000002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15</v>
      </c>
      <c r="C11" s="32">
        <v>0.05</v>
      </c>
      <c r="D11" s="33">
        <f t="shared" si="0"/>
        <v>0.27150000000000002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6</v>
      </c>
      <c r="C12" s="32">
        <v>0.26666666666666666</v>
      </c>
      <c r="D12" s="33">
        <f t="shared" si="0"/>
        <v>1.448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21</v>
      </c>
      <c r="C13" s="32">
        <v>6.4814814814814811E-2</v>
      </c>
      <c r="D13" s="33">
        <f t="shared" si="0"/>
        <v>0.35194444444444439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</v>
      </c>
      <c r="C14" s="32">
        <v>4.0740740740740737E-2</v>
      </c>
      <c r="D14" s="33">
        <f t="shared" si="0"/>
        <v>0.22122222222222218</v>
      </c>
      <c r="E14" s="34">
        <v>183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52</v>
      </c>
      <c r="C15" s="32">
        <v>1.4814814814814814E-2</v>
      </c>
      <c r="D15" s="33">
        <f t="shared" si="0"/>
        <v>8.044444444444443E-2</v>
      </c>
      <c r="E15" s="34">
        <v>183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29</v>
      </c>
      <c r="C16" s="32">
        <v>1.4814814814814814E-2</v>
      </c>
      <c r="D16" s="33">
        <f t="shared" si="0"/>
        <v>8.044444444444443E-2</v>
      </c>
      <c r="E16" s="34">
        <v>69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11</v>
      </c>
      <c r="C17" s="32">
        <v>0.12407407407407407</v>
      </c>
      <c r="D17" s="33">
        <f t="shared" si="0"/>
        <v>0.67372222222222222</v>
      </c>
      <c r="E17" s="34">
        <v>130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0.89074074074074072</v>
      </c>
      <c r="D19" s="38">
        <f>SUM(D9:D18)</f>
        <v>4.8367222222222228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42</v>
      </c>
      <c r="B36" s="258">
        <v>163.26</v>
      </c>
      <c r="C36" s="258">
        <v>1</v>
      </c>
      <c r="D36" s="259">
        <v>43.21</v>
      </c>
      <c r="E36" s="260">
        <v>0.3</v>
      </c>
      <c r="F36" s="260">
        <v>0</v>
      </c>
      <c r="G36" s="260">
        <v>0</v>
      </c>
      <c r="H36" s="260">
        <v>0.7</v>
      </c>
      <c r="I36" s="49">
        <f>IFERROR(B36/A36,"")</f>
        <v>3.887142857142857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50</v>
      </c>
      <c r="B37" s="262">
        <v>195.02</v>
      </c>
      <c r="C37" s="262">
        <v>2</v>
      </c>
      <c r="D37" s="262">
        <v>35.58</v>
      </c>
      <c r="E37" s="263">
        <v>0.3</v>
      </c>
      <c r="F37" s="263">
        <v>0</v>
      </c>
      <c r="G37" s="263">
        <v>0</v>
      </c>
      <c r="H37" s="263">
        <v>0.7</v>
      </c>
      <c r="I37" s="53">
        <f t="shared" ref="I37:I55" si="1">IF(A37&lt;&gt;0,(B37-(B36-D36))/(A37-A36),"")</f>
        <v>9.3712500000000034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58</v>
      </c>
      <c r="B38" s="262">
        <v>235.87</v>
      </c>
      <c r="C38" s="262">
        <v>3</v>
      </c>
      <c r="D38" s="262">
        <v>44.93</v>
      </c>
      <c r="E38" s="263">
        <v>0.3</v>
      </c>
      <c r="F38" s="263">
        <v>0</v>
      </c>
      <c r="G38" s="263">
        <v>0</v>
      </c>
      <c r="H38" s="263">
        <v>0.7</v>
      </c>
      <c r="I38" s="53">
        <f t="shared" si="1"/>
        <v>9.5537500000000009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66</v>
      </c>
      <c r="B39" s="262">
        <v>264.95999999999998</v>
      </c>
      <c r="C39" s="262">
        <v>4</v>
      </c>
      <c r="D39" s="262">
        <v>49.91</v>
      </c>
      <c r="E39" s="263">
        <v>0.6</v>
      </c>
      <c r="F39" s="263">
        <v>0</v>
      </c>
      <c r="G39" s="263">
        <v>0</v>
      </c>
      <c r="H39" s="263">
        <v>0.4</v>
      </c>
      <c r="I39" s="49">
        <f t="shared" si="1"/>
        <v>9.2524999999999977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74</v>
      </c>
      <c r="B40" s="262">
        <v>285.98</v>
      </c>
      <c r="C40" s="262">
        <v>5</v>
      </c>
      <c r="D40" s="262">
        <v>47.4</v>
      </c>
      <c r="E40" s="263">
        <v>0.6</v>
      </c>
      <c r="F40" s="263">
        <v>0</v>
      </c>
      <c r="G40" s="263">
        <v>0</v>
      </c>
      <c r="H40" s="263">
        <v>0.4</v>
      </c>
      <c r="I40" s="49">
        <f t="shared" si="1"/>
        <v>8.8662500000000044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84</v>
      </c>
      <c r="B41" s="262">
        <v>325.35000000000002</v>
      </c>
      <c r="C41" s="262">
        <v>6</v>
      </c>
      <c r="D41" s="262">
        <v>61.47</v>
      </c>
      <c r="E41" s="263">
        <v>0.6</v>
      </c>
      <c r="F41" s="263">
        <v>0</v>
      </c>
      <c r="G41" s="263">
        <v>0</v>
      </c>
      <c r="H41" s="263">
        <v>0.4</v>
      </c>
      <c r="I41" s="53">
        <f t="shared" si="1"/>
        <v>8.6770000000000014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94</v>
      </c>
      <c r="B42" s="262">
        <v>346.79</v>
      </c>
      <c r="C42" s="262">
        <v>7</v>
      </c>
      <c r="D42" s="262">
        <v>61.85</v>
      </c>
      <c r="E42" s="263">
        <v>0.6</v>
      </c>
      <c r="F42" s="263">
        <v>0</v>
      </c>
      <c r="G42" s="263">
        <v>0</v>
      </c>
      <c r="H42" s="263">
        <v>0.4</v>
      </c>
      <c r="I42" s="53">
        <f t="shared" si="1"/>
        <v>8.2910000000000021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104</v>
      </c>
      <c r="B43" s="262">
        <v>365.41</v>
      </c>
      <c r="C43" s="262">
        <v>8</v>
      </c>
      <c r="D43" s="262">
        <v>60.19</v>
      </c>
      <c r="E43" s="263">
        <v>0.6</v>
      </c>
      <c r="F43" s="263">
        <v>0</v>
      </c>
      <c r="G43" s="263">
        <v>0</v>
      </c>
      <c r="H43" s="263">
        <v>0.4</v>
      </c>
      <c r="I43" s="49">
        <f t="shared" si="1"/>
        <v>8.0470000000000024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114</v>
      </c>
      <c r="B44" s="262">
        <v>384.57</v>
      </c>
      <c r="C44" s="262">
        <v>9</v>
      </c>
      <c r="D44" s="262">
        <v>56.07</v>
      </c>
      <c r="E44" s="263">
        <v>0.6</v>
      </c>
      <c r="F44" s="263">
        <v>0</v>
      </c>
      <c r="G44" s="263">
        <v>0</v>
      </c>
      <c r="H44" s="263">
        <v>0.4</v>
      </c>
      <c r="I44" s="49">
        <f t="shared" si="1"/>
        <v>7.9349999999999969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124</v>
      </c>
      <c r="B45" s="262">
        <v>408.42</v>
      </c>
      <c r="C45" s="262">
        <v>10</v>
      </c>
      <c r="D45" s="262">
        <v>52.53</v>
      </c>
      <c r="E45" s="263">
        <v>0.6</v>
      </c>
      <c r="F45" s="263">
        <v>0</v>
      </c>
      <c r="G45" s="263">
        <v>0</v>
      </c>
      <c r="H45" s="263">
        <v>0.4</v>
      </c>
      <c r="I45" s="49">
        <f t="shared" si="1"/>
        <v>7.9920000000000018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134</v>
      </c>
      <c r="B46" s="262">
        <v>436.59</v>
      </c>
      <c r="C46" s="262">
        <v>11</v>
      </c>
      <c r="D46" s="262">
        <v>54.95</v>
      </c>
      <c r="E46" s="263">
        <v>0.6</v>
      </c>
      <c r="F46" s="263">
        <v>0</v>
      </c>
      <c r="G46" s="263">
        <v>0</v>
      </c>
      <c r="H46" s="263">
        <v>0.4</v>
      </c>
      <c r="I46" s="49">
        <f t="shared" si="1"/>
        <v>8.0699999999999985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144</v>
      </c>
      <c r="B47" s="262">
        <v>463.23</v>
      </c>
      <c r="C47" s="262">
        <v>12</v>
      </c>
      <c r="D47" s="262">
        <v>56.01</v>
      </c>
      <c r="E47" s="263">
        <v>0.6</v>
      </c>
      <c r="F47" s="263">
        <v>0</v>
      </c>
      <c r="G47" s="263">
        <v>0</v>
      </c>
      <c r="H47" s="263">
        <v>0.4</v>
      </c>
      <c r="I47" s="49">
        <f t="shared" si="1"/>
        <v>8.1590000000000025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>
        <v>154</v>
      </c>
      <c r="B48" s="262">
        <v>490.47</v>
      </c>
      <c r="C48" s="262">
        <v>13</v>
      </c>
      <c r="D48" s="262">
        <v>55.13</v>
      </c>
      <c r="E48" s="263">
        <v>0.6</v>
      </c>
      <c r="F48" s="263">
        <v>0</v>
      </c>
      <c r="G48" s="263">
        <v>0</v>
      </c>
      <c r="H48" s="263">
        <v>0.4</v>
      </c>
      <c r="I48" s="49">
        <f t="shared" si="1"/>
        <v>8.3249999999999993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>
        <v>164</v>
      </c>
      <c r="B49" s="262">
        <v>519.77</v>
      </c>
      <c r="C49" s="262">
        <v>14</v>
      </c>
      <c r="D49" s="262">
        <v>59.58</v>
      </c>
      <c r="E49" s="263">
        <v>0.6</v>
      </c>
      <c r="F49" s="263">
        <v>0</v>
      </c>
      <c r="G49" s="263">
        <v>0</v>
      </c>
      <c r="H49" s="263">
        <v>0.4</v>
      </c>
      <c r="I49" s="49">
        <f t="shared" si="1"/>
        <v>8.4429999999999943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174</v>
      </c>
      <c r="B50" s="262">
        <v>545.65</v>
      </c>
      <c r="C50" s="262">
        <v>15</v>
      </c>
      <c r="D50" s="262">
        <v>214.77</v>
      </c>
      <c r="E50" s="263">
        <v>0.6</v>
      </c>
      <c r="F50" s="263">
        <v>0</v>
      </c>
      <c r="G50" s="263">
        <v>0</v>
      </c>
      <c r="H50" s="263">
        <v>0.4</v>
      </c>
      <c r="I50" s="49">
        <f t="shared" si="1"/>
        <v>8.5459999999999976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177</v>
      </c>
      <c r="B51" s="262">
        <v>347.04</v>
      </c>
      <c r="C51" s="262">
        <v>16</v>
      </c>
      <c r="D51" s="262">
        <v>115.19</v>
      </c>
      <c r="E51" s="263">
        <v>0.6</v>
      </c>
      <c r="F51" s="263">
        <v>0</v>
      </c>
      <c r="G51" s="263">
        <v>0</v>
      </c>
      <c r="H51" s="263">
        <v>0.4</v>
      </c>
      <c r="I51" s="49">
        <f t="shared" si="1"/>
        <v>5.3866666666666747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180</v>
      </c>
      <c r="B52" s="262">
        <v>241.62</v>
      </c>
      <c r="C52" s="262">
        <v>17</v>
      </c>
      <c r="D52" s="262">
        <v>77.72</v>
      </c>
      <c r="E52" s="263">
        <v>0.6</v>
      </c>
      <c r="F52" s="263">
        <v>0</v>
      </c>
      <c r="G52" s="263">
        <v>0</v>
      </c>
      <c r="H52" s="263">
        <v>0.4</v>
      </c>
      <c r="I52" s="49">
        <f t="shared" si="1"/>
        <v>3.2566666666666606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183</v>
      </c>
      <c r="B53" s="262">
        <v>169.76</v>
      </c>
      <c r="C53" s="262">
        <v>18</v>
      </c>
      <c r="D53" s="262">
        <v>169.76</v>
      </c>
      <c r="E53" s="263">
        <v>0.6</v>
      </c>
      <c r="F53" s="263">
        <v>0</v>
      </c>
      <c r="G53" s="263">
        <v>0</v>
      </c>
      <c r="H53" s="263">
        <v>0.4</v>
      </c>
      <c r="I53" s="49">
        <f t="shared" si="1"/>
        <v>1.9533333333333285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tauzin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champêtre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37</v>
      </c>
      <c r="C140" s="50">
        <v>2</v>
      </c>
      <c r="D140" s="60">
        <v>15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2.4666666666666668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80</v>
      </c>
      <c r="C141" s="50">
        <v>3</v>
      </c>
      <c r="D141" s="60">
        <v>28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11.6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115</v>
      </c>
      <c r="C142" s="50">
        <v>4</v>
      </c>
      <c r="D142" s="60">
        <v>28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146</v>
      </c>
      <c r="C143" s="50">
        <v>5</v>
      </c>
      <c r="D143" s="60">
        <v>28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11.8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172</v>
      </c>
      <c r="C144" s="50">
        <v>6</v>
      </c>
      <c r="D144" s="60">
        <v>28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192</v>
      </c>
      <c r="C145" s="50">
        <v>7</v>
      </c>
      <c r="D145" s="60">
        <v>28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205</v>
      </c>
      <c r="C146" s="50">
        <v>8</v>
      </c>
      <c r="D146" s="60">
        <v>22</v>
      </c>
      <c r="E146" s="51">
        <v>0.3</v>
      </c>
      <c r="F146" s="51">
        <v>0</v>
      </c>
      <c r="G146" s="51">
        <v>0</v>
      </c>
      <c r="H146" s="51">
        <v>0.7</v>
      </c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219</v>
      </c>
      <c r="C147" s="50">
        <v>9</v>
      </c>
      <c r="D147" s="60">
        <v>17</v>
      </c>
      <c r="E147" s="51">
        <v>0.3</v>
      </c>
      <c r="F147" s="51">
        <v>0</v>
      </c>
      <c r="G147" s="51">
        <v>0</v>
      </c>
      <c r="H147" s="51">
        <v>0.7</v>
      </c>
      <c r="I147" s="57">
        <f>IF(A147&lt;&gt;0,(B147-(B146-D146))/(A147-A146),"")</f>
        <v>7.2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232</v>
      </c>
      <c r="C148" s="50">
        <v>10</v>
      </c>
      <c r="D148" s="60">
        <v>13</v>
      </c>
      <c r="E148" s="51">
        <v>0.3</v>
      </c>
      <c r="F148" s="51">
        <v>0</v>
      </c>
      <c r="G148" s="51">
        <v>0</v>
      </c>
      <c r="H148" s="51">
        <v>0.7</v>
      </c>
      <c r="I148" s="57">
        <f t="shared" si="5"/>
        <v>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245</v>
      </c>
      <c r="C149" s="50">
        <v>11</v>
      </c>
      <c r="D149" s="60">
        <v>12</v>
      </c>
      <c r="E149" s="51">
        <v>0.3</v>
      </c>
      <c r="F149" s="51">
        <v>0</v>
      </c>
      <c r="G149" s="51">
        <v>0</v>
      </c>
      <c r="H149" s="51">
        <v>0.7</v>
      </c>
      <c r="I149" s="57">
        <f t="shared" si="5"/>
        <v>5.2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255</v>
      </c>
      <c r="C150" s="50">
        <v>12</v>
      </c>
      <c r="D150" s="60">
        <v>11</v>
      </c>
      <c r="E150" s="51">
        <v>0.6</v>
      </c>
      <c r="F150" s="51">
        <v>0</v>
      </c>
      <c r="G150" s="51">
        <v>0</v>
      </c>
      <c r="H150" s="51">
        <v>0.4</v>
      </c>
      <c r="I150" s="57">
        <f t="shared" si="5"/>
        <v>4.4000000000000004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263</v>
      </c>
      <c r="C151" s="50">
        <v>13</v>
      </c>
      <c r="D151" s="60">
        <v>10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3.8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270</v>
      </c>
      <c r="C152" s="50">
        <v>14</v>
      </c>
      <c r="D152" s="60">
        <v>9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3.4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275</v>
      </c>
      <c r="C153" s="50">
        <v>15</v>
      </c>
      <c r="D153" s="60">
        <v>275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2.8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42</v>
      </c>
      <c r="B166" s="60">
        <v>163.26</v>
      </c>
      <c r="C166" s="60">
        <v>1</v>
      </c>
      <c r="D166" s="60">
        <v>43.21</v>
      </c>
      <c r="E166" s="51">
        <v>0.3</v>
      </c>
      <c r="F166" s="51">
        <v>0</v>
      </c>
      <c r="G166" s="51">
        <v>0</v>
      </c>
      <c r="H166" s="51">
        <v>0.7</v>
      </c>
      <c r="I166" s="49">
        <f>IFERROR(B166/A166,"")</f>
        <v>3.887142857142857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50</v>
      </c>
      <c r="B167" s="60">
        <v>195.02</v>
      </c>
      <c r="C167" s="60">
        <v>2</v>
      </c>
      <c r="D167" s="60">
        <v>35.58</v>
      </c>
      <c r="E167" s="51">
        <v>0.3</v>
      </c>
      <c r="F167" s="51">
        <v>0</v>
      </c>
      <c r="G167" s="51">
        <v>0</v>
      </c>
      <c r="H167" s="51">
        <v>0.7</v>
      </c>
      <c r="I167" s="49">
        <f t="shared" ref="I167:I185" si="6">IF(A167&lt;&gt;0,(B167-(B166-D166))/(A167-A166),"")</f>
        <v>9.3712500000000034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58</v>
      </c>
      <c r="B168" s="60">
        <v>235.87</v>
      </c>
      <c r="C168" s="60">
        <v>3</v>
      </c>
      <c r="D168" s="60">
        <v>44.93</v>
      </c>
      <c r="E168" s="51">
        <v>0.3</v>
      </c>
      <c r="F168" s="51">
        <v>0</v>
      </c>
      <c r="G168" s="51">
        <v>0</v>
      </c>
      <c r="H168" s="51">
        <v>0.7</v>
      </c>
      <c r="I168" s="49">
        <f t="shared" si="6"/>
        <v>9.5537500000000009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66</v>
      </c>
      <c r="B169" s="60">
        <v>264.95999999999998</v>
      </c>
      <c r="C169" s="60">
        <v>4</v>
      </c>
      <c r="D169" s="60">
        <v>49.91</v>
      </c>
      <c r="E169" s="51">
        <v>0.6</v>
      </c>
      <c r="F169" s="51">
        <v>0</v>
      </c>
      <c r="G169" s="51">
        <v>0</v>
      </c>
      <c r="H169" s="51">
        <v>0.4</v>
      </c>
      <c r="I169" s="49">
        <f t="shared" si="6"/>
        <v>9.2524999999999977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74</v>
      </c>
      <c r="B170" s="60">
        <v>285.98</v>
      </c>
      <c r="C170" s="60">
        <v>5</v>
      </c>
      <c r="D170" s="60">
        <v>47.4</v>
      </c>
      <c r="E170" s="51">
        <v>0.6</v>
      </c>
      <c r="F170" s="51">
        <v>0</v>
      </c>
      <c r="G170" s="51">
        <v>0</v>
      </c>
      <c r="H170" s="51">
        <v>0.4</v>
      </c>
      <c r="I170" s="49">
        <f t="shared" si="6"/>
        <v>8.8662500000000044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84</v>
      </c>
      <c r="B171" s="60">
        <v>325.35000000000002</v>
      </c>
      <c r="C171" s="60">
        <v>6</v>
      </c>
      <c r="D171" s="60">
        <v>61.47</v>
      </c>
      <c r="E171" s="51">
        <v>0.6</v>
      </c>
      <c r="F171" s="51">
        <v>0</v>
      </c>
      <c r="G171" s="51">
        <v>0</v>
      </c>
      <c r="H171" s="51">
        <v>0.4</v>
      </c>
      <c r="I171" s="49">
        <f t="shared" si="6"/>
        <v>8.6770000000000014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94</v>
      </c>
      <c r="B172" s="60">
        <v>346.79</v>
      </c>
      <c r="C172" s="60">
        <v>7</v>
      </c>
      <c r="D172" s="60">
        <v>61.85</v>
      </c>
      <c r="E172" s="51">
        <v>0.6</v>
      </c>
      <c r="F172" s="51">
        <v>0</v>
      </c>
      <c r="G172" s="51">
        <v>0</v>
      </c>
      <c r="H172" s="51">
        <v>0.4</v>
      </c>
      <c r="I172" s="49">
        <f t="shared" si="6"/>
        <v>8.2910000000000021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104</v>
      </c>
      <c r="B173" s="50">
        <v>365.41</v>
      </c>
      <c r="C173" s="50">
        <v>8</v>
      </c>
      <c r="D173" s="50">
        <v>60.19</v>
      </c>
      <c r="E173" s="51">
        <v>0.6</v>
      </c>
      <c r="F173" s="51">
        <v>0</v>
      </c>
      <c r="G173" s="51">
        <v>0</v>
      </c>
      <c r="H173" s="51">
        <v>0.4</v>
      </c>
      <c r="I173" s="49">
        <f t="shared" si="6"/>
        <v>8.0470000000000024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114</v>
      </c>
      <c r="B174" s="50">
        <v>384.57</v>
      </c>
      <c r="C174" s="50">
        <v>9</v>
      </c>
      <c r="D174" s="50">
        <v>56.07</v>
      </c>
      <c r="E174" s="51">
        <v>0.6</v>
      </c>
      <c r="F174" s="51">
        <v>0</v>
      </c>
      <c r="G174" s="51">
        <v>0</v>
      </c>
      <c r="H174" s="51">
        <v>0.4</v>
      </c>
      <c r="I174" s="49">
        <f t="shared" si="6"/>
        <v>7.9349999999999969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124</v>
      </c>
      <c r="B175" s="50">
        <v>408.42</v>
      </c>
      <c r="C175" s="50">
        <v>10</v>
      </c>
      <c r="D175" s="50">
        <v>52.53</v>
      </c>
      <c r="E175" s="51">
        <v>0.6</v>
      </c>
      <c r="F175" s="51">
        <v>0</v>
      </c>
      <c r="G175" s="51">
        <v>0</v>
      </c>
      <c r="H175" s="51">
        <v>0.4</v>
      </c>
      <c r="I175" s="49">
        <f t="shared" si="6"/>
        <v>7.9920000000000018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134</v>
      </c>
      <c r="B176" s="50">
        <v>436.59</v>
      </c>
      <c r="C176" s="50">
        <v>11</v>
      </c>
      <c r="D176" s="50">
        <v>54.95</v>
      </c>
      <c r="E176" s="51">
        <v>0.6</v>
      </c>
      <c r="F176" s="51">
        <v>0</v>
      </c>
      <c r="G176" s="51">
        <v>0</v>
      </c>
      <c r="H176" s="51">
        <v>0.4</v>
      </c>
      <c r="I176" s="49">
        <f t="shared" si="6"/>
        <v>8.0699999999999985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144</v>
      </c>
      <c r="B177" s="50">
        <v>463.23</v>
      </c>
      <c r="C177" s="50">
        <v>12</v>
      </c>
      <c r="D177" s="50">
        <v>56.01</v>
      </c>
      <c r="E177" s="51">
        <v>0.6</v>
      </c>
      <c r="F177" s="51">
        <v>0</v>
      </c>
      <c r="G177" s="51">
        <v>0</v>
      </c>
      <c r="H177" s="51">
        <v>0.4</v>
      </c>
      <c r="I177" s="49">
        <f t="shared" si="6"/>
        <v>8.1590000000000025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154</v>
      </c>
      <c r="B178" s="50">
        <v>490.47</v>
      </c>
      <c r="C178" s="50">
        <v>13</v>
      </c>
      <c r="D178" s="50">
        <v>55.13</v>
      </c>
      <c r="E178" s="51">
        <v>0.6</v>
      </c>
      <c r="F178" s="51">
        <v>0</v>
      </c>
      <c r="G178" s="51">
        <v>0</v>
      </c>
      <c r="H178" s="51">
        <v>0.4</v>
      </c>
      <c r="I178" s="49">
        <f t="shared" si="6"/>
        <v>8.3249999999999993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164</v>
      </c>
      <c r="B179" s="50">
        <v>519.77</v>
      </c>
      <c r="C179" s="50">
        <v>14</v>
      </c>
      <c r="D179" s="50">
        <v>59.58</v>
      </c>
      <c r="E179" s="51">
        <v>0.6</v>
      </c>
      <c r="F179" s="51">
        <v>0</v>
      </c>
      <c r="G179" s="51">
        <v>0</v>
      </c>
      <c r="H179" s="51">
        <v>0.4</v>
      </c>
      <c r="I179" s="49">
        <f t="shared" si="6"/>
        <v>8.4429999999999943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174</v>
      </c>
      <c r="B180" s="50">
        <v>545.65</v>
      </c>
      <c r="C180" s="50">
        <v>15</v>
      </c>
      <c r="D180" s="50">
        <v>214.77</v>
      </c>
      <c r="E180" s="51">
        <v>0.6</v>
      </c>
      <c r="F180" s="51">
        <v>0</v>
      </c>
      <c r="G180" s="51">
        <v>0</v>
      </c>
      <c r="H180" s="51">
        <v>0.4</v>
      </c>
      <c r="I180" s="49">
        <f t="shared" si="6"/>
        <v>8.5459999999999976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177</v>
      </c>
      <c r="B181" s="50">
        <v>347.04</v>
      </c>
      <c r="C181" s="50">
        <v>16</v>
      </c>
      <c r="D181" s="50">
        <v>115.19</v>
      </c>
      <c r="E181" s="51">
        <v>0.6</v>
      </c>
      <c r="F181" s="51">
        <v>0</v>
      </c>
      <c r="G181" s="51">
        <v>0</v>
      </c>
      <c r="H181" s="51">
        <v>0.4</v>
      </c>
      <c r="I181" s="49">
        <f t="shared" si="6"/>
        <v>5.3866666666666747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180</v>
      </c>
      <c r="B182" s="50">
        <v>241.62</v>
      </c>
      <c r="C182" s="50">
        <v>17</v>
      </c>
      <c r="D182" s="50">
        <v>77.72</v>
      </c>
      <c r="E182" s="51">
        <v>0.6</v>
      </c>
      <c r="F182" s="51">
        <v>0</v>
      </c>
      <c r="G182" s="51">
        <v>0</v>
      </c>
      <c r="H182" s="51">
        <v>0.4</v>
      </c>
      <c r="I182" s="49">
        <f t="shared" si="6"/>
        <v>3.2566666666666606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183</v>
      </c>
      <c r="B183" s="50">
        <v>169.76</v>
      </c>
      <c r="C183" s="50">
        <v>18</v>
      </c>
      <c r="D183" s="50">
        <v>169.76</v>
      </c>
      <c r="E183" s="51">
        <v>0.6</v>
      </c>
      <c r="F183" s="51">
        <v>0</v>
      </c>
      <c r="G183" s="51">
        <v>0</v>
      </c>
      <c r="H183" s="51">
        <v>0.4</v>
      </c>
      <c r="I183" s="49">
        <f t="shared" si="6"/>
        <v>1.9533333333333285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Cormier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42</v>
      </c>
      <c r="B192" s="60">
        <v>163.26</v>
      </c>
      <c r="C192" s="60">
        <v>1</v>
      </c>
      <c r="D192" s="60">
        <v>43.21</v>
      </c>
      <c r="E192" s="51">
        <v>0.3</v>
      </c>
      <c r="F192" s="51">
        <v>0</v>
      </c>
      <c r="G192" s="51">
        <v>0</v>
      </c>
      <c r="H192" s="51">
        <v>0.7</v>
      </c>
      <c r="I192" s="49">
        <f>IFERROR(B192/A192,"")</f>
        <v>3.887142857142857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50</v>
      </c>
      <c r="B193" s="60">
        <v>195.02</v>
      </c>
      <c r="C193" s="60">
        <v>2</v>
      </c>
      <c r="D193" s="60">
        <v>35.58</v>
      </c>
      <c r="E193" s="51">
        <v>0.3</v>
      </c>
      <c r="F193" s="51">
        <v>0</v>
      </c>
      <c r="G193" s="51">
        <v>0</v>
      </c>
      <c r="H193" s="51">
        <v>0.7</v>
      </c>
      <c r="I193" s="49">
        <f t="shared" ref="I193:I211" si="7">IF(A193&lt;&gt;0,(B193-(B192-D192))/(A193-A192),"")</f>
        <v>9.3712500000000034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58</v>
      </c>
      <c r="B194" s="60">
        <v>235.87</v>
      </c>
      <c r="C194" s="60">
        <v>3</v>
      </c>
      <c r="D194" s="60">
        <v>44.93</v>
      </c>
      <c r="E194" s="51">
        <v>0.3</v>
      </c>
      <c r="F194" s="51">
        <v>0</v>
      </c>
      <c r="G194" s="51">
        <v>0</v>
      </c>
      <c r="H194" s="51">
        <v>0.7</v>
      </c>
      <c r="I194" s="49">
        <f t="shared" si="7"/>
        <v>9.5537500000000009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66</v>
      </c>
      <c r="B195" s="60">
        <v>264.95999999999998</v>
      </c>
      <c r="C195" s="60">
        <v>4</v>
      </c>
      <c r="D195" s="60">
        <v>49.91</v>
      </c>
      <c r="E195" s="51">
        <v>0.6</v>
      </c>
      <c r="F195" s="51">
        <v>0</v>
      </c>
      <c r="G195" s="51">
        <v>0</v>
      </c>
      <c r="H195" s="51">
        <v>0.4</v>
      </c>
      <c r="I195" s="49">
        <f t="shared" si="7"/>
        <v>9.2524999999999977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74</v>
      </c>
      <c r="B196" s="60">
        <v>285.98</v>
      </c>
      <c r="C196" s="60">
        <v>5</v>
      </c>
      <c r="D196" s="60">
        <v>47.4</v>
      </c>
      <c r="E196" s="51">
        <v>0.6</v>
      </c>
      <c r="F196" s="51">
        <v>0</v>
      </c>
      <c r="G196" s="51">
        <v>0</v>
      </c>
      <c r="H196" s="51">
        <v>0.4</v>
      </c>
      <c r="I196" s="49">
        <f t="shared" si="7"/>
        <v>8.8662500000000044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84</v>
      </c>
      <c r="B197" s="60">
        <v>325.35000000000002</v>
      </c>
      <c r="C197" s="60">
        <v>6</v>
      </c>
      <c r="D197" s="60">
        <v>61.47</v>
      </c>
      <c r="E197" s="51">
        <v>0.6</v>
      </c>
      <c r="F197" s="51">
        <v>0</v>
      </c>
      <c r="G197" s="51">
        <v>0</v>
      </c>
      <c r="H197" s="51">
        <v>0.4</v>
      </c>
      <c r="I197" s="49">
        <f t="shared" si="7"/>
        <v>8.6770000000000014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94</v>
      </c>
      <c r="B198" s="60">
        <v>346.79</v>
      </c>
      <c r="C198" s="60">
        <v>7</v>
      </c>
      <c r="D198" s="60">
        <v>61.85</v>
      </c>
      <c r="E198" s="51">
        <v>0.6</v>
      </c>
      <c r="F198" s="51">
        <v>0</v>
      </c>
      <c r="G198" s="51">
        <v>0</v>
      </c>
      <c r="H198" s="51">
        <v>0.4</v>
      </c>
      <c r="I198" s="49">
        <f t="shared" si="7"/>
        <v>8.2910000000000021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104</v>
      </c>
      <c r="B199" s="50">
        <v>365.41</v>
      </c>
      <c r="C199" s="50">
        <v>8</v>
      </c>
      <c r="D199" s="50">
        <v>60.19</v>
      </c>
      <c r="E199" s="51">
        <v>0.6</v>
      </c>
      <c r="F199" s="51">
        <v>0</v>
      </c>
      <c r="G199" s="51">
        <v>0</v>
      </c>
      <c r="H199" s="51">
        <v>0.4</v>
      </c>
      <c r="I199" s="49">
        <f t="shared" si="7"/>
        <v>8.0470000000000024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114</v>
      </c>
      <c r="B200" s="50">
        <v>384.57</v>
      </c>
      <c r="C200" s="50">
        <v>9</v>
      </c>
      <c r="D200" s="50">
        <v>56.07</v>
      </c>
      <c r="E200" s="51">
        <v>0.6</v>
      </c>
      <c r="F200" s="51">
        <v>0</v>
      </c>
      <c r="G200" s="51">
        <v>0</v>
      </c>
      <c r="H200" s="51">
        <v>0.4</v>
      </c>
      <c r="I200" s="49">
        <f t="shared" si="7"/>
        <v>7.9349999999999969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124</v>
      </c>
      <c r="B201" s="50">
        <v>408.42</v>
      </c>
      <c r="C201" s="50">
        <v>10</v>
      </c>
      <c r="D201" s="50">
        <v>52.53</v>
      </c>
      <c r="E201" s="51">
        <v>0.6</v>
      </c>
      <c r="F201" s="51">
        <v>0</v>
      </c>
      <c r="G201" s="51">
        <v>0</v>
      </c>
      <c r="H201" s="51">
        <v>0.4</v>
      </c>
      <c r="I201" s="49">
        <f t="shared" si="7"/>
        <v>7.9920000000000018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134</v>
      </c>
      <c r="B202" s="50">
        <v>436.59</v>
      </c>
      <c r="C202" s="50">
        <v>11</v>
      </c>
      <c r="D202" s="50">
        <v>54.95</v>
      </c>
      <c r="E202" s="51">
        <v>0.6</v>
      </c>
      <c r="F202" s="51">
        <v>0</v>
      </c>
      <c r="G202" s="51">
        <v>0</v>
      </c>
      <c r="H202" s="51">
        <v>0.4</v>
      </c>
      <c r="I202" s="49">
        <f t="shared" si="7"/>
        <v>8.0699999999999985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144</v>
      </c>
      <c r="B203" s="50">
        <v>463.23</v>
      </c>
      <c r="C203" s="50">
        <v>12</v>
      </c>
      <c r="D203" s="50">
        <v>56.01</v>
      </c>
      <c r="E203" s="51">
        <v>0.6</v>
      </c>
      <c r="F203" s="51">
        <v>0</v>
      </c>
      <c r="G203" s="51">
        <v>0</v>
      </c>
      <c r="H203" s="51">
        <v>0.4</v>
      </c>
      <c r="I203" s="49">
        <f t="shared" si="7"/>
        <v>8.1590000000000025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154</v>
      </c>
      <c r="B204" s="50">
        <v>490.47</v>
      </c>
      <c r="C204" s="50">
        <v>13</v>
      </c>
      <c r="D204" s="50">
        <v>55.13</v>
      </c>
      <c r="E204" s="51">
        <v>0.6</v>
      </c>
      <c r="F204" s="51">
        <v>0</v>
      </c>
      <c r="G204" s="51">
        <v>0</v>
      </c>
      <c r="H204" s="51">
        <v>0.4</v>
      </c>
      <c r="I204" s="49">
        <f t="shared" si="7"/>
        <v>8.3249999999999993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164</v>
      </c>
      <c r="B205" s="50">
        <v>519.77</v>
      </c>
      <c r="C205" s="50">
        <v>14</v>
      </c>
      <c r="D205" s="50">
        <v>59.58</v>
      </c>
      <c r="E205" s="51">
        <v>0.6</v>
      </c>
      <c r="F205" s="51">
        <v>0</v>
      </c>
      <c r="G205" s="51">
        <v>0</v>
      </c>
      <c r="H205" s="51">
        <v>0.4</v>
      </c>
      <c r="I205" s="49">
        <f t="shared" si="7"/>
        <v>8.4429999999999943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174</v>
      </c>
      <c r="B206" s="50">
        <v>545.65</v>
      </c>
      <c r="C206" s="50">
        <v>15</v>
      </c>
      <c r="D206" s="50">
        <v>214.77</v>
      </c>
      <c r="E206" s="51">
        <v>0.6</v>
      </c>
      <c r="F206" s="51">
        <v>0</v>
      </c>
      <c r="G206" s="51">
        <v>0</v>
      </c>
      <c r="H206" s="51">
        <v>0.4</v>
      </c>
      <c r="I206" s="49">
        <f t="shared" si="7"/>
        <v>8.5459999999999976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177</v>
      </c>
      <c r="B207" s="50">
        <v>347.04</v>
      </c>
      <c r="C207" s="50">
        <v>16</v>
      </c>
      <c r="D207" s="50">
        <v>115.19</v>
      </c>
      <c r="E207" s="51">
        <v>0.6</v>
      </c>
      <c r="F207" s="51">
        <v>0</v>
      </c>
      <c r="G207" s="51">
        <v>0</v>
      </c>
      <c r="H207" s="51">
        <v>0.4</v>
      </c>
      <c r="I207" s="49">
        <f t="shared" si="7"/>
        <v>5.3866666666666747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>
        <v>180</v>
      </c>
      <c r="B208" s="50">
        <v>241.62</v>
      </c>
      <c r="C208" s="50">
        <v>17</v>
      </c>
      <c r="D208" s="50">
        <v>77.72</v>
      </c>
      <c r="E208" s="51">
        <v>0.6</v>
      </c>
      <c r="F208" s="51">
        <v>0</v>
      </c>
      <c r="G208" s="51">
        <v>0</v>
      </c>
      <c r="H208" s="51">
        <v>0.4</v>
      </c>
      <c r="I208" s="49">
        <f t="shared" si="7"/>
        <v>3.2566666666666606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>
        <v>183</v>
      </c>
      <c r="B209" s="50">
        <v>169.76</v>
      </c>
      <c r="C209" s="50">
        <v>18</v>
      </c>
      <c r="D209" s="50">
        <v>169.76</v>
      </c>
      <c r="E209" s="51">
        <v>0.6</v>
      </c>
      <c r="F209" s="51">
        <v>0</v>
      </c>
      <c r="G209" s="51">
        <v>0</v>
      </c>
      <c r="H209" s="51">
        <v>0.4</v>
      </c>
      <c r="I209" s="49">
        <f t="shared" si="7"/>
        <v>1.9533333333333285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Merisier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15</v>
      </c>
      <c r="B218" s="60">
        <v>40</v>
      </c>
      <c r="C218" s="50">
        <v>1</v>
      </c>
      <c r="D218" s="60">
        <v>3</v>
      </c>
      <c r="E218" s="63">
        <v>0</v>
      </c>
      <c r="F218" s="63">
        <v>0.5</v>
      </c>
      <c r="G218" s="63">
        <v>0</v>
      </c>
      <c r="H218" s="63">
        <v>0.5</v>
      </c>
      <c r="I218" s="53">
        <f>IFERROR(B218/A218,"")</f>
        <v>2.6666666666666665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20</v>
      </c>
      <c r="B219" s="60">
        <v>85</v>
      </c>
      <c r="C219" s="50">
        <v>2</v>
      </c>
      <c r="D219" s="60">
        <v>25</v>
      </c>
      <c r="E219" s="63">
        <v>0</v>
      </c>
      <c r="F219" s="63">
        <v>0.5</v>
      </c>
      <c r="G219" s="63">
        <v>0</v>
      </c>
      <c r="H219" s="63">
        <v>0.5</v>
      </c>
      <c r="I219" s="53">
        <f t="shared" ref="I219:I237" si="8">IF(A219&lt;&gt;0,(B219-(B218-D218))/(A219-A218),"")</f>
        <v>9.6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25</v>
      </c>
      <c r="B220" s="60">
        <v>113</v>
      </c>
      <c r="C220" s="50">
        <v>3</v>
      </c>
      <c r="D220" s="60">
        <v>27</v>
      </c>
      <c r="E220" s="63">
        <v>0</v>
      </c>
      <c r="F220" s="63">
        <v>0.5</v>
      </c>
      <c r="G220" s="63">
        <v>0</v>
      </c>
      <c r="H220" s="63">
        <v>0.5</v>
      </c>
      <c r="I220" s="53">
        <f t="shared" si="8"/>
        <v>10.6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31</v>
      </c>
      <c r="B221" s="55">
        <v>155</v>
      </c>
      <c r="C221" s="55">
        <v>4</v>
      </c>
      <c r="D221" s="55">
        <v>36</v>
      </c>
      <c r="E221" s="63">
        <v>0.6</v>
      </c>
      <c r="F221" s="63">
        <v>0.2</v>
      </c>
      <c r="G221" s="63">
        <v>0</v>
      </c>
      <c r="H221" s="63">
        <v>0.2</v>
      </c>
      <c r="I221" s="53">
        <f t="shared" si="8"/>
        <v>11.5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37</v>
      </c>
      <c r="B222" s="55">
        <v>188</v>
      </c>
      <c r="C222" s="55">
        <v>5</v>
      </c>
      <c r="D222" s="55">
        <v>36</v>
      </c>
      <c r="E222" s="63">
        <v>0.6</v>
      </c>
      <c r="F222" s="63">
        <v>0.2</v>
      </c>
      <c r="G222" s="63">
        <v>0</v>
      </c>
      <c r="H222" s="63">
        <v>0.2</v>
      </c>
      <c r="I222" s="53">
        <f t="shared" si="8"/>
        <v>11.5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44</v>
      </c>
      <c r="B223" s="55">
        <v>230</v>
      </c>
      <c r="C223" s="55">
        <v>6</v>
      </c>
      <c r="D223" s="55">
        <v>43</v>
      </c>
      <c r="E223" s="63">
        <v>0.6</v>
      </c>
      <c r="F223" s="63">
        <v>0.3</v>
      </c>
      <c r="G223" s="63">
        <v>0</v>
      </c>
      <c r="H223" s="63">
        <v>0.1</v>
      </c>
      <c r="I223" s="53">
        <f t="shared" si="8"/>
        <v>11.142857142857142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52</v>
      </c>
      <c r="B224" s="55">
        <v>270</v>
      </c>
      <c r="C224" s="55">
        <v>7</v>
      </c>
      <c r="D224" s="55">
        <v>48</v>
      </c>
      <c r="E224" s="63">
        <v>0.6</v>
      </c>
      <c r="F224" s="63">
        <v>0.3</v>
      </c>
      <c r="G224" s="63">
        <v>0</v>
      </c>
      <c r="H224" s="63">
        <v>0.1</v>
      </c>
      <c r="I224" s="53">
        <f t="shared" si="8"/>
        <v>10.375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60</v>
      </c>
      <c r="B225" s="55">
        <v>297</v>
      </c>
      <c r="C225" s="55">
        <v>8</v>
      </c>
      <c r="D225" s="55">
        <v>47</v>
      </c>
      <c r="E225" s="63">
        <v>0.6</v>
      </c>
      <c r="F225" s="63">
        <v>0.3</v>
      </c>
      <c r="G225" s="63">
        <v>0</v>
      </c>
      <c r="H225" s="63">
        <v>0.1</v>
      </c>
      <c r="I225" s="53">
        <f t="shared" si="8"/>
        <v>9.375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69</v>
      </c>
      <c r="B226" s="55">
        <v>328</v>
      </c>
      <c r="C226" s="55">
        <v>9</v>
      </c>
      <c r="D226" s="55">
        <v>328</v>
      </c>
      <c r="E226" s="63">
        <v>0.6</v>
      </c>
      <c r="F226" s="63">
        <v>0.3</v>
      </c>
      <c r="G226" s="63">
        <v>0</v>
      </c>
      <c r="H226" s="63">
        <v>0.1</v>
      </c>
      <c r="I226" s="53">
        <f t="shared" si="8"/>
        <v>8.6666666666666661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Chêne pédonculé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38</v>
      </c>
      <c r="B244" s="60">
        <v>144.83000000000001</v>
      </c>
      <c r="C244" s="60">
        <v>1</v>
      </c>
      <c r="D244" s="60">
        <v>69.08</v>
      </c>
      <c r="E244" s="51">
        <v>0</v>
      </c>
      <c r="F244" s="51">
        <v>0</v>
      </c>
      <c r="G244" s="51">
        <v>0</v>
      </c>
      <c r="H244" s="63">
        <v>1</v>
      </c>
      <c r="I244" s="53">
        <f>IFERROR(B244/A244,"")</f>
        <v>3.8113157894736847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45</v>
      </c>
      <c r="B245" s="60">
        <v>138.46</v>
      </c>
      <c r="C245" s="60">
        <v>2</v>
      </c>
      <c r="D245" s="60">
        <v>39.119999999999997</v>
      </c>
      <c r="E245" s="63">
        <v>0.3</v>
      </c>
      <c r="F245" s="63">
        <v>0</v>
      </c>
      <c r="G245" s="63">
        <v>0</v>
      </c>
      <c r="H245" s="63">
        <v>0.7</v>
      </c>
      <c r="I245" s="53">
        <f>IF(A245&lt;&gt;0,(B245-(B244-D244))/(A245-A244),"")</f>
        <v>8.9585714285714282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52</v>
      </c>
      <c r="B246" s="60">
        <v>162.18</v>
      </c>
      <c r="C246" s="60">
        <v>3</v>
      </c>
      <c r="D246" s="60">
        <v>40.9</v>
      </c>
      <c r="E246" s="63">
        <v>0.3</v>
      </c>
      <c r="F246" s="63">
        <v>0</v>
      </c>
      <c r="G246" s="63">
        <v>0</v>
      </c>
      <c r="H246" s="63">
        <v>0.7</v>
      </c>
      <c r="I246" s="53">
        <f>IF(A246&lt;&gt;0,(B246-(B245-D245))/(A246-A245),"")</f>
        <v>8.9771428571428569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59</v>
      </c>
      <c r="B247" s="60">
        <v>182.58</v>
      </c>
      <c r="C247" s="60">
        <v>4</v>
      </c>
      <c r="D247" s="60">
        <v>38.119999999999997</v>
      </c>
      <c r="E247" s="63">
        <v>0.3</v>
      </c>
      <c r="F247" s="63">
        <v>0</v>
      </c>
      <c r="G247" s="63">
        <v>0</v>
      </c>
      <c r="H247" s="63">
        <v>0.7</v>
      </c>
      <c r="I247" s="53">
        <f t="shared" ref="I247:I263" si="9">IF(A247&lt;&gt;0,(B247-(B246-D246))/(A247-A246),"")</f>
        <v>8.757142857142858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67</v>
      </c>
      <c r="B248" s="60">
        <v>212.86</v>
      </c>
      <c r="C248" s="60">
        <v>5</v>
      </c>
      <c r="D248" s="60">
        <v>38.229999999999997</v>
      </c>
      <c r="E248" s="63">
        <v>0.6</v>
      </c>
      <c r="F248" s="63">
        <v>0</v>
      </c>
      <c r="G248" s="63">
        <v>0</v>
      </c>
      <c r="H248" s="63">
        <v>0.4</v>
      </c>
      <c r="I248" s="53">
        <f t="shared" si="9"/>
        <v>8.5500000000000007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75</v>
      </c>
      <c r="B249" s="60">
        <v>241.9</v>
      </c>
      <c r="C249" s="60">
        <v>6</v>
      </c>
      <c r="D249" s="60">
        <v>38.909999999999997</v>
      </c>
      <c r="E249" s="63">
        <v>0.6</v>
      </c>
      <c r="F249" s="63">
        <v>0</v>
      </c>
      <c r="G249" s="63">
        <v>0</v>
      </c>
      <c r="H249" s="63">
        <v>0.4</v>
      </c>
      <c r="I249" s="53">
        <f t="shared" si="9"/>
        <v>8.4087499999999977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83</v>
      </c>
      <c r="B250" s="60">
        <v>268.67</v>
      </c>
      <c r="C250" s="60">
        <v>7</v>
      </c>
      <c r="D250" s="60">
        <v>44.22</v>
      </c>
      <c r="E250" s="63">
        <v>0.6</v>
      </c>
      <c r="F250" s="63">
        <v>0</v>
      </c>
      <c r="G250" s="63">
        <v>0</v>
      </c>
      <c r="H250" s="63">
        <v>0.4</v>
      </c>
      <c r="I250" s="53">
        <f t="shared" si="9"/>
        <v>8.2100000000000009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93</v>
      </c>
      <c r="B251" s="55">
        <v>304.33</v>
      </c>
      <c r="C251" s="55">
        <v>8</v>
      </c>
      <c r="D251" s="55">
        <v>59.26</v>
      </c>
      <c r="E251" s="63">
        <v>0.6</v>
      </c>
      <c r="F251" s="63">
        <v>0</v>
      </c>
      <c r="G251" s="63">
        <v>0</v>
      </c>
      <c r="H251" s="63">
        <v>0.4</v>
      </c>
      <c r="I251" s="53">
        <f t="shared" si="9"/>
        <v>7.9879999999999969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103</v>
      </c>
      <c r="B252" s="55">
        <v>322.19</v>
      </c>
      <c r="C252" s="55">
        <v>9</v>
      </c>
      <c r="D252" s="55">
        <v>58.98</v>
      </c>
      <c r="E252" s="63">
        <v>0.6</v>
      </c>
      <c r="F252" s="63">
        <v>0</v>
      </c>
      <c r="G252" s="63">
        <v>0</v>
      </c>
      <c r="H252" s="63">
        <v>0.4</v>
      </c>
      <c r="I252" s="53">
        <f t="shared" si="9"/>
        <v>7.7120000000000006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113</v>
      </c>
      <c r="B253" s="55">
        <v>337.78</v>
      </c>
      <c r="C253" s="55">
        <v>10</v>
      </c>
      <c r="D253" s="55">
        <v>59.52</v>
      </c>
      <c r="E253" s="63">
        <v>0.6</v>
      </c>
      <c r="F253" s="63">
        <v>0</v>
      </c>
      <c r="G253" s="63">
        <v>0</v>
      </c>
      <c r="H253" s="63">
        <v>0.4</v>
      </c>
      <c r="I253" s="53">
        <f t="shared" si="9"/>
        <v>7.456999999999999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123</v>
      </c>
      <c r="B254" s="55">
        <v>352.18</v>
      </c>
      <c r="C254" s="55">
        <v>11</v>
      </c>
      <c r="D254" s="55">
        <v>175.3</v>
      </c>
      <c r="E254" s="63">
        <v>0.6</v>
      </c>
      <c r="F254" s="63">
        <v>0</v>
      </c>
      <c r="G254" s="63">
        <v>0</v>
      </c>
      <c r="H254" s="63">
        <v>0.4</v>
      </c>
      <c r="I254" s="53">
        <f t="shared" si="9"/>
        <v>7.3920000000000012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125</v>
      </c>
      <c r="B255" s="55">
        <v>185.05</v>
      </c>
      <c r="C255" s="55">
        <v>12</v>
      </c>
      <c r="D255" s="55">
        <v>60.7</v>
      </c>
      <c r="E255" s="63">
        <v>0.6</v>
      </c>
      <c r="F255" s="63">
        <v>0</v>
      </c>
      <c r="G255" s="63">
        <v>0</v>
      </c>
      <c r="H255" s="63">
        <v>0.4</v>
      </c>
      <c r="I255" s="53">
        <f t="shared" si="9"/>
        <v>4.085000000000008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127</v>
      </c>
      <c r="B256" s="55">
        <v>129.93</v>
      </c>
      <c r="C256" s="55">
        <v>13</v>
      </c>
      <c r="D256" s="55">
        <v>39.56</v>
      </c>
      <c r="E256" s="64">
        <v>0.6</v>
      </c>
      <c r="F256" s="64">
        <v>0</v>
      </c>
      <c r="G256" s="64">
        <v>0</v>
      </c>
      <c r="H256" s="64">
        <v>0.4</v>
      </c>
      <c r="I256" s="53">
        <f t="shared" si="9"/>
        <v>2.7899999999999991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>
        <v>130</v>
      </c>
      <c r="B257" s="60">
        <v>96.57</v>
      </c>
      <c r="C257" s="88">
        <v>14</v>
      </c>
      <c r="D257" s="60">
        <v>96.57</v>
      </c>
      <c r="E257" s="54">
        <v>0.6</v>
      </c>
      <c r="F257" s="54">
        <v>0</v>
      </c>
      <c r="G257" s="54">
        <v>0</v>
      </c>
      <c r="H257" s="54">
        <v>0.4</v>
      </c>
      <c r="I257" s="53">
        <f t="shared" si="9"/>
        <v>2.0666666666666629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5" sqref="C2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0.66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0.34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Chêne sessile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Chêne pubescent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Chêne tauzin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Charme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>Erable champêtre</v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>Alisier torminal</v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>Cormier</v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>Merisier</v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>Chêne pédonculé</v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3.3000000000000003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12.100000000000001</v>
      </c>
      <c r="H3" s="67">
        <f>(B3+E3+F3)*44/12+(C3+D3)*0.475*44/12</f>
        <v>208.26666666666665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196.16666666666666</v>
      </c>
      <c r="S3" s="59">
        <f ca="1">AVERAGE(OFFSET($R$3,0,0,'Données projet'!$E$9+1,1))-AVERAGE(OFFSET($H$3,0,0,'Données projet'!$E$9+1,1))</f>
        <v>612.09138396952153</v>
      </c>
      <c r="T3" s="59">
        <f>IF('Données projet'!E9&gt;30,$R$33-$H$33,LOOKUP('Données projet'!$E$9,$A$3:$A$203,R3:R203)-LOOKUP('Données projet'!$E$9,$A$3:$A$203,$H$3:$H$203))</f>
        <v>282.284310393542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196.16666666666666</v>
      </c>
      <c r="AN3" s="59">
        <f ca="1">AVERAGE(OFFSET($AM$3,0,0,'Données projet'!$E$10+1,1))-AVERAGE(OFFSET($H$3,0,0,'Données projet'!$E$10+1,1))</f>
        <v>676.7112666359476</v>
      </c>
      <c r="AO3" s="59">
        <f>IF('Données projet'!E10&gt;30,$AM$33-$H$33,LOOKUP('Données projet'!$E$10,$A$3:$A$203,AM3:AM203)-LOOKUP('Données projet'!$E$10,$A$3:$A$203,$H$3:$H$203))</f>
        <v>309.67876644201385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196.16666666666666</v>
      </c>
      <c r="BI3" s="59">
        <f ca="1">AVERAGE(OFFSET($BH$3,0,0,'Données projet'!$E$11+1,1))-AVERAGE(OFFSET($H$3,0,0,'Données projet'!$E$11+1,1))</f>
        <v>667.4887768032404</v>
      </c>
      <c r="BJ3" s="59">
        <f>IF('Données projet'!E11&gt;30,$BH$33-$H$33,LOOKUP('Données projet'!$E$11,$A$3:$A$203,BH3:BH203)-LOOKUP('Données projet'!$E$11,$A$3:$A$203,$H$3:$H$203))</f>
        <v>305.76944302827178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196.16666666666666</v>
      </c>
      <c r="CD3" s="59">
        <f ca="1">AVERAGE(OFFSET($CC$3,0,0,'Données projet'!$E$12+1,1))-AVERAGE(OFFSET($H$3,0,0,'Données projet'!$E$12+1,1))</f>
        <v>639.80378676828764</v>
      </c>
      <c r="CE3" s="59">
        <f>IF('Données projet'!E12&gt;30,$CC$33-$H$33,LOOKUP('Données projet'!$E$12,$A$3:$A$203,CC3:CC203)-LOOKUP('Données projet'!$E$12,$A$3:$A$203,$H$3:$H$203))</f>
        <v>294.03328334345281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196.16666666666666</v>
      </c>
      <c r="CY3" s="59">
        <f ca="1">AVERAGE(OFFSET($CX$3,0,0,'Données projet'!$E$13+1,1))-AVERAGE(OFFSET($H$3,0,0,'Données projet'!$E$13+1,1))</f>
        <v>340.64710509454375</v>
      </c>
      <c r="CZ3" s="59">
        <f>IF('Données projet'!E13&gt;30,$CX$33-$H$33,LOOKUP('Données projet'!$E$13,$A$3:$A$203,CX3:CX203)-LOOKUP('Données projet'!$E$13,$A$3:$A$203,$H$3:$H$203))</f>
        <v>329.6409514360613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196.16666666666666</v>
      </c>
      <c r="DT3" s="59">
        <f ca="1">AVERAGE(OFFSET($DS$3,0,0,'Données projet'!$E$14+1,1))-AVERAGE(OFFSET($H$3,0,0,'Données projet'!$E$14+1,1))</f>
        <v>649.03508893149228</v>
      </c>
      <c r="DU3" s="59">
        <f>IF('Données projet'!E14&gt;30,$DS$33-$H$33,LOOKUP('Données projet'!$E$14,$A$3:$A$203,DS3:DS203)-LOOKUP('Données projet'!$E$14,$A$3:$A$203,$H$3:$H$203))</f>
        <v>297.94672581383213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196.16666666666666</v>
      </c>
      <c r="EO3" s="59">
        <f ca="1">AVERAGE(OFFSET($EN$3,0,0,'Données projet'!$E$15+1,1))-AVERAGE(OFFSET($H$3,0,0,'Données projet'!$E$15+1,1))</f>
        <v>713.57333631602273</v>
      </c>
      <c r="EP3" s="59">
        <f>IF('Données projet'!E15&gt;30,$EN$33-$H$33,LOOKUP('Données projet'!$E$15,$A$3:$A$203,EN3:EN203)-LOOKUP('Données projet'!$E$15,$A$3:$A$203,$H$3:$H$203))</f>
        <v>325.30302392555359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196.16666666666666</v>
      </c>
      <c r="FJ3" s="59">
        <f ca="1">AVERAGE(OFFSET($FI$3,0,0,'Données projet'!$E$16+1,1))-AVERAGE(OFFSET($H$3,0,0,'Données projet'!$E$16+1,1))</f>
        <v>302.04287561738482</v>
      </c>
      <c r="FK3" s="59">
        <f>IF('Données projet'!E16&gt;30,$FI$33-$H$33,LOOKUP('Données projet'!$E$16,$A$3:$A$203,FI3:FI203)-LOOKUP('Données projet'!$E$16,$A$3:$A$203,$H$3:$H$203))</f>
        <v>296.09828774694802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196.16666666666666</v>
      </c>
      <c r="GE3" s="59">
        <f ca="1">AVERAGE(OFFSET($GD$3,0,0,'Données projet'!$E$17+1,1))-AVERAGE(OFFSET($H$3,0,0,'Données projet'!$E$17+1,1))</f>
        <v>385.41819366740276</v>
      </c>
      <c r="GF3" s="59">
        <f>IF('Données projet'!E17&gt;30,$GD$33-$H$33,LOOKUP('Données projet'!$E$17,$A$3:$A$203,GD3:GD203)-LOOKUP('Données projet'!$E$17,$A$3:$A$203,$H$3:$H$203))</f>
        <v>262.4625391252718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53.5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3.3000000000000003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12.100000000000001</v>
      </c>
      <c r="H4" s="67">
        <f t="shared" ref="H4:H67" si="1">(B4+E4+F4)*44/12+(C4+D4)*0.475*44/12</f>
        <v>208.26666666666665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3.887142857142857</v>
      </c>
      <c r="N4" s="13">
        <f>IF('Données projet'!$A$36&gt;35,N3+M4-V3,IF(A4&lt;'Données projet'!$A$36,$K$205^A4,IF(A4='Données projet'!$A$36,'Données projet'!$B$36,N3+M4-V3)))</f>
        <v>3.887142857142857</v>
      </c>
      <c r="O4" s="13">
        <f>N4*VLOOKUP('Données projet'!$B$9,Paramètres!$A$1:$I$89,3,0)*VLOOKUP('Données projet'!$B$9,Paramètres!$A$1:$I$89,5,0)</f>
        <v>3.5170868571428571</v>
      </c>
      <c r="P4" s="13">
        <f>EXP(-1.0587+0.8836*LN(O4)+0.284)</f>
        <v>1.400101260019349</v>
      </c>
      <c r="Q4" s="20">
        <f t="shared" ref="Q4:Q34" si="2">(O4+P4)*0.475*44/12</f>
        <v>8.5641026373908407</v>
      </c>
      <c r="R4" s="59">
        <f t="shared" si="0"/>
        <v>207.00253126854281</v>
      </c>
      <c r="S4" s="59">
        <f ca="1">AVERAGE(OFFSET($R$3,0,0,'Données projet'!$E$9+1,1))-AVERAGE(OFFSET($H$3,0,0,'Données projet'!$E$9+1,1))</f>
        <v>612.09138396952153</v>
      </c>
      <c r="T4" s="59">
        <f>$T$3</f>
        <v>282.284310393542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3.9415628571428569</v>
      </c>
      <c r="AK4" s="13">
        <f>EXP(-1.0587+0.8836*LN(AJ4)+0.284)</f>
        <v>1.5484055284644385</v>
      </c>
      <c r="AL4" s="20">
        <f t="shared" ref="AL4:AL67" si="4">(AJ4+AK4)*0.475*44/12</f>
        <v>9.5616949382660383</v>
      </c>
      <c r="AM4" s="59">
        <f t="shared" ref="AM4:AM67" si="5">AL4+(AD4+AE4)*44/12</f>
        <v>208.00012356941801</v>
      </c>
      <c r="AN4" s="59">
        <f ca="1">AVERAGE(OFFSET($AM$3,0,0,'Données projet'!$E$10+1,1))-AVERAGE(OFFSET($H$3,0,0,'Données projet'!$E$10+1,1))</f>
        <v>676.7112666359476</v>
      </c>
      <c r="AO4" s="59">
        <f>$AO$3</f>
        <v>309.67876644201385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3.8809234285714287</v>
      </c>
      <c r="BF4" s="13">
        <f>EXP(-1.0587+0.8836*LN(BE4)+0.284)</f>
        <v>1.5273377863801558</v>
      </c>
      <c r="BG4" s="20">
        <f t="shared" ref="BG4:BG67" si="7">(BE4+BF4)*0.475*44/12</f>
        <v>9.4193882827073434</v>
      </c>
      <c r="BH4" s="59">
        <f t="shared" ref="BH4:BH67" si="8">BG4+(AY4+AZ4)*44/12</f>
        <v>207.8578169138593</v>
      </c>
      <c r="BI4" s="59">
        <f ca="1">AVERAGE(OFFSET($BH$3,0,0,'Données projet'!$E$11+1,1))-AVERAGE(OFFSET($H$3,0,0,'Données projet'!$E$11+1,1))</f>
        <v>667.4887768032404</v>
      </c>
      <c r="BJ4" s="59">
        <f>$BJ$3</f>
        <v>305.76944302827178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3.6990051428571427</v>
      </c>
      <c r="CA4" s="13">
        <f>EXP(-1.0587+0.8836*LN(BZ4)+0.284)</f>
        <v>1.4639016946999945</v>
      </c>
      <c r="CB4" s="20">
        <f t="shared" ref="CB4:CB67" si="10">(BZ4+CA4)*0.475*44/12</f>
        <v>8.9920627420786783</v>
      </c>
      <c r="CC4" s="59">
        <f t="shared" ref="CC4:CC67" si="11">CB4+(BT4+BU4)*44/12</f>
        <v>207.43049137323064</v>
      </c>
      <c r="CD4" s="59">
        <f ca="1">AVERAGE(OFFSET($CC$3,0,0,'Données projet'!$E$12+1,1))-AVERAGE(OFFSET($H$3,0,0,'Données projet'!$E$12+1,1))</f>
        <v>639.80378676828764</v>
      </c>
      <c r="CE4" s="59">
        <f>$CE$3</f>
        <v>294.03328334345281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2.4666666666666668</v>
      </c>
      <c r="CT4" s="12">
        <f>IF('Données projet'!$A$140&gt;35,CT3+CS4-DB3,IF(A4&lt;'Données projet'!$A$140,$CQ$205^A4,IF(A4='Données projet'!$A$140,'Données projet'!$B$140,CT3+CS4-DB3)))</f>
        <v>1.2721747796233518</v>
      </c>
      <c r="CU4" s="17">
        <f>CT4*VLOOKUP('Données projet'!$B$13,Paramètres!$A$1:$I$89,3,0)*VLOOKUP('Données projet'!$B$13,Paramètres!$A$1:$I$89,5,0)</f>
        <v>1.1113718874789602</v>
      </c>
      <c r="CV4" s="13">
        <f>EXP(-1.0587+0.8836*LN(CU4)+0.284)</f>
        <v>0.5059102014681881</v>
      </c>
      <c r="CW4" s="20">
        <f t="shared" ref="CW4:CW67" si="13">(CU4+CV4)*0.475*44/12</f>
        <v>2.8167663049162832</v>
      </c>
      <c r="CX4" s="59">
        <f t="shared" ref="CX4:CX67" si="14">CW4+(CO4+CP4)*44/12</f>
        <v>201.25519493606825</v>
      </c>
      <c r="CY4" s="59">
        <f ca="1">AVERAGE(OFFSET($CX$3,0,0,'Données projet'!$E$13+1,1))-AVERAGE(OFFSET($H$3,0,0,'Données projet'!$E$13+1,1))</f>
        <v>340.64710509454375</v>
      </c>
      <c r="CZ4" s="59">
        <f>$CZ$3</f>
        <v>329.6409514360613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3.887142857142857</v>
      </c>
      <c r="DO4" s="12">
        <f>IF('Données projet'!$A$166&gt;35,DO3+DN4-DW3,IF(A4&lt;'Données projet'!$A$166,$DL$205^A4,IF(A4='Données projet'!$A$166,'Données projet'!$B$166,DO3+DN4-DW3)))</f>
        <v>3.887142857142857</v>
      </c>
      <c r="DP4" s="17">
        <f>DO4*VLOOKUP('Données projet'!$B$14,Paramètres!$A$1:$I$89,3,0)*VLOOKUP('Données projet'!$B$14,Paramètres!$A$1:$I$89,5,0)</f>
        <v>3.7596445714285713</v>
      </c>
      <c r="DQ4" s="13">
        <f>EXP(-1.0587+0.8836*LN(DP4)+0.284)</f>
        <v>1.4850865614549704</v>
      </c>
      <c r="DR4" s="20">
        <f t="shared" ref="DR4:DR67" si="16">(DP4+DQ4)*0.475*44/12</f>
        <v>9.1345733897721697</v>
      </c>
      <c r="DS4" s="59">
        <f t="shared" ref="DS4:DS67" si="17">DR4+(DJ4+DK4)*44/12</f>
        <v>207.57300202092412</v>
      </c>
      <c r="DT4" s="59">
        <f ca="1">AVERAGE(OFFSET($DS$3,0,0,'Données projet'!$E$14+1,1))-AVERAGE(OFFSET($H$3,0,0,'Données projet'!$E$14+1,1))</f>
        <v>649.03508893149228</v>
      </c>
      <c r="DU4" s="59">
        <f>$DU$3</f>
        <v>297.94672581383213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3.887142857142857</v>
      </c>
      <c r="EJ4" s="12">
        <f>IF('Données projet'!$A$192&gt;35,EJ3+EI4-ER3,IF(A4&lt;'Données projet'!$A$192,$EG$205^A4,IF(A4='Données projet'!$A$192,'Données projet'!$B$192,EJ3+EI4-ER3)))</f>
        <v>3.887142857142857</v>
      </c>
      <c r="EK4" s="17">
        <f>EJ4*VLOOKUP('Données projet'!$B$15,Paramètres!$A$1:$I$89,3,0)*VLOOKUP('Données projet'!$B$15,Paramètres!$A$1:$I$89,5,0)</f>
        <v>4.1841205714285712</v>
      </c>
      <c r="EL4" s="13">
        <f>EXP(-1.0587+0.8836*LN(EK4)+0.284)</f>
        <v>1.6323058154975432</v>
      </c>
      <c r="EM4" s="20">
        <f t="shared" ref="EM4:EM67" si="19">(EK4+EL4)*0.475*44/12</f>
        <v>10.130275957229648</v>
      </c>
      <c r="EN4" s="59">
        <f t="shared" ref="EN4:EN67" si="20">EM4+(EE4+EF4)*44/12</f>
        <v>208.56870458838162</v>
      </c>
      <c r="EO4" s="59">
        <f ca="1">AVERAGE(OFFSET($EN$3,0,0,'Données projet'!$E$15+1,1))-AVERAGE(OFFSET($H$3,0,0,'Données projet'!$E$15+1,1))</f>
        <v>713.57333631602273</v>
      </c>
      <c r="EP4" s="59">
        <f>$EP$3</f>
        <v>325.30302392555359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2.6666666666666665</v>
      </c>
      <c r="FE4" s="12">
        <f>IF('Données projet'!$A$218&gt;35,FE3+FD4-FM3,IF(A4&lt;'Données projet'!$A$218,$FB$205^A4,IF(A4='Données projet'!$A$218,'Données projet'!$B$218,FE3+FD4-FM3)))</f>
        <v>1.2788040393997409</v>
      </c>
      <c r="FF4" s="17">
        <f>FE4*VLOOKUP('Données projet'!$B$16,Paramètres!$A$1:$I$89,3,0)*VLOOKUP('Données projet'!$B$16,Paramètres!$A$1:$I$89,5,0)</f>
        <v>0.99746715073179792</v>
      </c>
      <c r="FG4" s="13">
        <f>EXP(-1.0587+0.8836*LN(FF4)+0.284)</f>
        <v>0.45981048445793882</v>
      </c>
      <c r="FH4" s="20">
        <f t="shared" ref="FH4:FH67" si="22">(FF4+FG4)*0.475*44/12</f>
        <v>2.5380918812887914</v>
      </c>
      <c r="FI4" s="59">
        <f t="shared" ref="FI4:FI67" si="23">FH4+(EZ4+FA4)*44/12</f>
        <v>200.97652051244074</v>
      </c>
      <c r="FJ4" s="59">
        <f ca="1">AVERAGE(OFFSET($FI$3,0,0,'Données projet'!$E$16+1,1))-AVERAGE(OFFSET($H$3,0,0,'Données projet'!$E$16+1,1))</f>
        <v>302.04287561738482</v>
      </c>
      <c r="FK4" s="59">
        <f>$FK$3</f>
        <v>296.09828774694802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3.8113157894736847</v>
      </c>
      <c r="FZ4" s="12">
        <f>IF('Données projet'!$A$244&gt;35,FZ3+FY4-GH3,IF(A4&lt;'Données projet'!$A$244,$FW$205^A4,IF(A4='Données projet'!$A$244,'Données projet'!$B$244,FZ3+FY4-GH3)))</f>
        <v>3.8113157894736847</v>
      </c>
      <c r="GA4" s="17">
        <f>FZ4*VLOOKUP('Données projet'!$B$17,Paramètres!$A$1:$I$89,3,0)*VLOOKUP('Données projet'!$B$17,Paramètres!$A$1:$I$89,5,0)</f>
        <v>3.2106524210526319</v>
      </c>
      <c r="GB4" s="13">
        <f>EXP(-1.0587+0.8836*LN(GA4)+0.284)</f>
        <v>1.2917482977000276</v>
      </c>
      <c r="GC4" s="20">
        <f t="shared" ref="GC4:GC67" si="25">(GA4+GB4)*0.475*44/12</f>
        <v>7.8416812518275494</v>
      </c>
      <c r="GD4" s="59">
        <f t="shared" ref="GD4:GD67" si="26">GC4+(FU4+FV4)*44/12</f>
        <v>206.2801098829795</v>
      </c>
      <c r="GE4" s="59">
        <f ca="1">AVERAGE(OFFSET($GD$3,0,0,'Données projet'!$E$17+1,1))-AVERAGE(OFFSET($H$3,0,0,'Données projet'!$E$17+1,1))</f>
        <v>385.41819366740276</v>
      </c>
      <c r="GF4" s="59">
        <f>$GF$3</f>
        <v>262.4625391252718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53.786238111526288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3.3000000000000003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12.100000000000001</v>
      </c>
      <c r="H5" s="67">
        <f t="shared" si="1"/>
        <v>208.26666666666665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3.887142857142857</v>
      </c>
      <c r="N5" s="13">
        <f>IF('Données projet'!$A$36&gt;35,N4+M5-V4,IF(A5&lt;'Données projet'!$A$36,$K$205^A5,IF(A5='Données projet'!$A$36,'Données projet'!$B$36,N4+M5-V4)))</f>
        <v>7.774285714285714</v>
      </c>
      <c r="O5" s="13">
        <f>N5*VLOOKUP('Données projet'!$B$9,Paramètres!$A$1:$I$89,3,0)*VLOOKUP('Données projet'!$B$9,Paramètres!$A$1:$I$89,5,0)</f>
        <v>7.0341737142857141</v>
      </c>
      <c r="P5" s="13">
        <f t="shared" ref="P5:P68" si="33">EXP(-1.0587+0.8836*LN(O5)+0.284)</f>
        <v>2.5831495528484112</v>
      </c>
      <c r="Q5" s="20">
        <f t="shared" si="2"/>
        <v>16.750171356925268</v>
      </c>
      <c r="R5" s="59">
        <f t="shared" si="0"/>
        <v>217.44215478445363</v>
      </c>
      <c r="S5" s="59">
        <f ca="1">AVERAGE(OFFSET($R$3,0,0,'Données projet'!$E$9+1,1))-AVERAGE(OFFSET($H$3,0,0,'Données projet'!$E$9+1,1))</f>
        <v>612.09138396952153</v>
      </c>
      <c r="T5" s="59">
        <f t="shared" ref="T5:T68" si="34">$T$3</f>
        <v>282.284310393542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7.8831257142857138</v>
      </c>
      <c r="AK5" s="13">
        <f t="shared" ref="AK5:AK68" si="35">EXP(-1.0587+0.8836*LN(AJ5)+0.284)</f>
        <v>2.8567669801437421</v>
      </c>
      <c r="AL5" s="20">
        <f t="shared" si="4"/>
        <v>18.705313109464633</v>
      </c>
      <c r="AM5" s="59">
        <f t="shared" si="5"/>
        <v>219.397296536993</v>
      </c>
      <c r="AN5" s="59">
        <f ca="1">AVERAGE(OFFSET($AM$3,0,0,'Données projet'!$E$10+1,1))-AVERAGE(OFFSET($H$3,0,0,'Données projet'!$E$10+1,1))</f>
        <v>676.7112666359476</v>
      </c>
      <c r="AO5" s="59">
        <f t="shared" ref="AO5:AO68" si="36">$AO$3</f>
        <v>309.67876644201385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7.7618468571428574</v>
      </c>
      <c r="BF5" s="13">
        <f t="shared" ref="BF5:BF68" si="37">EXP(-1.0587+0.8836*LN(BE5)+0.284)</f>
        <v>2.8178975568394669</v>
      </c>
      <c r="BG5" s="20">
        <f t="shared" si="7"/>
        <v>18.42638818768588</v>
      </c>
      <c r="BH5" s="59">
        <f t="shared" si="8"/>
        <v>219.11837161521424</v>
      </c>
      <c r="BI5" s="59">
        <f ca="1">AVERAGE(OFFSET($BH$3,0,0,'Données projet'!$E$11+1,1))-AVERAGE(OFFSET($H$3,0,0,'Données projet'!$E$11+1,1))</f>
        <v>667.4887768032404</v>
      </c>
      <c r="BJ5" s="59">
        <f t="shared" ref="BJ5:BJ68" si="38">$BJ$3</f>
        <v>305.76944302827178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7.3980102857142853</v>
      </c>
      <c r="CA5" s="13">
        <f t="shared" ref="CA5:CA68" si="39">EXP(-1.0587+0.8836*LN(BZ5)+0.284)</f>
        <v>2.7008596564123262</v>
      </c>
      <c r="CB5" s="20">
        <f t="shared" si="10"/>
        <v>17.588865149203851</v>
      </c>
      <c r="CC5" s="59">
        <f t="shared" si="11"/>
        <v>218.28084857673221</v>
      </c>
      <c r="CD5" s="59">
        <f ca="1">AVERAGE(OFFSET($CC$3,0,0,'Données projet'!$E$12+1,1))-AVERAGE(OFFSET($H$3,0,0,'Données projet'!$E$12+1,1))</f>
        <v>639.80378676828764</v>
      </c>
      <c r="CE5" s="59">
        <f t="shared" ref="CE5:CE68" si="40">$CE$3</f>
        <v>294.03328334345281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2.4666666666666668</v>
      </c>
      <c r="CT5" s="12">
        <f>IF('Données projet'!$A$140&gt;35,CT4+CS5-DB4,IF(A5&lt;'Données projet'!$A$140,$CQ$205^A5,IF(A5='Données projet'!$A$140,'Données projet'!$B$140,CT4+CS5-DB4)))</f>
        <v>1.6184286699097237</v>
      </c>
      <c r="CU5" s="17">
        <f>CT5*VLOOKUP('Données projet'!$B$13,Paramètres!$A$1:$I$89,3,0)*VLOOKUP('Données projet'!$B$13,Paramètres!$A$1:$I$89,5,0)</f>
        <v>1.4138592860331347</v>
      </c>
      <c r="CV5" s="13">
        <f t="shared" ref="CV5:CV68" si="41">EXP(-1.0587+0.8836*LN(CU5)+0.284)</f>
        <v>0.62582221171965613</v>
      </c>
      <c r="CW5" s="20">
        <f t="shared" si="13"/>
        <v>3.5524452752527771</v>
      </c>
      <c r="CX5" s="59">
        <f t="shared" si="14"/>
        <v>204.24442870278114</v>
      </c>
      <c r="CY5" s="59">
        <f ca="1">AVERAGE(OFFSET($CX$3,0,0,'Données projet'!$E$13+1,1))-AVERAGE(OFFSET($H$3,0,0,'Données projet'!$E$13+1,1))</f>
        <v>340.64710509454375</v>
      </c>
      <c r="CZ5" s="59">
        <f t="shared" ref="CZ5:CZ68" si="42">$CZ$3</f>
        <v>329.6409514360613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3.887142857142857</v>
      </c>
      <c r="DO5" s="12">
        <f>IF('Données projet'!$A$166&gt;35,DO4+DN5-DW4,IF(A5&lt;'Données projet'!$A$166,$DL$205^A5,IF(A5='Données projet'!$A$166,'Données projet'!$B$166,DO4+DN5-DW4)))</f>
        <v>7.774285714285714</v>
      </c>
      <c r="DP5" s="17">
        <f>DO5*VLOOKUP('Données projet'!$B$14,Paramètres!$A$1:$I$89,3,0)*VLOOKUP('Données projet'!$B$14,Paramètres!$A$1:$I$89,5,0)</f>
        <v>7.5192891428571427</v>
      </c>
      <c r="DQ5" s="13">
        <f t="shared" ref="DQ5:DQ68" si="43">EXP(-1.0587+0.8836*LN(DP5)+0.284)</f>
        <v>2.7399451716160708</v>
      </c>
      <c r="DR5" s="20">
        <f t="shared" si="16"/>
        <v>17.868166431040844</v>
      </c>
      <c r="DS5" s="59">
        <f t="shared" si="17"/>
        <v>218.56014985856919</v>
      </c>
      <c r="DT5" s="59">
        <f ca="1">AVERAGE(OFFSET($DS$3,0,0,'Données projet'!$E$14+1,1))-AVERAGE(OFFSET($H$3,0,0,'Données projet'!$E$14+1,1))</f>
        <v>649.03508893149228</v>
      </c>
      <c r="DU5" s="59">
        <f t="shared" ref="DU5:DU68" si="44">$DU$3</f>
        <v>297.94672581383213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3.887142857142857</v>
      </c>
      <c r="EJ5" s="12">
        <f>IF('Données projet'!$A$192&gt;35,EJ4+EI5-ER4,IF(A5&lt;'Données projet'!$A$192,$EG$205^A5,IF(A5='Données projet'!$A$192,'Données projet'!$B$192,EJ4+EI5-ER4)))</f>
        <v>7.774285714285714</v>
      </c>
      <c r="EK5" s="17">
        <f>EJ5*VLOOKUP('Données projet'!$B$15,Paramètres!$A$1:$I$89,3,0)*VLOOKUP('Données projet'!$B$15,Paramètres!$A$1:$I$89,5,0)</f>
        <v>8.3682411428571424</v>
      </c>
      <c r="EL5" s="13">
        <f t="shared" ref="EL5:EL68" si="45">EXP(-1.0587+0.8836*LN(EK5)+0.284)</f>
        <v>3.0115607762227636</v>
      </c>
      <c r="EM5" s="20">
        <f t="shared" si="19"/>
        <v>19.819821675730836</v>
      </c>
      <c r="EN5" s="59">
        <f t="shared" si="20"/>
        <v>220.51180510325918</v>
      </c>
      <c r="EO5" s="59">
        <f ca="1">AVERAGE(OFFSET($EN$3,0,0,'Données projet'!$E$15+1,1))-AVERAGE(OFFSET($H$3,0,0,'Données projet'!$E$15+1,1))</f>
        <v>713.57333631602273</v>
      </c>
      <c r="EP5" s="59">
        <f t="shared" ref="EP5:EP68" si="46">$EP$3</f>
        <v>325.30302392555359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2.6666666666666665</v>
      </c>
      <c r="FE5" s="12">
        <f>IF('Données projet'!$A$218&gt;35,FE4+FD5-FM4,IF(A5&lt;'Données projet'!$A$218,$FB$205^A5,IF(A5='Données projet'!$A$218,'Données projet'!$B$218,FE4+FD5-FM4)))</f>
        <v>1.6353397711850939</v>
      </c>
      <c r="FF5" s="17">
        <f>FE5*VLOOKUP('Données projet'!$B$16,Paramètres!$A$1:$I$89,3,0)*VLOOKUP('Données projet'!$B$16,Paramètres!$A$1:$I$89,5,0)</f>
        <v>1.2755650215243732</v>
      </c>
      <c r="FG5" s="13">
        <f t="shared" ref="FG5:FG68" si="47">EXP(-1.0587+0.8836*LN(FF5)+0.284)</f>
        <v>0.57141400910743001</v>
      </c>
      <c r="FH5" s="20">
        <f t="shared" si="22"/>
        <v>3.2168218116837237</v>
      </c>
      <c r="FI5" s="59">
        <f t="shared" si="23"/>
        <v>203.90880523921209</v>
      </c>
      <c r="FJ5" s="59">
        <f ca="1">AVERAGE(OFFSET($FI$3,0,0,'Données projet'!$E$16+1,1))-AVERAGE(OFFSET($H$3,0,0,'Données projet'!$E$16+1,1))</f>
        <v>302.04287561738482</v>
      </c>
      <c r="FK5" s="59">
        <f t="shared" ref="FK5:FK68" si="48">$FK$3</f>
        <v>296.09828774694802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3.8113157894736847</v>
      </c>
      <c r="FZ5" s="12">
        <f>IF('Données projet'!$A$244&gt;35,FZ4+FY5-GH4,IF(A5&lt;'Données projet'!$A$244,$FW$205^A5,IF(A5='Données projet'!$A$244,'Données projet'!$B$244,FZ4+FY5-GH4)))</f>
        <v>7.6226315789473693</v>
      </c>
      <c r="GA5" s="17">
        <f>FZ5*VLOOKUP('Données projet'!$B$17,Paramètres!$A$1:$I$89,3,0)*VLOOKUP('Données projet'!$B$17,Paramètres!$A$1:$I$89,5,0)</f>
        <v>6.4213048421052639</v>
      </c>
      <c r="GB5" s="13">
        <f t="shared" ref="GB5:GB68" si="49">EXP(-1.0587+0.8836*LN(GA5)+0.284)</f>
        <v>2.3832412218173489</v>
      </c>
      <c r="GC5" s="20">
        <f t="shared" si="25"/>
        <v>15.334584394665216</v>
      </c>
      <c r="GD5" s="59">
        <f t="shared" si="26"/>
        <v>216.02656782219358</v>
      </c>
      <c r="GE5" s="59">
        <f ca="1">AVERAGE(OFFSET($GD$3,0,0,'Données projet'!$E$17+1,1))-AVERAGE(OFFSET($H$3,0,0,'Données projet'!$E$17+1,1))</f>
        <v>385.41819366740276</v>
      </c>
      <c r="GF5" s="59">
        <f t="shared" ref="GF5:GF68" si="50">$GF$3</f>
        <v>262.4625391252718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54.067510631750153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3.3000000000000003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12.100000000000001</v>
      </c>
      <c r="H6" s="67">
        <f t="shared" si="1"/>
        <v>208.26666666666665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3.887142857142857</v>
      </c>
      <c r="N6" s="13">
        <f>IF('Données projet'!$A$36&gt;35,N5+M6-V5,IF(A6&lt;'Données projet'!$A$36,$K$205^A6,IF(A6='Données projet'!$A$36,'Données projet'!$B$36,N5+M6-V5)))</f>
        <v>11.661428571428571</v>
      </c>
      <c r="O6" s="13">
        <f>N6*VLOOKUP('Données projet'!$B$9,Paramètres!$A$1:$I$89,3,0)*VLOOKUP('Données projet'!$B$9,Paramètres!$A$1:$I$89,5,0)</f>
        <v>10.551260571428571</v>
      </c>
      <c r="P6" s="13">
        <f t="shared" si="33"/>
        <v>3.6961006326523931</v>
      </c>
      <c r="Q6" s="20">
        <f t="shared" si="2"/>
        <v>24.814154097107675</v>
      </c>
      <c r="R6" s="59">
        <f t="shared" si="0"/>
        <v>227.74180100656503</v>
      </c>
      <c r="S6" s="59">
        <f ca="1">AVERAGE(OFFSET($R$3,0,0,'Données projet'!$E$9+1,1))-AVERAGE(OFFSET($H$3,0,0,'Données projet'!$E$9+1,1))</f>
        <v>612.09138396952153</v>
      </c>
      <c r="T6" s="59">
        <f t="shared" si="34"/>
        <v>282.284310393542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11.824688571428572</v>
      </c>
      <c r="AK6" s="13">
        <f t="shared" si="35"/>
        <v>4.0876062444803347</v>
      </c>
      <c r="AL6" s="20">
        <f t="shared" si="4"/>
        <v>27.713913471041348</v>
      </c>
      <c r="AM6" s="59">
        <f t="shared" si="5"/>
        <v>230.6415603804987</v>
      </c>
      <c r="AN6" s="59">
        <f ca="1">AVERAGE(OFFSET($AM$3,0,0,'Données projet'!$E$10+1,1))-AVERAGE(OFFSET($H$3,0,0,'Données projet'!$E$10+1,1))</f>
        <v>676.7112666359476</v>
      </c>
      <c r="AO6" s="59">
        <f t="shared" si="36"/>
        <v>309.67876644201385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11.642770285714287</v>
      </c>
      <c r="BF6" s="13">
        <f t="shared" si="37"/>
        <v>4.0319899136692348</v>
      </c>
      <c r="BG6" s="20">
        <f t="shared" si="7"/>
        <v>27.300207347259629</v>
      </c>
      <c r="BH6" s="59">
        <f t="shared" si="8"/>
        <v>230.22785425671699</v>
      </c>
      <c r="BI6" s="59">
        <f ca="1">AVERAGE(OFFSET($BH$3,0,0,'Données projet'!$E$11+1,1))-AVERAGE(OFFSET($H$3,0,0,'Données projet'!$E$11+1,1))</f>
        <v>667.4887768032404</v>
      </c>
      <c r="BJ6" s="59">
        <f t="shared" si="38"/>
        <v>305.76944302827178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11.097015428571428</v>
      </c>
      <c r="CA6" s="13">
        <f t="shared" si="39"/>
        <v>3.8645261842324077</v>
      </c>
      <c r="CB6" s="20">
        <f t="shared" si="10"/>
        <v>26.05801830896668</v>
      </c>
      <c r="CC6" s="59">
        <f t="shared" si="11"/>
        <v>228.98566521842406</v>
      </c>
      <c r="CD6" s="59">
        <f ca="1">AVERAGE(OFFSET($CC$3,0,0,'Données projet'!$E$12+1,1))-AVERAGE(OFFSET($H$3,0,0,'Données projet'!$E$12+1,1))</f>
        <v>639.80378676828764</v>
      </c>
      <c r="CE6" s="59">
        <f t="shared" si="40"/>
        <v>294.03328334345281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2.4666666666666668</v>
      </c>
      <c r="CT6" s="12">
        <f>IF('Données projet'!$A$140&gt;35,CT5+CS6-DB5,IF(A6&lt;'Données projet'!$A$140,$CQ$205^A6,IF(A6='Données projet'!$A$140,'Données projet'!$B$140,CT5+CS6-DB5)))</f>
        <v>2.0589241364785171</v>
      </c>
      <c r="CU6" s="17">
        <f>CT6*VLOOKUP('Données projet'!$B$13,Paramètres!$A$1:$I$89,3,0)*VLOOKUP('Données projet'!$B$13,Paramètres!$A$1:$I$89,5,0)</f>
        <v>1.7986761256276329</v>
      </c>
      <c r="CV6" s="13">
        <f t="shared" si="41"/>
        <v>0.77415604497611523</v>
      </c>
      <c r="CW6" s="20">
        <f t="shared" si="13"/>
        <v>4.4810160304681945</v>
      </c>
      <c r="CX6" s="59">
        <f t="shared" si="14"/>
        <v>207.40866293992556</v>
      </c>
      <c r="CY6" s="59">
        <f ca="1">AVERAGE(OFFSET($CX$3,0,0,'Données projet'!$E$13+1,1))-AVERAGE(OFFSET($H$3,0,0,'Données projet'!$E$13+1,1))</f>
        <v>340.64710509454375</v>
      </c>
      <c r="CZ6" s="59">
        <f t="shared" si="42"/>
        <v>329.6409514360613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3.887142857142857</v>
      </c>
      <c r="DO6" s="12">
        <f>IF('Données projet'!$A$166&gt;35,DO5+DN6-DW5,IF(A6&lt;'Données projet'!$A$166,$DL$205^A6,IF(A6='Données projet'!$A$166,'Données projet'!$B$166,DO5+DN6-DW5)))</f>
        <v>11.661428571428571</v>
      </c>
      <c r="DP6" s="17">
        <f>DO6*VLOOKUP('Données projet'!$B$14,Paramètres!$A$1:$I$89,3,0)*VLOOKUP('Données projet'!$B$14,Paramètres!$A$1:$I$89,5,0)</f>
        <v>11.278933714285714</v>
      </c>
      <c r="DQ6" s="13">
        <f t="shared" si="43"/>
        <v>3.9204517102294627</v>
      </c>
      <c r="DR6" s="20">
        <f t="shared" si="16"/>
        <v>26.472262947697264</v>
      </c>
      <c r="DS6" s="59">
        <f t="shared" si="17"/>
        <v>229.39990985715463</v>
      </c>
      <c r="DT6" s="59">
        <f ca="1">AVERAGE(OFFSET($DS$3,0,0,'Données projet'!$E$14+1,1))-AVERAGE(OFFSET($H$3,0,0,'Données projet'!$E$14+1,1))</f>
        <v>649.03508893149228</v>
      </c>
      <c r="DU6" s="59">
        <f t="shared" si="44"/>
        <v>297.94672581383213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3.887142857142857</v>
      </c>
      <c r="EJ6" s="12">
        <f>IF('Données projet'!$A$192&gt;35,EJ5+EI6-ER5,IF(A6&lt;'Données projet'!$A$192,$EG$205^A6,IF(A6='Données projet'!$A$192,'Données projet'!$B$192,EJ5+EI6-ER5)))</f>
        <v>11.661428571428571</v>
      </c>
      <c r="EK6" s="17">
        <f>EJ6*VLOOKUP('Données projet'!$B$15,Paramètres!$A$1:$I$89,3,0)*VLOOKUP('Données projet'!$B$15,Paramètres!$A$1:$I$89,5,0)</f>
        <v>12.552361714285714</v>
      </c>
      <c r="EL6" s="13">
        <f t="shared" si="45"/>
        <v>4.3090930132148255</v>
      </c>
      <c r="EM6" s="20">
        <f t="shared" si="19"/>
        <v>29.367033650396774</v>
      </c>
      <c r="EN6" s="59">
        <f t="shared" si="20"/>
        <v>232.29468055985413</v>
      </c>
      <c r="EO6" s="59">
        <f ca="1">AVERAGE(OFFSET($EN$3,0,0,'Données projet'!$E$15+1,1))-AVERAGE(OFFSET($H$3,0,0,'Données projet'!$E$15+1,1))</f>
        <v>713.57333631602273</v>
      </c>
      <c r="EP6" s="59">
        <f t="shared" si="46"/>
        <v>325.30302392555359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2.6666666666666665</v>
      </c>
      <c r="FE6" s="12">
        <f>IF('Données projet'!$A$218&gt;35,FE5+FD6-FM5,IF(A6&lt;'Données projet'!$A$218,$FB$205^A6,IF(A6='Données projet'!$A$218,'Données projet'!$B$218,FE5+FD6-FM5)))</f>
        <v>2.0912791051825459</v>
      </c>
      <c r="FF6" s="17">
        <f>FE6*VLOOKUP('Données projet'!$B$16,Paramètres!$A$1:$I$89,3,0)*VLOOKUP('Données projet'!$B$16,Paramètres!$A$1:$I$89,5,0)</f>
        <v>1.6311977020423858</v>
      </c>
      <c r="FG6" s="13">
        <f t="shared" si="47"/>
        <v>0.71010553443370616</v>
      </c>
      <c r="FH6" s="20">
        <f t="shared" si="22"/>
        <v>4.0777698035291934</v>
      </c>
      <c r="FI6" s="59">
        <f t="shared" si="23"/>
        <v>207.00541671298657</v>
      </c>
      <c r="FJ6" s="59">
        <f ca="1">AVERAGE(OFFSET($FI$3,0,0,'Données projet'!$E$16+1,1))-AVERAGE(OFFSET($H$3,0,0,'Données projet'!$E$16+1,1))</f>
        <v>302.04287561738482</v>
      </c>
      <c r="FK6" s="59">
        <f t="shared" si="48"/>
        <v>296.09828774694802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3.8113157894736847</v>
      </c>
      <c r="FZ6" s="12">
        <f>IF('Données projet'!$A$244&gt;35,FZ5+FY6-GH5,IF(A6&lt;'Données projet'!$A$244,$FW$205^A6,IF(A6='Données projet'!$A$244,'Données projet'!$B$244,FZ5+FY6-GH5)))</f>
        <v>11.433947368421054</v>
      </c>
      <c r="GA6" s="17">
        <f>FZ6*VLOOKUP('Données projet'!$B$17,Paramètres!$A$1:$I$89,3,0)*VLOOKUP('Données projet'!$B$17,Paramètres!$A$1:$I$89,5,0)</f>
        <v>9.6319572631578971</v>
      </c>
      <c r="GB6" s="13">
        <f t="shared" si="49"/>
        <v>3.410061712458385</v>
      </c>
      <c r="GC6" s="20">
        <f t="shared" si="25"/>
        <v>22.714849715865025</v>
      </c>
      <c r="GD6" s="59">
        <f t="shared" si="26"/>
        <v>225.64249662532239</v>
      </c>
      <c r="GE6" s="59">
        <f ca="1">AVERAGE(OFFSET($GD$3,0,0,'Données projet'!$E$17+1,1))-AVERAGE(OFFSET($H$3,0,0,'Données projet'!$E$17+1,1))</f>
        <v>385.41819366740276</v>
      </c>
      <c r="GF6" s="59">
        <f t="shared" si="50"/>
        <v>262.4625391252718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54.343903702579283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3.3000000000000003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12.100000000000001</v>
      </c>
      <c r="H7" s="67">
        <f t="shared" si="1"/>
        <v>208.26666666666665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3.887142857142857</v>
      </c>
      <c r="N7" s="13">
        <f>IF('Données projet'!$A$36&gt;35,N6+M7-V6,IF(A7&lt;'Données projet'!$A$36,$K$205^A7,IF(A7='Données projet'!$A$36,'Données projet'!$B$36,N6+M7-V6)))</f>
        <v>15.548571428571428</v>
      </c>
      <c r="O7" s="13">
        <f>N7*VLOOKUP('Données projet'!$B$9,Paramètres!$A$1:$I$89,3,0)*VLOOKUP('Données projet'!$B$9,Paramètres!$A$1:$I$89,5,0)</f>
        <v>14.068347428571428</v>
      </c>
      <c r="P7" s="13">
        <f t="shared" si="33"/>
        <v>4.7658421593654818</v>
      </c>
      <c r="Q7" s="20">
        <f t="shared" si="2"/>
        <v>32.802880198990124</v>
      </c>
      <c r="R7" s="59">
        <f t="shared" si="0"/>
        <v>237.9486096502358</v>
      </c>
      <c r="S7" s="59">
        <f ca="1">AVERAGE(OFFSET($R$3,0,0,'Données projet'!$E$9+1,1))-AVERAGE(OFFSET($H$3,0,0,'Données projet'!$E$9+1,1))</f>
        <v>612.09138396952153</v>
      </c>
      <c r="T7" s="59">
        <f t="shared" si="34"/>
        <v>282.284310393542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15.766251428571428</v>
      </c>
      <c r="AK7" s="13">
        <f t="shared" si="35"/>
        <v>5.2706590287965538</v>
      </c>
      <c r="AL7" s="20">
        <f t="shared" si="4"/>
        <v>36.63928571324923</v>
      </c>
      <c r="AM7" s="59">
        <f t="shared" si="5"/>
        <v>241.78501516449489</v>
      </c>
      <c r="AN7" s="59">
        <f ca="1">AVERAGE(OFFSET($AM$3,0,0,'Données projet'!$E$10+1,1))-AVERAGE(OFFSET($H$3,0,0,'Données projet'!$E$10+1,1))</f>
        <v>676.7112666359476</v>
      </c>
      <c r="AO7" s="59">
        <f t="shared" si="36"/>
        <v>309.67876644201385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15.523693714285715</v>
      </c>
      <c r="BF7" s="13">
        <f t="shared" si="37"/>
        <v>5.1989459775373001</v>
      </c>
      <c r="BG7" s="20">
        <f t="shared" si="7"/>
        <v>36.091930796591754</v>
      </c>
      <c r="BH7" s="59">
        <f t="shared" si="8"/>
        <v>241.23766024783743</v>
      </c>
      <c r="BI7" s="59">
        <f ca="1">AVERAGE(OFFSET($BH$3,0,0,'Données projet'!$E$11+1,1))-AVERAGE(OFFSET($H$3,0,0,'Données projet'!$E$11+1,1))</f>
        <v>667.4887768032404</v>
      </c>
      <c r="BJ7" s="59">
        <f t="shared" si="38"/>
        <v>305.76944302827178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14.796020571428571</v>
      </c>
      <c r="CA7" s="13">
        <f t="shared" si="39"/>
        <v>4.9830141668977559</v>
      </c>
      <c r="CB7" s="20">
        <f t="shared" si="10"/>
        <v>34.448485502585022</v>
      </c>
      <c r="CC7" s="59">
        <f t="shared" si="11"/>
        <v>239.59421495383069</v>
      </c>
      <c r="CD7" s="59">
        <f ca="1">AVERAGE(OFFSET($CC$3,0,0,'Données projet'!$E$12+1,1))-AVERAGE(OFFSET($H$3,0,0,'Données projet'!$E$12+1,1))</f>
        <v>639.80378676828764</v>
      </c>
      <c r="CE7" s="59">
        <f t="shared" si="40"/>
        <v>294.03328334345281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2.4666666666666668</v>
      </c>
      <c r="CT7" s="12">
        <f>IF('Données projet'!$A$140&gt;35,CT6+CS7-DB6,IF(A7&lt;'Données projet'!$A$140,$CQ$205^A7,IF(A7='Données projet'!$A$140,'Données projet'!$B$140,CT6+CS7-DB6)))</f>
        <v>2.6193113595857573</v>
      </c>
      <c r="CU7" s="17">
        <f>CT7*VLOOKUP('Données projet'!$B$13,Paramètres!$A$1:$I$89,3,0)*VLOOKUP('Données projet'!$B$13,Paramètres!$A$1:$I$89,5,0)</f>
        <v>2.2882304037341177</v>
      </c>
      <c r="CV7" s="13">
        <f t="shared" si="41"/>
        <v>0.95764830769786036</v>
      </c>
      <c r="CW7" s="20">
        <f t="shared" si="13"/>
        <v>5.6532387557440282</v>
      </c>
      <c r="CX7" s="59">
        <f t="shared" si="14"/>
        <v>210.79896820698971</v>
      </c>
      <c r="CY7" s="59">
        <f ca="1">AVERAGE(OFFSET($CX$3,0,0,'Données projet'!$E$13+1,1))-AVERAGE(OFFSET($H$3,0,0,'Données projet'!$E$13+1,1))</f>
        <v>340.64710509454375</v>
      </c>
      <c r="CZ7" s="59">
        <f t="shared" si="42"/>
        <v>329.6409514360613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3.887142857142857</v>
      </c>
      <c r="DO7" s="12">
        <f>IF('Données projet'!$A$166&gt;35,DO6+DN7-DW6,IF(A7&lt;'Données projet'!$A$166,$DL$205^A7,IF(A7='Données projet'!$A$166,'Données projet'!$B$166,DO6+DN7-DW6)))</f>
        <v>15.548571428571428</v>
      </c>
      <c r="DP7" s="17">
        <f>DO7*VLOOKUP('Données projet'!$B$14,Paramètres!$A$1:$I$89,3,0)*VLOOKUP('Données projet'!$B$14,Paramètres!$A$1:$I$89,5,0)</f>
        <v>15.038578285714285</v>
      </c>
      <c r="DQ7" s="13">
        <f t="shared" si="43"/>
        <v>5.0551259019589807</v>
      </c>
      <c r="DR7" s="20">
        <f t="shared" si="16"/>
        <v>34.996534793530941</v>
      </c>
      <c r="DS7" s="59">
        <f t="shared" si="17"/>
        <v>240.14226424477661</v>
      </c>
      <c r="DT7" s="59">
        <f ca="1">AVERAGE(OFFSET($DS$3,0,0,'Données projet'!$E$14+1,1))-AVERAGE(OFFSET($H$3,0,0,'Données projet'!$E$14+1,1))</f>
        <v>649.03508893149228</v>
      </c>
      <c r="DU7" s="59">
        <f t="shared" si="44"/>
        <v>297.94672581383213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3.887142857142857</v>
      </c>
      <c r="EJ7" s="12">
        <f>IF('Données projet'!$A$192&gt;35,EJ6+EI7-ER6,IF(A7&lt;'Données projet'!$A$192,$EG$205^A7,IF(A7='Données projet'!$A$192,'Données projet'!$B$192,EJ6+EI7-ER6)))</f>
        <v>15.548571428571428</v>
      </c>
      <c r="EK7" s="17">
        <f>EJ7*VLOOKUP('Données projet'!$B$15,Paramètres!$A$1:$I$89,3,0)*VLOOKUP('Données projet'!$B$15,Paramètres!$A$1:$I$89,5,0)</f>
        <v>16.736482285714285</v>
      </c>
      <c r="EL7" s="13">
        <f t="shared" si="45"/>
        <v>5.55624946181974</v>
      </c>
      <c r="EM7" s="20">
        <f t="shared" si="19"/>
        <v>38.826507793621758</v>
      </c>
      <c r="EN7" s="59">
        <f t="shared" si="20"/>
        <v>243.97223724486742</v>
      </c>
      <c r="EO7" s="59">
        <f ca="1">AVERAGE(OFFSET($EN$3,0,0,'Données projet'!$E$15+1,1))-AVERAGE(OFFSET($H$3,0,0,'Données projet'!$E$15+1,1))</f>
        <v>713.57333631602273</v>
      </c>
      <c r="EP7" s="59">
        <f t="shared" si="46"/>
        <v>325.30302392555359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2.6666666666666665</v>
      </c>
      <c r="FE7" s="12">
        <f>IF('Données projet'!$A$218&gt;35,FE6+FD7-FM6,IF(A7&lt;'Données projet'!$A$218,$FB$205^A7,IF(A7='Données projet'!$A$218,'Données projet'!$B$218,FE6+FD7-FM6)))</f>
        <v>2.6743361672197152</v>
      </c>
      <c r="FF7" s="17">
        <f>FE7*VLOOKUP('Données projet'!$B$16,Paramètres!$A$1:$I$89,3,0)*VLOOKUP('Données projet'!$B$16,Paramètres!$A$1:$I$89,5,0)</f>
        <v>2.0859822104313781</v>
      </c>
      <c r="FG7" s="13">
        <f t="shared" si="47"/>
        <v>0.88245976121767966</v>
      </c>
      <c r="FH7" s="20">
        <f t="shared" si="22"/>
        <v>5.1700364339554419</v>
      </c>
      <c r="FI7" s="59">
        <f t="shared" si="23"/>
        <v>210.3157658852011</v>
      </c>
      <c r="FJ7" s="59">
        <f ca="1">AVERAGE(OFFSET($FI$3,0,0,'Données projet'!$E$16+1,1))-AVERAGE(OFFSET($H$3,0,0,'Données projet'!$E$16+1,1))</f>
        <v>302.04287561738482</v>
      </c>
      <c r="FK7" s="59">
        <f t="shared" si="48"/>
        <v>296.09828774694802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3.8113157894736847</v>
      </c>
      <c r="FZ7" s="12">
        <f>IF('Données projet'!$A$244&gt;35,FZ6+FY7-GH6,IF(A7&lt;'Données projet'!$A$244,$FW$205^A7,IF(A7='Données projet'!$A$244,'Données projet'!$B$244,FZ6+FY7-GH6)))</f>
        <v>15.245263157894739</v>
      </c>
      <c r="GA7" s="17">
        <f>FZ7*VLOOKUP('Données projet'!$B$17,Paramètres!$A$1:$I$89,3,0)*VLOOKUP('Données projet'!$B$17,Paramètres!$A$1:$I$89,5,0)</f>
        <v>12.842609684210528</v>
      </c>
      <c r="GB7" s="13">
        <f t="shared" si="49"/>
        <v>4.397016610343103</v>
      </c>
      <c r="GC7" s="20">
        <f t="shared" si="25"/>
        <v>30.025682463014238</v>
      </c>
      <c r="GD7" s="59">
        <f t="shared" si="26"/>
        <v>235.17141191425992</v>
      </c>
      <c r="GE7" s="59">
        <f ca="1">AVERAGE(OFFSET($GD$3,0,0,'Données projet'!$E$17+1,1))-AVERAGE(OFFSET($H$3,0,0,'Données projet'!$E$17+1,1))</f>
        <v>385.41819366740276</v>
      </c>
      <c r="GF7" s="59">
        <f t="shared" si="50"/>
        <v>262.4625391252718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54.615501971551851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3.3000000000000003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12.100000000000001</v>
      </c>
      <c r="H8" s="67">
        <f t="shared" si="1"/>
        <v>208.26666666666665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3.887142857142857</v>
      </c>
      <c r="N8" s="13">
        <f>IF('Données projet'!$A$36&gt;35,N7+M8-V7,IF(A8&lt;'Données projet'!$A$36,$K$205^A8,IF(A8='Données projet'!$A$36,'Données projet'!$B$36,N7+M8-V7)))</f>
        <v>19.435714285714283</v>
      </c>
      <c r="O8" s="13">
        <f>N8*VLOOKUP('Données projet'!$B$9,Paramètres!$A$1:$I$89,3,0)*VLOOKUP('Données projet'!$B$9,Paramètres!$A$1:$I$89,5,0)</f>
        <v>17.585434285714282</v>
      </c>
      <c r="P8" s="13">
        <f t="shared" si="33"/>
        <v>5.804560501905633</v>
      </c>
      <c r="Q8" s="20">
        <f t="shared" si="2"/>
        <v>40.737574255104683</v>
      </c>
      <c r="R8" s="59">
        <f t="shared" si="0"/>
        <v>248.08411029800439</v>
      </c>
      <c r="S8" s="59">
        <f ca="1">AVERAGE(OFFSET($R$3,0,0,'Données projet'!$E$9+1,1))-AVERAGE(OFFSET($H$3,0,0,'Données projet'!$E$9+1,1))</f>
        <v>612.09138396952153</v>
      </c>
      <c r="T8" s="59">
        <f t="shared" si="34"/>
        <v>282.284310393542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19.707814285714285</v>
      </c>
      <c r="AK8" s="13">
        <f t="shared" si="35"/>
        <v>6.4194025304518281</v>
      </c>
      <c r="AL8" s="20">
        <f t="shared" si="4"/>
        <v>45.504902621489315</v>
      </c>
      <c r="AM8" s="59">
        <f t="shared" si="5"/>
        <v>252.85143866438904</v>
      </c>
      <c r="AN8" s="59">
        <f ca="1">AVERAGE(OFFSET($AM$3,0,0,'Données projet'!$E$10+1,1))-AVERAGE(OFFSET($H$3,0,0,'Données projet'!$E$10+1,1))</f>
        <v>676.7112666359476</v>
      </c>
      <c r="AO8" s="59">
        <f t="shared" si="36"/>
        <v>309.67876644201385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19.404617142857141</v>
      </c>
      <c r="BF8" s="13">
        <f t="shared" si="37"/>
        <v>6.332059573868051</v>
      </c>
      <c r="BG8" s="20">
        <f t="shared" si="7"/>
        <v>44.824711948296368</v>
      </c>
      <c r="BH8" s="59">
        <f t="shared" si="8"/>
        <v>252.17124799119608</v>
      </c>
      <c r="BI8" s="59">
        <f ca="1">AVERAGE(OFFSET($BH$3,0,0,'Données projet'!$E$11+1,1))-AVERAGE(OFFSET($H$3,0,0,'Données projet'!$E$11+1,1))</f>
        <v>667.4887768032404</v>
      </c>
      <c r="BJ8" s="59">
        <f t="shared" si="38"/>
        <v>305.76944302827178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18.495025714285713</v>
      </c>
      <c r="CA8" s="13">
        <f t="shared" si="39"/>
        <v>6.0690652871856443</v>
      </c>
      <c r="CB8" s="20">
        <f t="shared" si="10"/>
        <v>42.782458494229274</v>
      </c>
      <c r="CC8" s="59">
        <f t="shared" si="11"/>
        <v>250.12899453712899</v>
      </c>
      <c r="CD8" s="59">
        <f ca="1">AVERAGE(OFFSET($CC$3,0,0,'Données projet'!$E$12+1,1))-AVERAGE(OFFSET($H$3,0,0,'Données projet'!$E$12+1,1))</f>
        <v>639.80378676828764</v>
      </c>
      <c r="CE8" s="59">
        <f t="shared" si="40"/>
        <v>294.03328334345281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2.4666666666666668</v>
      </c>
      <c r="CT8" s="12">
        <f>IF('Données projet'!$A$140&gt;35,CT7+CS8-DB7,IF(A8&lt;'Données projet'!$A$140,$CQ$205^A8,IF(A8='Données projet'!$A$140,'Données projet'!$B$140,CT7+CS8-DB7)))</f>
        <v>3.332221851645953</v>
      </c>
      <c r="CU8" s="17">
        <f>CT8*VLOOKUP('Données projet'!$B$13,Paramètres!$A$1:$I$89,3,0)*VLOOKUP('Données projet'!$B$13,Paramètres!$A$1:$I$89,5,0)</f>
        <v>2.9110290095979048</v>
      </c>
      <c r="CV8" s="13">
        <f t="shared" si="41"/>
        <v>1.1846323324451606</v>
      </c>
      <c r="CW8" s="20">
        <f t="shared" si="13"/>
        <v>7.133276837391672</v>
      </c>
      <c r="CX8" s="59">
        <f t="shared" si="14"/>
        <v>214.47981288029138</v>
      </c>
      <c r="CY8" s="59">
        <f ca="1">AVERAGE(OFFSET($CX$3,0,0,'Données projet'!$E$13+1,1))-AVERAGE(OFFSET($H$3,0,0,'Données projet'!$E$13+1,1))</f>
        <v>340.64710509454375</v>
      </c>
      <c r="CZ8" s="59">
        <f t="shared" si="42"/>
        <v>329.6409514360613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3.887142857142857</v>
      </c>
      <c r="DO8" s="12">
        <f>IF('Données projet'!$A$166&gt;35,DO7+DN8-DW7,IF(A8&lt;'Données projet'!$A$166,$DL$205^A8,IF(A8='Données projet'!$A$166,'Données projet'!$B$166,DO7+DN8-DW7)))</f>
        <v>19.435714285714283</v>
      </c>
      <c r="DP8" s="17">
        <f>DO8*VLOOKUP('Données projet'!$B$14,Paramètres!$A$1:$I$89,3,0)*VLOOKUP('Données projet'!$B$14,Paramètres!$A$1:$I$89,5,0)</f>
        <v>18.798222857142854</v>
      </c>
      <c r="DQ8" s="13">
        <f t="shared" si="43"/>
        <v>6.1568938209606667</v>
      </c>
      <c r="DR8" s="20">
        <f t="shared" si="16"/>
        <v>43.4634948810303</v>
      </c>
      <c r="DS8" s="59">
        <f t="shared" si="17"/>
        <v>250.81003092393001</v>
      </c>
      <c r="DT8" s="59">
        <f ca="1">AVERAGE(OFFSET($DS$3,0,0,'Données projet'!$E$14+1,1))-AVERAGE(OFFSET($H$3,0,0,'Données projet'!$E$14+1,1))</f>
        <v>649.03508893149228</v>
      </c>
      <c r="DU8" s="59">
        <f t="shared" si="44"/>
        <v>297.94672581383213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3.887142857142857</v>
      </c>
      <c r="EJ8" s="12">
        <f>IF('Données projet'!$A$192&gt;35,EJ7+EI8-ER7,IF(A8&lt;'Données projet'!$A$192,$EG$205^A8,IF(A8='Données projet'!$A$192,'Données projet'!$B$192,EJ7+EI8-ER7)))</f>
        <v>19.435714285714283</v>
      </c>
      <c r="EK8" s="17">
        <f>EJ8*VLOOKUP('Données projet'!$B$15,Paramètres!$A$1:$I$89,3,0)*VLOOKUP('Données projet'!$B$15,Paramètres!$A$1:$I$89,5,0)</f>
        <v>20.920602857142853</v>
      </c>
      <c r="EL8" s="13">
        <f t="shared" si="45"/>
        <v>6.767237580756813</v>
      </c>
      <c r="EM8" s="20">
        <f t="shared" si="19"/>
        <v>48.22298876267525</v>
      </c>
      <c r="EN8" s="59">
        <f t="shared" si="20"/>
        <v>255.56952480557496</v>
      </c>
      <c r="EO8" s="59">
        <f ca="1">AVERAGE(OFFSET($EN$3,0,0,'Données projet'!$E$15+1,1))-AVERAGE(OFFSET($H$3,0,0,'Données projet'!$E$15+1,1))</f>
        <v>713.57333631602273</v>
      </c>
      <c r="EP8" s="59">
        <f t="shared" si="46"/>
        <v>325.30302392555359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2.6666666666666665</v>
      </c>
      <c r="FE8" s="12">
        <f>IF('Données projet'!$A$218&gt;35,FE7+FD8-FM7,IF(A8&lt;'Données projet'!$A$218,$FB$205^A8,IF(A8='Données projet'!$A$218,'Données projet'!$B$218,FE7+FD8-FM7)))</f>
        <v>3.4199518933533928</v>
      </c>
      <c r="FF8" s="17">
        <f>FE8*VLOOKUP('Données projet'!$B$16,Paramètres!$A$1:$I$89,3,0)*VLOOKUP('Données projet'!$B$16,Paramètres!$A$1:$I$89,5,0)</f>
        <v>2.6675624768156463</v>
      </c>
      <c r="FG8" s="13">
        <f t="shared" si="47"/>
        <v>1.0966471776471767</v>
      </c>
      <c r="FH8" s="20">
        <f t="shared" si="22"/>
        <v>6.5559984815227494</v>
      </c>
      <c r="FI8" s="59">
        <f t="shared" si="23"/>
        <v>213.90253452442246</v>
      </c>
      <c r="FJ8" s="59">
        <f ca="1">AVERAGE(OFFSET($FI$3,0,0,'Données projet'!$E$16+1,1))-AVERAGE(OFFSET($H$3,0,0,'Données projet'!$E$16+1,1))</f>
        <v>302.04287561738482</v>
      </c>
      <c r="FK8" s="59">
        <f t="shared" si="48"/>
        <v>296.09828774694802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3.8113157894736847</v>
      </c>
      <c r="FZ8" s="12">
        <f>IF('Données projet'!$A$244&gt;35,FZ7+FY8-GH7,IF(A8&lt;'Données projet'!$A$244,$FW$205^A8,IF(A8='Données projet'!$A$244,'Données projet'!$B$244,FZ7+FY8-GH7)))</f>
        <v>19.056578947368422</v>
      </c>
      <c r="GA8" s="17">
        <f>FZ8*VLOOKUP('Données projet'!$B$17,Paramètres!$A$1:$I$89,3,0)*VLOOKUP('Données projet'!$B$17,Paramètres!$A$1:$I$89,5,0)</f>
        <v>16.053262105263162</v>
      </c>
      <c r="GB8" s="13">
        <f t="shared" si="49"/>
        <v>5.3553491889078098</v>
      </c>
      <c r="GC8" s="20">
        <f t="shared" si="25"/>
        <v>37.286664670681112</v>
      </c>
      <c r="GD8" s="59">
        <f t="shared" si="26"/>
        <v>244.63320071358083</v>
      </c>
      <c r="GE8" s="59">
        <f ca="1">AVERAGE(OFFSET($GD$3,0,0,'Données projet'!$E$17+1,1))-AVERAGE(OFFSET($H$3,0,0,'Données projet'!$E$17+1,1))</f>
        <v>385.41819366740276</v>
      </c>
      <c r="GF8" s="59">
        <f t="shared" si="50"/>
        <v>262.4625391252718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54.882388617760526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3.3000000000000003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12.100000000000001</v>
      </c>
      <c r="H9" s="67">
        <f t="shared" si="1"/>
        <v>208.26666666666665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3.887142857142857</v>
      </c>
      <c r="N9" s="13">
        <f>IF('Données projet'!$A$36&gt;35,N8+M9-V8,IF(A9&lt;'Données projet'!$A$36,$K$205^A9,IF(A9='Données projet'!$A$36,'Données projet'!$B$36,N8+M9-V8)))</f>
        <v>23.322857142857139</v>
      </c>
      <c r="O9" s="13">
        <f>N9*VLOOKUP('Données projet'!$B$9,Paramètres!$A$1:$I$89,3,0)*VLOOKUP('Données projet'!$B$9,Paramètres!$A$1:$I$89,5,0)</f>
        <v>21.102521142857139</v>
      </c>
      <c r="P9" s="13">
        <f t="shared" si="33"/>
        <v>6.8192072738987575</v>
      </c>
      <c r="Q9" s="20">
        <f t="shared" si="2"/>
        <v>48.630343659183183</v>
      </c>
      <c r="R9" s="59">
        <f t="shared" si="0"/>
        <v>258.16071004271407</v>
      </c>
      <c r="S9" s="59">
        <f ca="1">AVERAGE(OFFSET($R$3,0,0,'Données projet'!$E$9+1,1))-AVERAGE(OFFSET($H$3,0,0,'Données projet'!$E$9+1,1))</f>
        <v>612.09138396952153</v>
      </c>
      <c r="T9" s="59">
        <f t="shared" si="34"/>
        <v>282.284310393542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23.649377142857141</v>
      </c>
      <c r="AK9" s="13">
        <f t="shared" si="35"/>
        <v>7.5415247055086745</v>
      </c>
      <c r="AL9" s="20">
        <f t="shared" si="4"/>
        <v>54.324154052570456</v>
      </c>
      <c r="AM9" s="59">
        <f t="shared" si="5"/>
        <v>263.85452043610138</v>
      </c>
      <c r="AN9" s="59">
        <f ca="1">AVERAGE(OFFSET($AM$3,0,0,'Données projet'!$E$10+1,1))-AVERAGE(OFFSET($H$3,0,0,'Données projet'!$E$10+1,1))</f>
        <v>676.7112666359476</v>
      </c>
      <c r="AO9" s="59">
        <f t="shared" si="36"/>
        <v>309.67876644201385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23.285540571428569</v>
      </c>
      <c r="BF9" s="13">
        <f t="shared" si="37"/>
        <v>7.4389140557162605</v>
      </c>
      <c r="BG9" s="20">
        <f t="shared" si="7"/>
        <v>53.511758475610577</v>
      </c>
      <c r="BH9" s="59">
        <f t="shared" si="8"/>
        <v>263.0421248591415</v>
      </c>
      <c r="BI9" s="59">
        <f ca="1">AVERAGE(OFFSET($BH$3,0,0,'Données projet'!$E$11+1,1))-AVERAGE(OFFSET($H$3,0,0,'Données projet'!$E$11+1,1))</f>
        <v>667.4887768032404</v>
      </c>
      <c r="BJ9" s="59">
        <f t="shared" si="38"/>
        <v>305.76944302827178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22.194030857142852</v>
      </c>
      <c r="CA9" s="13">
        <f t="shared" si="39"/>
        <v>7.1299479329323407</v>
      </c>
      <c r="CB9" s="20">
        <f t="shared" si="10"/>
        <v>51.072596392714296</v>
      </c>
      <c r="CC9" s="59">
        <f t="shared" si="11"/>
        <v>260.60296277624519</v>
      </c>
      <c r="CD9" s="59">
        <f ca="1">AVERAGE(OFFSET($CC$3,0,0,'Données projet'!$E$12+1,1))-AVERAGE(OFFSET($H$3,0,0,'Données projet'!$E$12+1,1))</f>
        <v>639.80378676828764</v>
      </c>
      <c r="CE9" s="59">
        <f t="shared" si="40"/>
        <v>294.03328334345281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2.4666666666666668</v>
      </c>
      <c r="CT9" s="12">
        <f>IF('Données projet'!$A$140&gt;35,CT8+CS9-DB8,IF(A9&lt;'Données projet'!$A$140,$CQ$205^A9,IF(A9='Données projet'!$A$140,'Données projet'!$B$140,CT8+CS9-DB8)))</f>
        <v>4.2391685997738069</v>
      </c>
      <c r="CU9" s="17">
        <f>CT9*VLOOKUP('Données projet'!$B$13,Paramètres!$A$1:$I$89,3,0)*VLOOKUP('Données projet'!$B$13,Paramètres!$A$1:$I$89,5,0)</f>
        <v>3.7033376887623981</v>
      </c>
      <c r="CV9" s="13">
        <f t="shared" si="41"/>
        <v>1.4654166376047331</v>
      </c>
      <c r="CW9" s="20">
        <f t="shared" si="13"/>
        <v>9.002247118422753</v>
      </c>
      <c r="CX9" s="59">
        <f t="shared" si="14"/>
        <v>218.53261350195368</v>
      </c>
      <c r="CY9" s="59">
        <f ca="1">AVERAGE(OFFSET($CX$3,0,0,'Données projet'!$E$13+1,1))-AVERAGE(OFFSET($H$3,0,0,'Données projet'!$E$13+1,1))</f>
        <v>340.64710509454375</v>
      </c>
      <c r="CZ9" s="59">
        <f t="shared" si="42"/>
        <v>329.6409514360613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3.887142857142857</v>
      </c>
      <c r="DO9" s="12">
        <f>IF('Données projet'!$A$166&gt;35,DO8+DN9-DW8,IF(A9&lt;'Données projet'!$A$166,$DL$205^A9,IF(A9='Données projet'!$A$166,'Données projet'!$B$166,DO8+DN9-DW8)))</f>
        <v>23.322857142857139</v>
      </c>
      <c r="DP9" s="17">
        <f>DO9*VLOOKUP('Données projet'!$B$14,Paramètres!$A$1:$I$89,3,0)*VLOOKUP('Données projet'!$B$14,Paramètres!$A$1:$I$89,5,0)</f>
        <v>22.557867428571427</v>
      </c>
      <c r="DQ9" s="13">
        <f t="shared" si="43"/>
        <v>7.2331290396118018</v>
      </c>
      <c r="DR9" s="20">
        <f t="shared" si="16"/>
        <v>51.885985515419122</v>
      </c>
      <c r="DS9" s="59">
        <f t="shared" si="17"/>
        <v>261.41635189895004</v>
      </c>
      <c r="DT9" s="59">
        <f ca="1">AVERAGE(OFFSET($DS$3,0,0,'Données projet'!$E$14+1,1))-AVERAGE(OFFSET($H$3,0,0,'Données projet'!$E$14+1,1))</f>
        <v>649.03508893149228</v>
      </c>
      <c r="DU9" s="59">
        <f t="shared" si="44"/>
        <v>297.94672581383213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3.887142857142857</v>
      </c>
      <c r="EJ9" s="12">
        <f>IF('Données projet'!$A$192&gt;35,EJ8+EI9-ER8,IF(A9&lt;'Données projet'!$A$192,$EG$205^A9,IF(A9='Données projet'!$A$192,'Données projet'!$B$192,EJ8+EI9-ER8)))</f>
        <v>23.322857142857139</v>
      </c>
      <c r="EK9" s="17">
        <f>EJ9*VLOOKUP('Données projet'!$B$15,Paramètres!$A$1:$I$89,3,0)*VLOOKUP('Données projet'!$B$15,Paramètres!$A$1:$I$89,5,0)</f>
        <v>25.104723428571422</v>
      </c>
      <c r="EL9" s="13">
        <f t="shared" si="45"/>
        <v>7.9501618976574999</v>
      </c>
      <c r="EM9" s="20">
        <f t="shared" si="19"/>
        <v>57.570591943182031</v>
      </c>
      <c r="EN9" s="59">
        <f t="shared" si="20"/>
        <v>267.10095832671294</v>
      </c>
      <c r="EO9" s="59">
        <f ca="1">AVERAGE(OFFSET($EN$3,0,0,'Données projet'!$E$15+1,1))-AVERAGE(OFFSET($H$3,0,0,'Données projet'!$E$15+1,1))</f>
        <v>713.57333631602273</v>
      </c>
      <c r="EP9" s="59">
        <f t="shared" si="46"/>
        <v>325.30302392555359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2.6666666666666665</v>
      </c>
      <c r="FE9" s="12">
        <f>IF('Données projet'!$A$218&gt;35,FE8+FD9-FM8,IF(A9&lt;'Données projet'!$A$218,$FB$205^A9,IF(A9='Données projet'!$A$218,'Données projet'!$B$218,FE8+FD9-FM8)))</f>
        <v>4.3734482957731098</v>
      </c>
      <c r="FF9" s="17">
        <f>FE9*VLOOKUP('Données projet'!$B$16,Paramètres!$A$1:$I$89,3,0)*VLOOKUP('Données projet'!$B$16,Paramètres!$A$1:$I$89,5,0)</f>
        <v>3.4112896707030256</v>
      </c>
      <c r="FG9" s="13">
        <f t="shared" si="47"/>
        <v>1.3628213830192535</v>
      </c>
      <c r="FH9" s="20">
        <f t="shared" si="22"/>
        <v>8.3149100852329703</v>
      </c>
      <c r="FI9" s="59">
        <f t="shared" si="23"/>
        <v>217.8452764687639</v>
      </c>
      <c r="FJ9" s="59">
        <f ca="1">AVERAGE(OFFSET($FI$3,0,0,'Données projet'!$E$16+1,1))-AVERAGE(OFFSET($H$3,0,0,'Données projet'!$E$16+1,1))</f>
        <v>302.04287561738482</v>
      </c>
      <c r="FK9" s="59">
        <f t="shared" si="48"/>
        <v>296.09828774694802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3.8113157894736847</v>
      </c>
      <c r="FZ9" s="12">
        <f>IF('Données projet'!$A$244&gt;35,FZ8+FY9-GH8,IF(A9&lt;'Données projet'!$A$244,$FW$205^A9,IF(A9='Données projet'!$A$244,'Données projet'!$B$244,FZ8+FY9-GH8)))</f>
        <v>22.867894736842107</v>
      </c>
      <c r="GA9" s="17">
        <f>FZ9*VLOOKUP('Données projet'!$B$17,Paramètres!$A$1:$I$89,3,0)*VLOOKUP('Données projet'!$B$17,Paramètres!$A$1:$I$89,5,0)</f>
        <v>19.263914526315794</v>
      </c>
      <c r="GB9" s="13">
        <f t="shared" si="49"/>
        <v>6.2914730807403405</v>
      </c>
      <c r="GC9" s="20">
        <f t="shared" si="25"/>
        <v>44.508966748956091</v>
      </c>
      <c r="GD9" s="59">
        <f t="shared" si="26"/>
        <v>254.039333132487</v>
      </c>
      <c r="GE9" s="59">
        <f ca="1">AVERAGE(OFFSET($GD$3,0,0,'Données projet'!$E$17+1,1))-AVERAGE(OFFSET($H$3,0,0,'Données projet'!$E$17+1,1))</f>
        <v>385.41819366740276</v>
      </c>
      <c r="GF9" s="59">
        <f t="shared" si="50"/>
        <v>262.4625391252718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55.144645377326619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3.3000000000000003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12.100000000000001</v>
      </c>
      <c r="H10" s="67">
        <f t="shared" si="1"/>
        <v>208.26666666666665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3.887142857142857</v>
      </c>
      <c r="N10" s="13">
        <f>IF('Données projet'!$A$36&gt;35,N9+M10-V9,IF(A10&lt;'Données projet'!$A$36,$K$205^A10,IF(A10='Données projet'!$A$36,'Données projet'!$B$36,N9+M10-V9)))</f>
        <v>27.209999999999994</v>
      </c>
      <c r="O10" s="13">
        <f>N10*VLOOKUP('Données projet'!$B$9,Paramètres!$A$1:$I$89,3,0)*VLOOKUP('Données projet'!$B$9,Paramètres!$A$1:$I$89,5,0)</f>
        <v>24.619607999999992</v>
      </c>
      <c r="P10" s="13">
        <f t="shared" si="33"/>
        <v>7.8142639118614152</v>
      </c>
      <c r="Q10" s="20">
        <f t="shared" si="2"/>
        <v>56.488993579825284</v>
      </c>
      <c r="R10" s="59">
        <f t="shared" si="0"/>
        <v>268.18650855296676</v>
      </c>
      <c r="S10" s="59">
        <f ca="1">AVERAGE(OFFSET($R$3,0,0,'Données projet'!$E$9+1,1))-AVERAGE(OFFSET($H$3,0,0,'Données projet'!$E$9+1,1))</f>
        <v>612.09138396952153</v>
      </c>
      <c r="T10" s="59">
        <f t="shared" si="34"/>
        <v>282.284310393542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27.590939999999993</v>
      </c>
      <c r="AK10" s="13">
        <f t="shared" si="35"/>
        <v>8.6419816819814557</v>
      </c>
      <c r="AL10" s="20">
        <f t="shared" si="4"/>
        <v>63.105671929451027</v>
      </c>
      <c r="AM10" s="59">
        <f t="shared" si="5"/>
        <v>274.80318690259247</v>
      </c>
      <c r="AN10" s="59">
        <f ca="1">AVERAGE(OFFSET($AM$3,0,0,'Données projet'!$E$10+1,1))-AVERAGE(OFFSET($H$3,0,0,'Données projet'!$E$10+1,1))</f>
        <v>676.7112666359476</v>
      </c>
      <c r="AO10" s="59">
        <f t="shared" si="36"/>
        <v>309.67876644201385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27.166463999999998</v>
      </c>
      <c r="BF10" s="13">
        <f t="shared" si="37"/>
        <v>8.524398117581736</v>
      </c>
      <c r="BG10" s="20">
        <f t="shared" si="7"/>
        <v>62.161584854788174</v>
      </c>
      <c r="BH10" s="59">
        <f t="shared" si="8"/>
        <v>273.85909982792964</v>
      </c>
      <c r="BI10" s="59">
        <f ca="1">AVERAGE(OFFSET($BH$3,0,0,'Données projet'!$E$11+1,1))-AVERAGE(OFFSET($H$3,0,0,'Données projet'!$E$11+1,1))</f>
        <v>667.4887768032404</v>
      </c>
      <c r="BJ10" s="59">
        <f t="shared" si="38"/>
        <v>305.76944302827178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25.893035999999995</v>
      </c>
      <c r="CA10" s="13">
        <f t="shared" si="39"/>
        <v>8.1703477527395769</v>
      </c>
      <c r="CB10" s="20">
        <f t="shared" si="10"/>
        <v>59.327060036021408</v>
      </c>
      <c r="CC10" s="59">
        <f t="shared" si="11"/>
        <v>271.02457500916285</v>
      </c>
      <c r="CD10" s="59">
        <f ca="1">AVERAGE(OFFSET($CC$3,0,0,'Données projet'!$E$12+1,1))-AVERAGE(OFFSET($H$3,0,0,'Données projet'!$E$12+1,1))</f>
        <v>639.80378676828764</v>
      </c>
      <c r="CE10" s="59">
        <f t="shared" si="40"/>
        <v>294.03328334345281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2.4666666666666668</v>
      </c>
      <c r="CT10" s="12">
        <f>IF('Données projet'!$A$140&gt;35,CT9+CS10-DB9,IF(A10&lt;'Données projet'!$A$140,$CQ$205^A10,IF(A10='Données projet'!$A$140,'Données projet'!$B$140,CT9+CS10-DB9)))</f>
        <v>5.3929633792034757</v>
      </c>
      <c r="CU10" s="17">
        <f>CT10*VLOOKUP('Données projet'!$B$13,Paramètres!$A$1:$I$89,3,0)*VLOOKUP('Données projet'!$B$13,Paramètres!$A$1:$I$89,5,0)</f>
        <v>4.711292808072157</v>
      </c>
      <c r="CV10" s="13">
        <f t="shared" si="41"/>
        <v>1.8127530905190552</v>
      </c>
      <c r="CW10" s="20">
        <f t="shared" si="13"/>
        <v>11.362713273379695</v>
      </c>
      <c r="CX10" s="59">
        <f t="shared" si="14"/>
        <v>223.06022824652115</v>
      </c>
      <c r="CY10" s="59">
        <f ca="1">AVERAGE(OFFSET($CX$3,0,0,'Données projet'!$E$13+1,1))-AVERAGE(OFFSET($H$3,0,0,'Données projet'!$E$13+1,1))</f>
        <v>340.64710509454375</v>
      </c>
      <c r="CZ10" s="59">
        <f t="shared" si="42"/>
        <v>329.6409514360613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3.887142857142857</v>
      </c>
      <c r="DO10" s="12">
        <f>IF('Données projet'!$A$166&gt;35,DO9+DN10-DW9,IF(A10&lt;'Données projet'!$A$166,$DL$205^A10,IF(A10='Données projet'!$A$166,'Données projet'!$B$166,DO9+DN10-DW9)))</f>
        <v>27.209999999999994</v>
      </c>
      <c r="DP10" s="17">
        <f>DO10*VLOOKUP('Données projet'!$B$14,Paramètres!$A$1:$I$89,3,0)*VLOOKUP('Données projet'!$B$14,Paramètres!$A$1:$I$89,5,0)</f>
        <v>26.317511999999997</v>
      </c>
      <c r="DQ10" s="13">
        <f t="shared" si="43"/>
        <v>8.288585014920681</v>
      </c>
      <c r="DR10" s="20">
        <f t="shared" si="16"/>
        <v>60.272285634320177</v>
      </c>
      <c r="DS10" s="59">
        <f t="shared" si="17"/>
        <v>271.96980060746165</v>
      </c>
      <c r="DT10" s="59">
        <f ca="1">AVERAGE(OFFSET($DS$3,0,0,'Données projet'!$E$14+1,1))-AVERAGE(OFFSET($H$3,0,0,'Données projet'!$E$14+1,1))</f>
        <v>649.03508893149228</v>
      </c>
      <c r="DU10" s="59">
        <f t="shared" si="44"/>
        <v>297.94672581383213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3.887142857142857</v>
      </c>
      <c r="EJ10" s="12">
        <f>IF('Données projet'!$A$192&gt;35,EJ9+EI10-ER9,IF(A10&lt;'Données projet'!$A$192,$EG$205^A10,IF(A10='Données projet'!$A$192,'Données projet'!$B$192,EJ9+EI10-ER9)))</f>
        <v>27.209999999999994</v>
      </c>
      <c r="EK10" s="17">
        <f>EJ10*VLOOKUP('Données projet'!$B$15,Paramètres!$A$1:$I$89,3,0)*VLOOKUP('Données projet'!$B$15,Paramètres!$A$1:$I$89,5,0)</f>
        <v>29.288843999999994</v>
      </c>
      <c r="EL10" s="13">
        <f t="shared" si="45"/>
        <v>9.1102470881196833</v>
      </c>
      <c r="EM10" s="20">
        <f t="shared" si="19"/>
        <v>66.878416978475101</v>
      </c>
      <c r="EN10" s="59">
        <f t="shared" si="20"/>
        <v>278.57593195161655</v>
      </c>
      <c r="EO10" s="59">
        <f ca="1">AVERAGE(OFFSET($EN$3,0,0,'Données projet'!$E$15+1,1))-AVERAGE(OFFSET($H$3,0,0,'Données projet'!$E$15+1,1))</f>
        <v>713.57333631602273</v>
      </c>
      <c r="EP10" s="59">
        <f t="shared" si="46"/>
        <v>325.30302392555359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2.6666666666666665</v>
      </c>
      <c r="FE10" s="12">
        <f>IF('Données projet'!$A$218&gt;35,FE9+FD10-FM9,IF(A10&lt;'Données projet'!$A$218,$FB$205^A10,IF(A10='Données projet'!$A$218,'Données projet'!$B$218,FE9+FD10-FM9)))</f>
        <v>5.5927833467405659</v>
      </c>
      <c r="FF10" s="17">
        <f>FE10*VLOOKUP('Données projet'!$B$16,Paramètres!$A$1:$I$89,3,0)*VLOOKUP('Données projet'!$B$16,Paramètres!$A$1:$I$89,5,0)</f>
        <v>4.3623710104576414</v>
      </c>
      <c r="FG10" s="13">
        <f t="shared" si="47"/>
        <v>1.6936004212396314</v>
      </c>
      <c r="FH10" s="20">
        <f t="shared" si="22"/>
        <v>10.54748357687275</v>
      </c>
      <c r="FI10" s="59">
        <f t="shared" si="23"/>
        <v>222.2449985500142</v>
      </c>
      <c r="FJ10" s="59">
        <f ca="1">AVERAGE(OFFSET($FI$3,0,0,'Données projet'!$E$16+1,1))-AVERAGE(OFFSET($H$3,0,0,'Données projet'!$E$16+1,1))</f>
        <v>302.04287561738482</v>
      </c>
      <c r="FK10" s="59">
        <f t="shared" si="48"/>
        <v>296.09828774694802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3.8113157894736847</v>
      </c>
      <c r="FZ10" s="12">
        <f>IF('Données projet'!$A$244&gt;35,FZ9+FY10-GH9,IF(A10&lt;'Données projet'!$A$244,$FW$205^A10,IF(A10='Données projet'!$A$244,'Données projet'!$B$244,FZ9+FY10-GH9)))</f>
        <v>26.679210526315792</v>
      </c>
      <c r="GA10" s="17">
        <f>FZ10*VLOOKUP('Données projet'!$B$17,Paramètres!$A$1:$I$89,3,0)*VLOOKUP('Données projet'!$B$17,Paramètres!$A$1:$I$89,5,0)</f>
        <v>22.474566947368427</v>
      </c>
      <c r="GB10" s="13">
        <f t="shared" si="49"/>
        <v>7.2095229067833655</v>
      </c>
      <c r="GC10" s="20">
        <f t="shared" si="25"/>
        <v>51.699789829314369</v>
      </c>
      <c r="GD10" s="59">
        <f t="shared" si="26"/>
        <v>263.39730480245584</v>
      </c>
      <c r="GE10" s="59">
        <f ca="1">AVERAGE(OFFSET($GD$3,0,0,'Données projet'!$E$17+1,1))-AVERAGE(OFFSET($H$3,0,0,'Données projet'!$E$17+1,1))</f>
        <v>385.41819366740276</v>
      </c>
      <c r="GF10" s="59">
        <f t="shared" si="50"/>
        <v>262.4625391252718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55.402352568432519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3.3000000000000003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12.100000000000001</v>
      </c>
      <c r="H11" s="67">
        <f t="shared" si="1"/>
        <v>208.26666666666665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3.887142857142857</v>
      </c>
      <c r="N11" s="13">
        <f>IF('Données projet'!$A$36&gt;35,N10+M11-V10,IF(A11&lt;'Données projet'!$A$36,$K$205^A11,IF(A11='Données projet'!$A$36,'Données projet'!$B$36,N10+M11-V10)))</f>
        <v>31.097142857142849</v>
      </c>
      <c r="O11" s="13">
        <f>N11*VLOOKUP('Données projet'!$B$9,Paramètres!$A$1:$I$89,3,0)*VLOOKUP('Données projet'!$B$9,Paramètres!$A$1:$I$89,5,0)</f>
        <v>28.136694857142849</v>
      </c>
      <c r="P11" s="13">
        <f t="shared" si="33"/>
        <v>8.792851913254415</v>
      </c>
      <c r="Q11" s="20">
        <f t="shared" si="2"/>
        <v>64.318960625108559</v>
      </c>
      <c r="R11" s="59">
        <f t="shared" si="0"/>
        <v>278.16723182792526</v>
      </c>
      <c r="S11" s="59">
        <f ca="1">AVERAGE(OFFSET($R$3,0,0,'Données projet'!$E$9+1,1))-AVERAGE(OFFSET($H$3,0,0,'Données projet'!$E$9+1,1))</f>
        <v>612.09138396952153</v>
      </c>
      <c r="T11" s="59">
        <f t="shared" si="34"/>
        <v>282.284310393542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31.532502857142852</v>
      </c>
      <c r="AK11" s="13">
        <f t="shared" si="35"/>
        <v>9.7242255986999844</v>
      </c>
      <c r="AL11" s="20">
        <f t="shared" si="4"/>
        <v>71.855468727259591</v>
      </c>
      <c r="AM11" s="59">
        <f t="shared" si="5"/>
        <v>285.70373993007627</v>
      </c>
      <c r="AN11" s="59">
        <f ca="1">AVERAGE(OFFSET($AM$3,0,0,'Données projet'!$E$10+1,1))-AVERAGE(OFFSET($H$3,0,0,'Données projet'!$E$10+1,1))</f>
        <v>676.7112666359476</v>
      </c>
      <c r="AO11" s="59">
        <f t="shared" si="36"/>
        <v>309.67876644201385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31.047387428571422</v>
      </c>
      <c r="BF11" s="13">
        <f t="shared" si="37"/>
        <v>9.591916928189125</v>
      </c>
      <c r="BG11" s="20">
        <f t="shared" si="7"/>
        <v>70.78012175469128</v>
      </c>
      <c r="BH11" s="59">
        <f t="shared" si="8"/>
        <v>284.62839295750797</v>
      </c>
      <c r="BI11" s="59">
        <f ca="1">AVERAGE(OFFSET($BH$3,0,0,'Données projet'!$E$11+1,1))-AVERAGE(OFFSET($H$3,0,0,'Données projet'!$E$11+1,1))</f>
        <v>667.4887768032404</v>
      </c>
      <c r="BJ11" s="59">
        <f t="shared" si="38"/>
        <v>305.76944302827178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29.592041142857138</v>
      </c>
      <c r="CA11" s="13">
        <f t="shared" si="39"/>
        <v>9.1935284858477626</v>
      </c>
      <c r="CB11" s="20">
        <f t="shared" si="10"/>
        <v>67.551533769994364</v>
      </c>
      <c r="CC11" s="59">
        <f t="shared" si="11"/>
        <v>281.39980497281107</v>
      </c>
      <c r="CD11" s="59">
        <f ca="1">AVERAGE(OFFSET($CC$3,0,0,'Données projet'!$E$12+1,1))-AVERAGE(OFFSET($H$3,0,0,'Données projet'!$E$12+1,1))</f>
        <v>639.80378676828764</v>
      </c>
      <c r="CE11" s="59">
        <f t="shared" si="40"/>
        <v>294.03328334345281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2.4666666666666668</v>
      </c>
      <c r="CT11" s="12">
        <f>IF('Données projet'!$A$140&gt;35,CT10+CS11-DB10,IF(A11&lt;'Données projet'!$A$140,$CQ$205^A11,IF(A11='Données projet'!$A$140,'Données projet'!$B$140,CT10+CS11-DB10)))</f>
        <v>6.8607919984549888</v>
      </c>
      <c r="CU11" s="17">
        <f>CT11*VLOOKUP('Données projet'!$B$13,Paramètres!$A$1:$I$89,3,0)*VLOOKUP('Données projet'!$B$13,Paramètres!$A$1:$I$89,5,0)</f>
        <v>5.9935878898502795</v>
      </c>
      <c r="CV11" s="13">
        <f t="shared" si="41"/>
        <v>2.2424160357272664</v>
      </c>
      <c r="CW11" s="20">
        <f t="shared" si="13"/>
        <v>14.344373503714223</v>
      </c>
      <c r="CX11" s="59">
        <f t="shared" si="14"/>
        <v>228.19264470653093</v>
      </c>
      <c r="CY11" s="59">
        <f ca="1">AVERAGE(OFFSET($CX$3,0,0,'Données projet'!$E$13+1,1))-AVERAGE(OFFSET($H$3,0,0,'Données projet'!$E$13+1,1))</f>
        <v>340.64710509454375</v>
      </c>
      <c r="CZ11" s="59">
        <f t="shared" si="42"/>
        <v>329.6409514360613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3.887142857142857</v>
      </c>
      <c r="DO11" s="12">
        <f>IF('Données projet'!$A$166&gt;35,DO10+DN11-DW10,IF(A11&lt;'Données projet'!$A$166,$DL$205^A11,IF(A11='Données projet'!$A$166,'Données projet'!$B$166,DO10+DN11-DW10)))</f>
        <v>31.097142857142849</v>
      </c>
      <c r="DP11" s="17">
        <f>DO11*VLOOKUP('Données projet'!$B$14,Paramètres!$A$1:$I$89,3,0)*VLOOKUP('Données projet'!$B$14,Paramètres!$A$1:$I$89,5,0)</f>
        <v>30.077156571428564</v>
      </c>
      <c r="DQ11" s="13">
        <f t="shared" si="43"/>
        <v>9.3265727173599551</v>
      </c>
      <c r="DR11" s="20">
        <f t="shared" si="16"/>
        <v>68.62816184463999</v>
      </c>
      <c r="DS11" s="59">
        <f t="shared" si="17"/>
        <v>282.47643304745668</v>
      </c>
      <c r="DT11" s="59">
        <f ca="1">AVERAGE(OFFSET($DS$3,0,0,'Données projet'!$E$14+1,1))-AVERAGE(OFFSET($H$3,0,0,'Données projet'!$E$14+1,1))</f>
        <v>649.03508893149228</v>
      </c>
      <c r="DU11" s="59">
        <f t="shared" si="44"/>
        <v>297.94672581383213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3.887142857142857</v>
      </c>
      <c r="EJ11" s="12">
        <f>IF('Données projet'!$A$192&gt;35,EJ10+EI11-ER10,IF(A11&lt;'Données projet'!$A$192,$EG$205^A11,IF(A11='Données projet'!$A$192,'Données projet'!$B$192,EJ10+EI11-ER10)))</f>
        <v>31.097142857142849</v>
      </c>
      <c r="EK11" s="17">
        <f>EJ11*VLOOKUP('Données projet'!$B$15,Paramètres!$A$1:$I$89,3,0)*VLOOKUP('Données projet'!$B$15,Paramètres!$A$1:$I$89,5,0)</f>
        <v>33.472964571428555</v>
      </c>
      <c r="EL11" s="13">
        <f t="shared" si="45"/>
        <v>10.251132344967342</v>
      </c>
      <c r="EM11" s="20">
        <f t="shared" si="19"/>
        <v>76.152802129389514</v>
      </c>
      <c r="EN11" s="59">
        <f t="shared" si="20"/>
        <v>290.0010733322062</v>
      </c>
      <c r="EO11" s="59">
        <f ca="1">AVERAGE(OFFSET($EN$3,0,0,'Données projet'!$E$15+1,1))-AVERAGE(OFFSET($H$3,0,0,'Données projet'!$E$15+1,1))</f>
        <v>713.57333631602273</v>
      </c>
      <c r="EP11" s="59">
        <f t="shared" si="46"/>
        <v>325.30302392555359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2.6666666666666665</v>
      </c>
      <c r="FE11" s="12">
        <f>IF('Données projet'!$A$218&gt;35,FE10+FD11-FM10,IF(A11&lt;'Données projet'!$A$218,$FB$205^A11,IF(A11='Données projet'!$A$218,'Données projet'!$B$218,FE10+FD11-FM10)))</f>
        <v>7.1520739352994367</v>
      </c>
      <c r="FF11" s="17">
        <f>FE11*VLOOKUP('Données projet'!$B$16,Paramètres!$A$1:$I$89,3,0)*VLOOKUP('Données projet'!$B$16,Paramètres!$A$1:$I$89,5,0)</f>
        <v>5.5786176695335605</v>
      </c>
      <c r="FG11" s="13">
        <f t="shared" si="47"/>
        <v>2.1046649418345189</v>
      </c>
      <c r="FH11" s="20">
        <f t="shared" si="22"/>
        <v>13.381717214799407</v>
      </c>
      <c r="FI11" s="59">
        <f t="shared" si="23"/>
        <v>227.22998841761611</v>
      </c>
      <c r="FJ11" s="59">
        <f ca="1">AVERAGE(OFFSET($FI$3,0,0,'Données projet'!$E$16+1,1))-AVERAGE(OFFSET($H$3,0,0,'Données projet'!$E$16+1,1))</f>
        <v>302.04287561738482</v>
      </c>
      <c r="FK11" s="59">
        <f t="shared" si="48"/>
        <v>296.09828774694802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3.8113157894736847</v>
      </c>
      <c r="FZ11" s="12">
        <f>IF('Données projet'!$A$244&gt;35,FZ10+FY11-GH10,IF(A11&lt;'Données projet'!$A$244,$FW$205^A11,IF(A11='Données projet'!$A$244,'Données projet'!$B$244,FZ10+FY11-GH10)))</f>
        <v>30.490526315789477</v>
      </c>
      <c r="GA11" s="17">
        <f>FZ11*VLOOKUP('Données projet'!$B$17,Paramètres!$A$1:$I$89,3,0)*VLOOKUP('Données projet'!$B$17,Paramètres!$A$1:$I$89,5,0)</f>
        <v>25.685219368421055</v>
      </c>
      <c r="GB11" s="13">
        <f t="shared" si="49"/>
        <v>8.1123785937581836</v>
      </c>
      <c r="GC11" s="20">
        <f t="shared" si="25"/>
        <v>58.864149784128841</v>
      </c>
      <c r="GD11" s="59">
        <f t="shared" si="26"/>
        <v>272.71242098694552</v>
      </c>
      <c r="GE11" s="59">
        <f ca="1">AVERAGE(OFFSET($GD$3,0,0,'Données projet'!$E$17+1,1))-AVERAGE(OFFSET($H$3,0,0,'Données projet'!$E$17+1,1))</f>
        <v>385.41819366740276</v>
      </c>
      <c r="GF11" s="59">
        <f t="shared" si="50"/>
        <v>262.4625391252718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55.65558911591971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3.3000000000000003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12.100000000000001</v>
      </c>
      <c r="H12" s="67">
        <f t="shared" si="1"/>
        <v>208.26666666666665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3.887142857142857</v>
      </c>
      <c r="N12" s="13">
        <f>IF('Données projet'!$A$36&gt;35,N11+M12-V11,IF(A12&lt;'Données projet'!$A$36,$K$205^A12,IF(A12='Données projet'!$A$36,'Données projet'!$B$36,N11+M12-V11)))</f>
        <v>34.984285714285704</v>
      </c>
      <c r="O12" s="13">
        <f>N12*VLOOKUP('Données projet'!$B$9,Paramètres!$A$1:$I$89,3,0)*VLOOKUP('Données projet'!$B$9,Paramètres!$A$1:$I$89,5,0)</f>
        <v>31.653781714285703</v>
      </c>
      <c r="P12" s="13">
        <f t="shared" si="33"/>
        <v>9.757265618420071</v>
      </c>
      <c r="Q12" s="20">
        <f t="shared" si="2"/>
        <v>72.124240771129223</v>
      </c>
      <c r="R12" s="59">
        <f t="shared" si="0"/>
        <v>288.10716021448286</v>
      </c>
      <c r="S12" s="59">
        <f ca="1">AVERAGE(OFFSET($R$3,0,0,'Données projet'!$E$9+1,1))-AVERAGE(OFFSET($H$3,0,0,'Données projet'!$E$9+1,1))</f>
        <v>612.09138396952153</v>
      </c>
      <c r="T12" s="59">
        <f t="shared" si="34"/>
        <v>282.284310393542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35.474065714285707</v>
      </c>
      <c r="AK12" s="13">
        <f t="shared" si="35"/>
        <v>10.790793821618898</v>
      </c>
      <c r="AL12" s="20">
        <f t="shared" si="4"/>
        <v>80.577963691700518</v>
      </c>
      <c r="AM12" s="59">
        <f t="shared" si="5"/>
        <v>296.56088313505415</v>
      </c>
      <c r="AN12" s="59">
        <f ca="1">AVERAGE(OFFSET($AM$3,0,0,'Données projet'!$E$10+1,1))-AVERAGE(OFFSET($H$3,0,0,'Données projet'!$E$10+1,1))</f>
        <v>676.7112666359476</v>
      </c>
      <c r="AO12" s="59">
        <f t="shared" si="36"/>
        <v>309.67876644201385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34.928310857142854</v>
      </c>
      <c r="BF12" s="13">
        <f t="shared" si="37"/>
        <v>10.643973329868277</v>
      </c>
      <c r="BG12" s="20">
        <f t="shared" si="7"/>
        <v>79.371728292377725</v>
      </c>
      <c r="BH12" s="59">
        <f t="shared" si="8"/>
        <v>295.35464773573142</v>
      </c>
      <c r="BI12" s="59">
        <f ca="1">AVERAGE(OFFSET($BH$3,0,0,'Données projet'!$E$11+1,1))-AVERAGE(OFFSET($H$3,0,0,'Données projet'!$E$11+1,1))</f>
        <v>667.4887768032404</v>
      </c>
      <c r="BJ12" s="59">
        <f t="shared" si="38"/>
        <v>305.76944302827178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33.291046285714273</v>
      </c>
      <c r="CA12" s="13">
        <f t="shared" si="39"/>
        <v>10.201889022116685</v>
      </c>
      <c r="CB12" s="20">
        <f t="shared" si="10"/>
        <v>75.750195661138918</v>
      </c>
      <c r="CC12" s="59">
        <f t="shared" si="11"/>
        <v>291.73311510449258</v>
      </c>
      <c r="CD12" s="59">
        <f ca="1">AVERAGE(OFFSET($CC$3,0,0,'Données projet'!$E$12+1,1))-AVERAGE(OFFSET($H$3,0,0,'Données projet'!$E$12+1,1))</f>
        <v>639.80378676828764</v>
      </c>
      <c r="CE12" s="59">
        <f t="shared" si="40"/>
        <v>294.03328334345281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2.4666666666666668</v>
      </c>
      <c r="CT12" s="12">
        <f>IF('Données projet'!$A$140&gt;35,CT11+CS12-DB11,IF(A12&lt;'Données projet'!$A$140,$CQ$205^A12,IF(A12='Données projet'!$A$140,'Données projet'!$B$140,CT11+CS12-DB11)))</f>
        <v>8.7281265486761299</v>
      </c>
      <c r="CU12" s="17">
        <f>CT12*VLOOKUP('Données projet'!$B$13,Paramètres!$A$1:$I$89,3,0)*VLOOKUP('Données projet'!$B$13,Paramètres!$A$1:$I$89,5,0)</f>
        <v>7.6248913529234681</v>
      </c>
      <c r="CV12" s="13">
        <f t="shared" si="41"/>
        <v>2.7739186895259813</v>
      </c>
      <c r="CW12" s="20">
        <f t="shared" si="13"/>
        <v>18.111260823932788</v>
      </c>
      <c r="CX12" s="59">
        <f t="shared" si="14"/>
        <v>234.09418026728645</v>
      </c>
      <c r="CY12" s="59">
        <f ca="1">AVERAGE(OFFSET($CX$3,0,0,'Données projet'!$E$13+1,1))-AVERAGE(OFFSET($H$3,0,0,'Données projet'!$E$13+1,1))</f>
        <v>340.64710509454375</v>
      </c>
      <c r="CZ12" s="59">
        <f t="shared" si="42"/>
        <v>329.6409514360613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3.887142857142857</v>
      </c>
      <c r="DO12" s="12">
        <f>IF('Données projet'!$A$166&gt;35,DO11+DN12-DW11,IF(A12&lt;'Données projet'!$A$166,$DL$205^A12,IF(A12='Données projet'!$A$166,'Données projet'!$B$166,DO11+DN12-DW11)))</f>
        <v>34.984285714285704</v>
      </c>
      <c r="DP12" s="17">
        <f>DO12*VLOOKUP('Données projet'!$B$14,Paramètres!$A$1:$I$89,3,0)*VLOOKUP('Données projet'!$B$14,Paramètres!$A$1:$I$89,5,0)</f>
        <v>33.836801142857134</v>
      </c>
      <c r="DQ12" s="13">
        <f t="shared" si="43"/>
        <v>10.349525752345953</v>
      </c>
      <c r="DR12" s="20">
        <f t="shared" si="16"/>
        <v>76.957852675812049</v>
      </c>
      <c r="DS12" s="59">
        <f t="shared" si="17"/>
        <v>292.94077211916573</v>
      </c>
      <c r="DT12" s="59">
        <f ca="1">AVERAGE(OFFSET($DS$3,0,0,'Données projet'!$E$14+1,1))-AVERAGE(OFFSET($H$3,0,0,'Données projet'!$E$14+1,1))</f>
        <v>649.03508893149228</v>
      </c>
      <c r="DU12" s="59">
        <f t="shared" si="44"/>
        <v>297.94672581383213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3.887142857142857</v>
      </c>
      <c r="EJ12" s="12">
        <f>IF('Données projet'!$A$192&gt;35,EJ11+EI12-ER11,IF(A12&lt;'Données projet'!$A$192,$EG$205^A12,IF(A12='Données projet'!$A$192,'Données projet'!$B$192,EJ11+EI12-ER11)))</f>
        <v>34.984285714285704</v>
      </c>
      <c r="EK12" s="17">
        <f>EJ12*VLOOKUP('Données projet'!$B$15,Paramètres!$A$1:$I$89,3,0)*VLOOKUP('Données projet'!$B$15,Paramètres!$A$1:$I$89,5,0)</f>
        <v>37.657085142857127</v>
      </c>
      <c r="EL12" s="13">
        <f t="shared" si="45"/>
        <v>11.375492521220362</v>
      </c>
      <c r="EM12" s="20">
        <f t="shared" si="19"/>
        <v>85.39840609826831</v>
      </c>
      <c r="EN12" s="59">
        <f t="shared" si="20"/>
        <v>301.381325541622</v>
      </c>
      <c r="EO12" s="59">
        <f ca="1">AVERAGE(OFFSET($EN$3,0,0,'Données projet'!$E$15+1,1))-AVERAGE(OFFSET($H$3,0,0,'Données projet'!$E$15+1,1))</f>
        <v>713.57333631602273</v>
      </c>
      <c r="EP12" s="59">
        <f t="shared" si="46"/>
        <v>325.30302392555359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2.6666666666666665</v>
      </c>
      <c r="FE12" s="12">
        <f>IF('Données projet'!$A$218&gt;35,FE11+FD12-FM11,IF(A12&lt;'Données projet'!$A$218,$FB$205^A12,IF(A12='Données projet'!$A$218,'Données projet'!$B$218,FE11+FD12-FM11)))</f>
        <v>9.1461010385465205</v>
      </c>
      <c r="FF12" s="17">
        <f>FE12*VLOOKUP('Données projet'!$B$16,Paramètres!$A$1:$I$89,3,0)*VLOOKUP('Données projet'!$B$16,Paramètres!$A$1:$I$89,5,0)</f>
        <v>7.1339588100662858</v>
      </c>
      <c r="FG12" s="13">
        <f t="shared" si="47"/>
        <v>2.6155015444227643</v>
      </c>
      <c r="FH12" s="20">
        <f t="shared" si="22"/>
        <v>16.980310117401761</v>
      </c>
      <c r="FI12" s="59">
        <f t="shared" si="23"/>
        <v>232.96322956075542</v>
      </c>
      <c r="FJ12" s="59">
        <f ca="1">AVERAGE(OFFSET($FI$3,0,0,'Données projet'!$E$16+1,1))-AVERAGE(OFFSET($H$3,0,0,'Données projet'!$E$16+1,1))</f>
        <v>302.04287561738482</v>
      </c>
      <c r="FK12" s="59">
        <f t="shared" si="48"/>
        <v>296.09828774694802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3.8113157894736847</v>
      </c>
      <c r="FZ12" s="12">
        <f>IF('Données projet'!$A$244&gt;35,FZ11+FY12-GH11,IF(A12&lt;'Données projet'!$A$244,$FW$205^A12,IF(A12='Données projet'!$A$244,'Données projet'!$B$244,FZ11+FY12-GH11)))</f>
        <v>34.301842105263162</v>
      </c>
      <c r="GA12" s="17">
        <f>FZ12*VLOOKUP('Données projet'!$B$17,Paramètres!$A$1:$I$89,3,0)*VLOOKUP('Données projet'!$B$17,Paramètres!$A$1:$I$89,5,0)</f>
        <v>28.895871789473688</v>
      </c>
      <c r="GB12" s="13">
        <f t="shared" si="49"/>
        <v>9.002156924440559</v>
      </c>
      <c r="GC12" s="20">
        <f t="shared" si="25"/>
        <v>66.005733343400635</v>
      </c>
      <c r="GD12" s="59">
        <f t="shared" si="26"/>
        <v>281.9886527867543</v>
      </c>
      <c r="GE12" s="59">
        <f ca="1">AVERAGE(OFFSET($GD$3,0,0,'Données projet'!$E$17+1,1))-AVERAGE(OFFSET($H$3,0,0,'Données projet'!$E$17+1,1))</f>
        <v>385.41819366740276</v>
      </c>
      <c r="GF12" s="59">
        <f t="shared" si="50"/>
        <v>262.4625391252718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55.904432575460092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3.3000000000000003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12.100000000000001</v>
      </c>
      <c r="H13" s="67">
        <f t="shared" si="1"/>
        <v>208.26666666666665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3.887142857142857</v>
      </c>
      <c r="N13" s="13">
        <f>IF('Données projet'!$A$36&gt;35,N12+M13-V12,IF(A13&lt;'Données projet'!$A$36,$K$205^A13,IF(A13='Données projet'!$A$36,'Données projet'!$B$36,N12+M13-V12)))</f>
        <v>38.871428571428559</v>
      </c>
      <c r="O13" s="13">
        <f>N13*VLOOKUP('Données projet'!$B$9,Paramètres!$A$1:$I$89,3,0)*VLOOKUP('Données projet'!$B$9,Paramètres!$A$1:$I$89,5,0)</f>
        <v>35.170868571428556</v>
      </c>
      <c r="P13" s="13">
        <f t="shared" si="33"/>
        <v>10.709259603674569</v>
      </c>
      <c r="Q13" s="20">
        <f t="shared" si="2"/>
        <v>79.90788990497127</v>
      </c>
      <c r="R13" s="59">
        <f t="shared" si="0"/>
        <v>298.00962903732312</v>
      </c>
      <c r="S13" s="59">
        <f ca="1">AVERAGE(OFFSET($R$3,0,0,'Données projet'!$E$9+1,1))-AVERAGE(OFFSET($H$3,0,0,'Données projet'!$E$9+1,1))</f>
        <v>612.09138396952153</v>
      </c>
      <c r="T13" s="59">
        <f t="shared" si="34"/>
        <v>282.284310393542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39.415628571428563</v>
      </c>
      <c r="AK13" s="13">
        <f t="shared" si="35"/>
        <v>11.843626778724154</v>
      </c>
      <c r="AL13" s="20">
        <f t="shared" si="4"/>
        <v>89.276536401515969</v>
      </c>
      <c r="AM13" s="59">
        <f t="shared" si="5"/>
        <v>307.37827553386785</v>
      </c>
      <c r="AN13" s="59">
        <f ca="1">AVERAGE(OFFSET($AM$3,0,0,'Données projet'!$E$10+1,1))-AVERAGE(OFFSET($H$3,0,0,'Données projet'!$E$10+1,1))</f>
        <v>676.7112666359476</v>
      </c>
      <c r="AO13" s="59">
        <f t="shared" si="36"/>
        <v>309.67876644201385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38.809234285714275</v>
      </c>
      <c r="BF13" s="13">
        <f t="shared" si="37"/>
        <v>11.682481348970935</v>
      </c>
      <c r="BG13" s="20">
        <f t="shared" si="7"/>
        <v>87.939738063743405</v>
      </c>
      <c r="BH13" s="59">
        <f t="shared" si="8"/>
        <v>306.04147719609529</v>
      </c>
      <c r="BI13" s="59">
        <f ca="1">AVERAGE(OFFSET($BH$3,0,0,'Données projet'!$E$11+1,1))-AVERAGE(OFFSET($H$3,0,0,'Données projet'!$E$11+1,1))</f>
        <v>667.4887768032404</v>
      </c>
      <c r="BJ13" s="59">
        <f t="shared" si="38"/>
        <v>305.76944302827178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36.990051428571419</v>
      </c>
      <c r="CA13" s="13">
        <f t="shared" si="39"/>
        <v>11.197263891173662</v>
      </c>
      <c r="CB13" s="20">
        <f t="shared" si="10"/>
        <v>83.92624084855602</v>
      </c>
      <c r="CC13" s="59">
        <f t="shared" si="11"/>
        <v>302.0279799809079</v>
      </c>
      <c r="CD13" s="59">
        <f ca="1">AVERAGE(OFFSET($CC$3,0,0,'Données projet'!$E$12+1,1))-AVERAGE(OFFSET($H$3,0,0,'Données projet'!$E$12+1,1))</f>
        <v>639.80378676828764</v>
      </c>
      <c r="CE13" s="59">
        <f t="shared" si="40"/>
        <v>294.03328334345281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2.4666666666666668</v>
      </c>
      <c r="CT13" s="12">
        <f>IF('Données projet'!$A$140&gt;35,CT12+CS13-DB12,IF(A13&lt;'Données projet'!$A$140,$CQ$205^A13,IF(A13='Données projet'!$A$140,'Données projet'!$B$140,CT12+CS13-DB12)))</f>
        <v>11.103702468586782</v>
      </c>
      <c r="CU13" s="17">
        <f>CT13*VLOOKUP('Données projet'!$B$13,Paramètres!$A$1:$I$89,3,0)*VLOOKUP('Données projet'!$B$13,Paramètres!$A$1:$I$89,5,0)</f>
        <v>9.7001944765574137</v>
      </c>
      <c r="CV13" s="13">
        <f t="shared" si="41"/>
        <v>3.4313993360317685</v>
      </c>
      <c r="CW13" s="20">
        <f t="shared" si="13"/>
        <v>22.870859223592827</v>
      </c>
      <c r="CX13" s="59">
        <f t="shared" si="14"/>
        <v>240.97259835594468</v>
      </c>
      <c r="CY13" s="59">
        <f ca="1">AVERAGE(OFFSET($CX$3,0,0,'Données projet'!$E$13+1,1))-AVERAGE(OFFSET($H$3,0,0,'Données projet'!$E$13+1,1))</f>
        <v>340.64710509454375</v>
      </c>
      <c r="CZ13" s="59">
        <f t="shared" si="42"/>
        <v>329.6409514360613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3.887142857142857</v>
      </c>
      <c r="DO13" s="12">
        <f>IF('Données projet'!$A$166&gt;35,DO12+DN13-DW12,IF(A13&lt;'Données projet'!$A$166,$DL$205^A13,IF(A13='Données projet'!$A$166,'Données projet'!$B$166,DO12+DN13-DW12)))</f>
        <v>38.871428571428559</v>
      </c>
      <c r="DP13" s="17">
        <f>DO13*VLOOKUP('Données projet'!$B$14,Paramètres!$A$1:$I$89,3,0)*VLOOKUP('Données projet'!$B$14,Paramètres!$A$1:$I$89,5,0)</f>
        <v>37.596445714285707</v>
      </c>
      <c r="DQ13" s="13">
        <f t="shared" si="43"/>
        <v>11.359305197918257</v>
      </c>
      <c r="DR13" s="20">
        <f t="shared" si="16"/>
        <v>85.264599505421899</v>
      </c>
      <c r="DS13" s="59">
        <f t="shared" si="17"/>
        <v>303.36633863777377</v>
      </c>
      <c r="DT13" s="59">
        <f ca="1">AVERAGE(OFFSET($DS$3,0,0,'Données projet'!$E$14+1,1))-AVERAGE(OFFSET($H$3,0,0,'Données projet'!$E$14+1,1))</f>
        <v>649.03508893149228</v>
      </c>
      <c r="DU13" s="59">
        <f t="shared" si="44"/>
        <v>297.94672581383213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3.887142857142857</v>
      </c>
      <c r="EJ13" s="12">
        <f>IF('Données projet'!$A$192&gt;35,EJ12+EI13-ER12,IF(A13&lt;'Données projet'!$A$192,$EG$205^A13,IF(A13='Données projet'!$A$192,'Données projet'!$B$192,EJ12+EI13-ER12)))</f>
        <v>38.871428571428559</v>
      </c>
      <c r="EK13" s="17">
        <f>EJ13*VLOOKUP('Données projet'!$B$15,Paramètres!$A$1:$I$89,3,0)*VLOOKUP('Données projet'!$B$15,Paramètres!$A$1:$I$89,5,0)</f>
        <v>41.841205714285699</v>
      </c>
      <c r="EL13" s="13">
        <f t="shared" si="45"/>
        <v>12.48537318687174</v>
      </c>
      <c r="EM13" s="20">
        <f t="shared" si="19"/>
        <v>94.618791586182525</v>
      </c>
      <c r="EN13" s="59">
        <f t="shared" si="20"/>
        <v>312.72053071853441</v>
      </c>
      <c r="EO13" s="59">
        <f ca="1">AVERAGE(OFFSET($EN$3,0,0,'Données projet'!$E$15+1,1))-AVERAGE(OFFSET($H$3,0,0,'Données projet'!$E$15+1,1))</f>
        <v>713.57333631602273</v>
      </c>
      <c r="EP13" s="59">
        <f t="shared" si="46"/>
        <v>325.30302392555359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2.6666666666666665</v>
      </c>
      <c r="FE13" s="12">
        <f>IF('Données projet'!$A$218&gt;35,FE12+FD13-FM12,IF(A13&lt;'Données projet'!$A$218,$FB$205^A13,IF(A13='Données projet'!$A$218,'Données projet'!$B$218,FE12+FD13-FM12)))</f>
        <v>11.696070952851455</v>
      </c>
      <c r="FF13" s="17">
        <f>FE13*VLOOKUP('Données projet'!$B$16,Paramètres!$A$1:$I$89,3,0)*VLOOKUP('Données projet'!$B$16,Paramètres!$A$1:$I$89,5,0)</f>
        <v>9.1229353432241354</v>
      </c>
      <c r="FG13" s="13">
        <f t="shared" si="47"/>
        <v>3.2503265450485803</v>
      </c>
      <c r="FH13" s="20">
        <f t="shared" si="22"/>
        <v>21.550097788741649</v>
      </c>
      <c r="FI13" s="59">
        <f t="shared" si="23"/>
        <v>239.65183692109352</v>
      </c>
      <c r="FJ13" s="59">
        <f ca="1">AVERAGE(OFFSET($FI$3,0,0,'Données projet'!$E$16+1,1))-AVERAGE(OFFSET($H$3,0,0,'Données projet'!$E$16+1,1))</f>
        <v>302.04287561738482</v>
      </c>
      <c r="FK13" s="59">
        <f t="shared" si="48"/>
        <v>296.09828774694802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3.8113157894736847</v>
      </c>
      <c r="FZ13" s="12">
        <f>IF('Données projet'!$A$244&gt;35,FZ12+FY13-GH12,IF(A13&lt;'Données projet'!$A$244,$FW$205^A13,IF(A13='Données projet'!$A$244,'Données projet'!$B$244,FZ12+FY13-GH12)))</f>
        <v>38.113157894736844</v>
      </c>
      <c r="GA13" s="17">
        <f>FZ13*VLOOKUP('Données projet'!$B$17,Paramètres!$A$1:$I$89,3,0)*VLOOKUP('Données projet'!$B$17,Paramètres!$A$1:$I$89,5,0)</f>
        <v>32.106524210526324</v>
      </c>
      <c r="GB13" s="13">
        <f t="shared" si="49"/>
        <v>9.8804766895811049</v>
      </c>
      <c r="GC13" s="20">
        <f t="shared" si="25"/>
        <v>73.127359901020441</v>
      </c>
      <c r="GD13" s="59">
        <f t="shared" si="26"/>
        <v>291.22909903337234</v>
      </c>
      <c r="GE13" s="59">
        <f ca="1">AVERAGE(OFFSET($GD$3,0,0,'Données projet'!$E$17+1,1))-AVERAGE(OFFSET($H$3,0,0,'Données projet'!$E$17+1,1))</f>
        <v>385.41819366740276</v>
      </c>
      <c r="GF13" s="59">
        <f t="shared" si="50"/>
        <v>262.4625391252718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56.148959157308084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3.3000000000000003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12.100000000000001</v>
      </c>
      <c r="H14" s="67">
        <f t="shared" si="1"/>
        <v>208.26666666666665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3.887142857142857</v>
      </c>
      <c r="N14" s="13">
        <f>IF('Données projet'!$A$36&gt;35,N13+M14-V13,IF(A14&lt;'Données projet'!$A$36,$K$205^A14,IF(A14='Données projet'!$A$36,'Données projet'!$B$36,N13+M14-V13)))</f>
        <v>42.758571428571415</v>
      </c>
      <c r="O14" s="13">
        <f>N14*VLOOKUP('Données projet'!$B$9,Paramètres!$A$1:$I$89,3,0)*VLOOKUP('Données projet'!$B$9,Paramètres!$A$1:$I$89,5,0)</f>
        <v>38.687955428571414</v>
      </c>
      <c r="P14" s="13">
        <f t="shared" si="33"/>
        <v>11.650217223542473</v>
      </c>
      <c r="Q14" s="20">
        <f t="shared" si="2"/>
        <v>87.672317369098337</v>
      </c>
      <c r="R14" s="59">
        <f t="shared" si="0"/>
        <v>307.87732222889144</v>
      </c>
      <c r="S14" s="59">
        <f ca="1">AVERAGE(OFFSET($R$3,0,0,'Données projet'!$E$9+1,1))-AVERAGE(OFFSET($H$3,0,0,'Données projet'!$E$9+1,1))</f>
        <v>612.09138396952153</v>
      </c>
      <c r="T14" s="59">
        <f t="shared" si="34"/>
        <v>282.284310393542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43.357191428571419</v>
      </c>
      <c r="AK14" s="13">
        <f t="shared" si="35"/>
        <v>12.884254354928219</v>
      </c>
      <c r="AL14" s="20">
        <f t="shared" si="4"/>
        <v>97.953851406261848</v>
      </c>
      <c r="AM14" s="59">
        <f t="shared" si="5"/>
        <v>318.15885626605495</v>
      </c>
      <c r="AN14" s="59">
        <f ca="1">AVERAGE(OFFSET($AM$3,0,0,'Données projet'!$E$10+1,1))-AVERAGE(OFFSET($H$3,0,0,'Données projet'!$E$10+1,1))</f>
        <v>676.7112666359476</v>
      </c>
      <c r="AO14" s="59">
        <f t="shared" si="36"/>
        <v>309.67876644201385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42.690157714285704</v>
      </c>
      <c r="BF14" s="13">
        <f t="shared" si="37"/>
        <v>12.708950054660633</v>
      </c>
      <c r="BG14" s="20">
        <f t="shared" si="7"/>
        <v>96.486779364248193</v>
      </c>
      <c r="BH14" s="59">
        <f t="shared" si="8"/>
        <v>316.69178422404127</v>
      </c>
      <c r="BI14" s="59">
        <f ca="1">AVERAGE(OFFSET($BH$3,0,0,'Données projet'!$E$11+1,1))-AVERAGE(OFFSET($H$3,0,0,'Données projet'!$E$11+1,1))</f>
        <v>667.4887768032404</v>
      </c>
      <c r="BJ14" s="59">
        <f t="shared" si="38"/>
        <v>305.76944302827178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40.689056571428559</v>
      </c>
      <c r="CA14" s="13">
        <f t="shared" si="39"/>
        <v>12.181099484855261</v>
      </c>
      <c r="CB14" s="20">
        <f t="shared" si="10"/>
        <v>92.082188464694312</v>
      </c>
      <c r="CC14" s="59">
        <f t="shared" si="11"/>
        <v>312.28719332448742</v>
      </c>
      <c r="CD14" s="59">
        <f ca="1">AVERAGE(OFFSET($CC$3,0,0,'Données projet'!$E$12+1,1))-AVERAGE(OFFSET($H$3,0,0,'Données projet'!$E$12+1,1))</f>
        <v>639.80378676828764</v>
      </c>
      <c r="CE14" s="59">
        <f t="shared" si="40"/>
        <v>294.03328334345281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2.4666666666666668</v>
      </c>
      <c r="CT14" s="12">
        <f>IF('Données projet'!$A$140&gt;35,CT13+CS14-DB13,IF(A14&lt;'Données projet'!$A$140,$CQ$205^A14,IF(A14='Données projet'!$A$140,'Données projet'!$B$140,CT13+CS14-DB13)))</f>
        <v>14.125850240977657</v>
      </c>
      <c r="CU14" s="17">
        <f>CT14*VLOOKUP('Données projet'!$B$13,Paramètres!$A$1:$I$89,3,0)*VLOOKUP('Données projet'!$B$13,Paramètres!$A$1:$I$89,5,0)</f>
        <v>12.340342770518083</v>
      </c>
      <c r="CV14" s="13">
        <f t="shared" si="41"/>
        <v>4.2447175714913801</v>
      </c>
      <c r="CW14" s="20">
        <f t="shared" si="13"/>
        <v>28.885646762333149</v>
      </c>
      <c r="CX14" s="59">
        <f t="shared" si="14"/>
        <v>249.09065162212625</v>
      </c>
      <c r="CY14" s="59">
        <f ca="1">AVERAGE(OFFSET($CX$3,0,0,'Données projet'!$E$13+1,1))-AVERAGE(OFFSET($H$3,0,0,'Données projet'!$E$13+1,1))</f>
        <v>340.64710509454375</v>
      </c>
      <c r="CZ14" s="59">
        <f t="shared" si="42"/>
        <v>329.6409514360613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3.887142857142857</v>
      </c>
      <c r="DO14" s="12">
        <f>IF('Données projet'!$A$166&gt;35,DO13+DN14-DW13,IF(A14&lt;'Données projet'!$A$166,$DL$205^A14,IF(A14='Données projet'!$A$166,'Données projet'!$B$166,DO13+DN14-DW13)))</f>
        <v>42.758571428571415</v>
      </c>
      <c r="DP14" s="17">
        <f>DO14*VLOOKUP('Données projet'!$B$14,Paramètres!$A$1:$I$89,3,0)*VLOOKUP('Données projet'!$B$14,Paramètres!$A$1:$I$89,5,0)</f>
        <v>41.356090285714274</v>
      </c>
      <c r="DQ14" s="13">
        <f t="shared" si="43"/>
        <v>12.357378377386118</v>
      </c>
      <c r="DR14" s="20">
        <f t="shared" si="16"/>
        <v>93.550957921566507</v>
      </c>
      <c r="DS14" s="59">
        <f t="shared" si="17"/>
        <v>313.75596278135959</v>
      </c>
      <c r="DT14" s="59">
        <f ca="1">AVERAGE(OFFSET($DS$3,0,0,'Données projet'!$E$14+1,1))-AVERAGE(OFFSET($H$3,0,0,'Données projet'!$E$14+1,1))</f>
        <v>649.03508893149228</v>
      </c>
      <c r="DU14" s="59">
        <f t="shared" si="44"/>
        <v>297.94672581383213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3.887142857142857</v>
      </c>
      <c r="EJ14" s="12">
        <f>IF('Données projet'!$A$192&gt;35,EJ13+EI14-ER13,IF(A14&lt;'Données projet'!$A$192,$EG$205^A14,IF(A14='Données projet'!$A$192,'Données projet'!$B$192,EJ13+EI14-ER13)))</f>
        <v>42.758571428571415</v>
      </c>
      <c r="EK14" s="17">
        <f>EJ14*VLOOKUP('Données projet'!$B$15,Paramètres!$A$1:$I$89,3,0)*VLOOKUP('Données projet'!$B$15,Paramètres!$A$1:$I$89,5,0)</f>
        <v>46.025326285714272</v>
      </c>
      <c r="EL14" s="13">
        <f t="shared" si="45"/>
        <v>13.582387123582203</v>
      </c>
      <c r="EM14" s="20">
        <f t="shared" si="19"/>
        <v>103.81676752119135</v>
      </c>
      <c r="EN14" s="59">
        <f t="shared" si="20"/>
        <v>324.02177238098443</v>
      </c>
      <c r="EO14" s="59">
        <f ca="1">AVERAGE(OFFSET($EN$3,0,0,'Données projet'!$E$15+1,1))-AVERAGE(OFFSET($H$3,0,0,'Données projet'!$E$15+1,1))</f>
        <v>713.57333631602273</v>
      </c>
      <c r="EP14" s="59">
        <f t="shared" si="46"/>
        <v>325.30302392555359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2.6666666666666665</v>
      </c>
      <c r="FE14" s="12">
        <f>IF('Données projet'!$A$218&gt;35,FE13+FD14-FM13,IF(A14&lt;'Données projet'!$A$218,$FB$205^A14,IF(A14='Données projet'!$A$218,'Données projet'!$B$218,FE13+FD14-FM13)))</f>
        <v>14.956982779612416</v>
      </c>
      <c r="FF14" s="17">
        <f>FE14*VLOOKUP('Données projet'!$B$16,Paramètres!$A$1:$I$89,3,0)*VLOOKUP('Données projet'!$B$16,Paramètres!$A$1:$I$89,5,0)</f>
        <v>11.666446568097685</v>
      </c>
      <c r="FG14" s="13">
        <f t="shared" si="47"/>
        <v>4.0392339557111736</v>
      </c>
      <c r="FH14" s="20">
        <f t="shared" si="22"/>
        <v>27.354060245633761</v>
      </c>
      <c r="FI14" s="59">
        <f t="shared" si="23"/>
        <v>247.55906510542684</v>
      </c>
      <c r="FJ14" s="59">
        <f ca="1">AVERAGE(OFFSET($FI$3,0,0,'Données projet'!$E$16+1,1))-AVERAGE(OFFSET($H$3,0,0,'Données projet'!$E$16+1,1))</f>
        <v>302.04287561738482</v>
      </c>
      <c r="FK14" s="59">
        <f t="shared" si="48"/>
        <v>296.09828774694802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3.8113157894736847</v>
      </c>
      <c r="FZ14" s="12">
        <f>IF('Données projet'!$A$244&gt;35,FZ13+FY14-GH13,IF(A14&lt;'Données projet'!$A$244,$FW$205^A14,IF(A14='Données projet'!$A$244,'Données projet'!$B$244,FZ13+FY14-GH13)))</f>
        <v>41.924473684210525</v>
      </c>
      <c r="GA14" s="17">
        <f>FZ14*VLOOKUP('Données projet'!$B$17,Paramètres!$A$1:$I$89,3,0)*VLOOKUP('Données projet'!$B$17,Paramètres!$A$1:$I$89,5,0)</f>
        <v>35.317176631578953</v>
      </c>
      <c r="GB14" s="13">
        <f t="shared" si="49"/>
        <v>10.748614186761438</v>
      </c>
      <c r="GC14" s="20">
        <f t="shared" si="25"/>
        <v>80.231252341942835</v>
      </c>
      <c r="GD14" s="59">
        <f t="shared" si="26"/>
        <v>300.43625720173594</v>
      </c>
      <c r="GE14" s="59">
        <f ca="1">AVERAGE(OFFSET($GD$3,0,0,'Données projet'!$E$17+1,1))-AVERAGE(OFFSET($H$3,0,0,'Données projet'!$E$17+1,1))</f>
        <v>385.41819366740276</v>
      </c>
      <c r="GF14" s="59">
        <f t="shared" si="50"/>
        <v>262.4625391252718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56.389243749640542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3.3000000000000003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12.100000000000001</v>
      </c>
      <c r="H15" s="67">
        <f t="shared" si="1"/>
        <v>208.26666666666665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3.887142857142857</v>
      </c>
      <c r="N15" s="13">
        <f>IF('Données projet'!$A$36&gt;35,N14+M15-V14,IF(A15&lt;'Données projet'!$A$36,$K$205^A15,IF(A15='Données projet'!$A$36,'Données projet'!$B$36,N14+M15-V14)))</f>
        <v>46.64571428571427</v>
      </c>
      <c r="O15" s="13">
        <f>N15*VLOOKUP('Données projet'!$B$9,Paramètres!$A$1:$I$89,3,0)*VLOOKUP('Données projet'!$B$9,Paramètres!$A$1:$I$89,5,0)</f>
        <v>42.205042285714271</v>
      </c>
      <c r="P15" s="13">
        <f t="shared" si="33"/>
        <v>12.581255887241159</v>
      </c>
      <c r="Q15" s="20">
        <f t="shared" si="2"/>
        <v>95.419469317897367</v>
      </c>
      <c r="R15" s="59">
        <f t="shared" si="0"/>
        <v>317.71245577003441</v>
      </c>
      <c r="S15" s="59">
        <f ca="1">AVERAGE(OFFSET($R$3,0,0,'Données projet'!$E$9+1,1))-AVERAGE(OFFSET($H$3,0,0,'Données projet'!$E$9+1,1))</f>
        <v>612.09138396952153</v>
      </c>
      <c r="T15" s="59">
        <f t="shared" si="34"/>
        <v>282.284310393542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47.298754285714274</v>
      </c>
      <c r="AK15" s="13">
        <f t="shared" si="35"/>
        <v>13.913912319856609</v>
      </c>
      <c r="AL15" s="20">
        <f t="shared" si="4"/>
        <v>106.6120610047026</v>
      </c>
      <c r="AM15" s="59">
        <f t="shared" si="5"/>
        <v>328.90504745683961</v>
      </c>
      <c r="AN15" s="59">
        <f ca="1">AVERAGE(OFFSET($AM$3,0,0,'Données projet'!$E$10+1,1))-AVERAGE(OFFSET($H$3,0,0,'Données projet'!$E$10+1,1))</f>
        <v>676.7112666359476</v>
      </c>
      <c r="AO15" s="59">
        <f t="shared" si="36"/>
        <v>309.67876644201385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46.571081142857125</v>
      </c>
      <c r="BF15" s="13">
        <f t="shared" si="37"/>
        <v>13.724598402572438</v>
      </c>
      <c r="BG15" s="20">
        <f t="shared" si="7"/>
        <v>105.01497520828984</v>
      </c>
      <c r="BH15" s="59">
        <f t="shared" si="8"/>
        <v>327.30796166042688</v>
      </c>
      <c r="BI15" s="59">
        <f ca="1">AVERAGE(OFFSET($BH$3,0,0,'Données projet'!$E$11+1,1))-AVERAGE(OFFSET($H$3,0,0,'Données projet'!$E$11+1,1))</f>
        <v>667.4887768032404</v>
      </c>
      <c r="BJ15" s="59">
        <f t="shared" si="38"/>
        <v>305.76944302827178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44.388061714285698</v>
      </c>
      <c r="CA15" s="13">
        <f t="shared" si="39"/>
        <v>13.154564130977278</v>
      </c>
      <c r="CB15" s="20">
        <f t="shared" si="10"/>
        <v>100.22007334716635</v>
      </c>
      <c r="CC15" s="59">
        <f t="shared" si="11"/>
        <v>322.51305979930339</v>
      </c>
      <c r="CD15" s="59">
        <f ca="1">AVERAGE(OFFSET($CC$3,0,0,'Données projet'!$E$12+1,1))-AVERAGE(OFFSET($H$3,0,0,'Données projet'!$E$12+1,1))</f>
        <v>639.80378676828764</v>
      </c>
      <c r="CE15" s="59">
        <f t="shared" si="40"/>
        <v>294.03328334345281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2.4666666666666668</v>
      </c>
      <c r="CT15" s="12">
        <f>IF('Données projet'!$A$140&gt;35,CT14+CS15-DB14,IF(A15&lt;'Données projet'!$A$140,$CQ$205^A15,IF(A15='Données projet'!$A$140,'Données projet'!$B$140,CT14+CS15-DB14)))</f>
        <v>17.970550417308221</v>
      </c>
      <c r="CU15" s="17">
        <f>CT15*VLOOKUP('Données projet'!$B$13,Paramètres!$A$1:$I$89,3,0)*VLOOKUP('Données projet'!$B$13,Paramètres!$A$1:$I$89,5,0)</f>
        <v>15.699072844560465</v>
      </c>
      <c r="CV15" s="13">
        <f t="shared" si="41"/>
        <v>5.250810382962916</v>
      </c>
      <c r="CW15" s="20">
        <f t="shared" si="13"/>
        <v>36.48771328793655</v>
      </c>
      <c r="CX15" s="59">
        <f t="shared" si="14"/>
        <v>258.7806997400736</v>
      </c>
      <c r="CY15" s="59">
        <f ca="1">AVERAGE(OFFSET($CX$3,0,0,'Données projet'!$E$13+1,1))-AVERAGE(OFFSET($H$3,0,0,'Données projet'!$E$13+1,1))</f>
        <v>340.64710509454375</v>
      </c>
      <c r="CZ15" s="59">
        <f t="shared" si="42"/>
        <v>329.6409514360613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3.887142857142857</v>
      </c>
      <c r="DO15" s="12">
        <f>IF('Données projet'!$A$166&gt;35,DO14+DN15-DW14,IF(A15&lt;'Données projet'!$A$166,$DL$205^A15,IF(A15='Données projet'!$A$166,'Données projet'!$B$166,DO14+DN15-DW14)))</f>
        <v>46.64571428571427</v>
      </c>
      <c r="DP15" s="17">
        <f>DO15*VLOOKUP('Données projet'!$B$14,Paramètres!$A$1:$I$89,3,0)*VLOOKUP('Données projet'!$B$14,Paramètres!$A$1:$I$89,5,0)</f>
        <v>45.115734857142847</v>
      </c>
      <c r="DQ15" s="13">
        <f t="shared" si="43"/>
        <v>13.344930526032003</v>
      </c>
      <c r="DR15" s="20">
        <f t="shared" si="16"/>
        <v>101.81899220902953</v>
      </c>
      <c r="DS15" s="59">
        <f t="shared" si="17"/>
        <v>324.11197866116657</v>
      </c>
      <c r="DT15" s="59">
        <f ca="1">AVERAGE(OFFSET($DS$3,0,0,'Données projet'!$E$14+1,1))-AVERAGE(OFFSET($H$3,0,0,'Données projet'!$E$14+1,1))</f>
        <v>649.03508893149228</v>
      </c>
      <c r="DU15" s="59">
        <f t="shared" si="44"/>
        <v>297.94672581383213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3.887142857142857</v>
      </c>
      <c r="EJ15" s="12">
        <f>IF('Données projet'!$A$192&gt;35,EJ14+EI15-ER14,IF(A15&lt;'Données projet'!$A$192,$EG$205^A15,IF(A15='Données projet'!$A$192,'Données projet'!$B$192,EJ14+EI15-ER14)))</f>
        <v>46.64571428571427</v>
      </c>
      <c r="EK15" s="17">
        <f>EJ15*VLOOKUP('Données projet'!$B$15,Paramètres!$A$1:$I$89,3,0)*VLOOKUP('Données projet'!$B$15,Paramètres!$A$1:$I$89,5,0)</f>
        <v>50.209446857142837</v>
      </c>
      <c r="EL15" s="13">
        <f t="shared" si="45"/>
        <v>14.667837061101311</v>
      </c>
      <c r="EM15" s="20">
        <f t="shared" si="19"/>
        <v>112.99460282427522</v>
      </c>
      <c r="EN15" s="59">
        <f t="shared" si="20"/>
        <v>335.28758927641223</v>
      </c>
      <c r="EO15" s="59">
        <f ca="1">AVERAGE(OFFSET($EN$3,0,0,'Données projet'!$E$15+1,1))-AVERAGE(OFFSET($H$3,0,0,'Données projet'!$E$15+1,1))</f>
        <v>713.57333631602273</v>
      </c>
      <c r="EP15" s="59">
        <f t="shared" si="46"/>
        <v>325.30302392555359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2.6666666666666665</v>
      </c>
      <c r="FE15" s="12">
        <f>IF('Données projet'!$A$218&gt;35,FE14+FD15-FM14,IF(A15&lt;'Données projet'!$A$218,$FB$205^A15,IF(A15='Données projet'!$A$218,'Données projet'!$B$218,FE14+FD15-FM14)))</f>
        <v>19.127049995800721</v>
      </c>
      <c r="FF15" s="17">
        <f>FE15*VLOOKUP('Données projet'!$B$16,Paramètres!$A$1:$I$89,3,0)*VLOOKUP('Données projet'!$B$16,Paramètres!$A$1:$I$89,5,0)</f>
        <v>14.919098996724562</v>
      </c>
      <c r="FG15" s="13">
        <f t="shared" si="47"/>
        <v>5.019622097301081</v>
      </c>
      <c r="FH15" s="20">
        <f t="shared" si="22"/>
        <v>34.726605905427995</v>
      </c>
      <c r="FI15" s="59">
        <f t="shared" si="23"/>
        <v>257.01959235756505</v>
      </c>
      <c r="FJ15" s="59">
        <f ca="1">AVERAGE(OFFSET($FI$3,0,0,'Données projet'!$E$16+1,1))-AVERAGE(OFFSET($H$3,0,0,'Données projet'!$E$16+1,1))</f>
        <v>302.04287561738482</v>
      </c>
      <c r="FK15" s="59">
        <f t="shared" si="48"/>
        <v>296.09828774694802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3.8113157894736847</v>
      </c>
      <c r="FZ15" s="12">
        <f>IF('Données projet'!$A$244&gt;35,FZ14+FY15-GH14,IF(A15&lt;'Données projet'!$A$244,$FW$205^A15,IF(A15='Données projet'!$A$244,'Données projet'!$B$244,FZ14+FY15-GH14)))</f>
        <v>45.735789473684207</v>
      </c>
      <c r="GA15" s="17">
        <f>FZ15*VLOOKUP('Données projet'!$B$17,Paramètres!$A$1:$I$89,3,0)*VLOOKUP('Données projet'!$B$17,Paramètres!$A$1:$I$89,5,0)</f>
        <v>38.527829052631581</v>
      </c>
      <c r="GB15" s="13">
        <f t="shared" si="49"/>
        <v>11.607600349597307</v>
      </c>
      <c r="GC15" s="20">
        <f t="shared" si="25"/>
        <v>87.319206208881965</v>
      </c>
      <c r="GD15" s="59">
        <f t="shared" si="26"/>
        <v>309.61219266101898</v>
      </c>
      <c r="GE15" s="59">
        <f ca="1">AVERAGE(OFFSET($GD$3,0,0,'Données projet'!$E$17+1,1))-AVERAGE(OFFSET($H$3,0,0,'Données projet'!$E$17+1,1))</f>
        <v>385.41819366740276</v>
      </c>
      <c r="GF15" s="59">
        <f t="shared" si="50"/>
        <v>262.4625391252718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56.625359941491922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3.3000000000000003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12.100000000000001</v>
      </c>
      <c r="H16" s="67">
        <f t="shared" si="1"/>
        <v>208.26666666666665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3.887142857142857</v>
      </c>
      <c r="N16" s="13">
        <f>IF('Données projet'!$A$36&gt;35,N15+M16-V15,IF(A16&lt;'Données projet'!$A$36,$K$205^A16,IF(A16='Données projet'!$A$36,'Données projet'!$B$36,N15+M16-V15)))</f>
        <v>50.532857142857125</v>
      </c>
      <c r="O16" s="13">
        <f>N16*VLOOKUP('Données projet'!$B$9,Paramètres!$A$1:$I$89,3,0)*VLOOKUP('Données projet'!$B$9,Paramètres!$A$1:$I$89,5,0)</f>
        <v>45.722129142857128</v>
      </c>
      <c r="P16" s="13">
        <f t="shared" si="33"/>
        <v>13.50329614922042</v>
      </c>
      <c r="Q16" s="20">
        <f t="shared" si="2"/>
        <v>103.1509490503684</v>
      </c>
      <c r="R16" s="59">
        <f t="shared" si="0"/>
        <v>327.51689810532577</v>
      </c>
      <c r="S16" s="59">
        <f ca="1">AVERAGE(OFFSET($R$3,0,0,'Données projet'!$E$9+1,1))-AVERAGE(OFFSET($H$3,0,0,'Données projet'!$E$9+1,1))</f>
        <v>612.09138396952153</v>
      </c>
      <c r="T16" s="59">
        <f t="shared" si="34"/>
        <v>282.284310393542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51.240317142857123</v>
      </c>
      <c r="AK16" s="13">
        <f t="shared" si="35"/>
        <v>14.933618736730883</v>
      </c>
      <c r="AL16" s="20">
        <f t="shared" si="4"/>
        <v>115.25293832361577</v>
      </c>
      <c r="AM16" s="59">
        <f t="shared" si="5"/>
        <v>339.61888737857311</v>
      </c>
      <c r="AN16" s="59">
        <f ca="1">AVERAGE(OFFSET($AM$3,0,0,'Données projet'!$E$10+1,1))-AVERAGE(OFFSET($H$3,0,0,'Données projet'!$E$10+1,1))</f>
        <v>676.7112666359476</v>
      </c>
      <c r="AO16" s="59">
        <f t="shared" si="36"/>
        <v>309.67876644201385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50.452004571428553</v>
      </c>
      <c r="BF16" s="13">
        <f t="shared" si="37"/>
        <v>14.730430604070008</v>
      </c>
      <c r="BG16" s="20">
        <f t="shared" si="7"/>
        <v>113.52607459732667</v>
      </c>
      <c r="BH16" s="59">
        <f t="shared" si="8"/>
        <v>337.89202365228402</v>
      </c>
      <c r="BI16" s="59">
        <f ca="1">AVERAGE(OFFSET($BH$3,0,0,'Données projet'!$E$11+1,1))-AVERAGE(OFFSET($H$3,0,0,'Données projet'!$E$11+1,1))</f>
        <v>667.4887768032404</v>
      </c>
      <c r="BJ16" s="59">
        <f t="shared" si="38"/>
        <v>305.76944302827178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48.087066857142844</v>
      </c>
      <c r="CA16" s="13">
        <f t="shared" si="39"/>
        <v>14.118620332222624</v>
      </c>
      <c r="CB16" s="20">
        <f t="shared" si="10"/>
        <v>108.34157185481153</v>
      </c>
      <c r="CC16" s="59">
        <f t="shared" si="11"/>
        <v>332.7075209097689</v>
      </c>
      <c r="CD16" s="59">
        <f ca="1">AVERAGE(OFFSET($CC$3,0,0,'Données projet'!$E$12+1,1))-AVERAGE(OFFSET($H$3,0,0,'Données projet'!$E$12+1,1))</f>
        <v>639.80378676828764</v>
      </c>
      <c r="CE16" s="59">
        <f t="shared" si="40"/>
        <v>294.03328334345281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2.4666666666666668</v>
      </c>
      <c r="CT16" s="12">
        <f>IF('Données projet'!$A$140&gt;35,CT15+CS16-DB15,IF(A16&lt;'Données projet'!$A$140,$CQ$205^A16,IF(A16='Données projet'!$A$140,'Données projet'!$B$140,CT15+CS16-DB15)))</f>
        <v>22.86168101684942</v>
      </c>
      <c r="CU16" s="17">
        <f>CT16*VLOOKUP('Données projet'!$B$13,Paramètres!$A$1:$I$89,3,0)*VLOOKUP('Données projet'!$B$13,Paramètres!$A$1:$I$89,5,0)</f>
        <v>19.971964536319657</v>
      </c>
      <c r="CV16" s="13">
        <f t="shared" si="41"/>
        <v>6.4953696479137237</v>
      </c>
      <c r="CW16" s="20">
        <f t="shared" si="13"/>
        <v>46.097273704206465</v>
      </c>
      <c r="CX16" s="59">
        <f t="shared" si="14"/>
        <v>270.46322275916384</v>
      </c>
      <c r="CY16" s="59">
        <f ca="1">AVERAGE(OFFSET($CX$3,0,0,'Données projet'!$E$13+1,1))-AVERAGE(OFFSET($H$3,0,0,'Données projet'!$E$13+1,1))</f>
        <v>340.64710509454375</v>
      </c>
      <c r="CZ16" s="59">
        <f t="shared" si="42"/>
        <v>329.6409514360613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3.887142857142857</v>
      </c>
      <c r="DO16" s="12">
        <f>IF('Données projet'!$A$166&gt;35,DO15+DN16-DW15,IF(A16&lt;'Données projet'!$A$166,$DL$205^A16,IF(A16='Données projet'!$A$166,'Données projet'!$B$166,DO15+DN16-DW15)))</f>
        <v>50.532857142857125</v>
      </c>
      <c r="DP16" s="17">
        <f>DO16*VLOOKUP('Données projet'!$B$14,Paramètres!$A$1:$I$89,3,0)*VLOOKUP('Données projet'!$B$14,Paramètres!$A$1:$I$89,5,0)</f>
        <v>48.875379428571414</v>
      </c>
      <c r="DQ16" s="13">
        <f t="shared" si="43"/>
        <v>14.322938075405181</v>
      </c>
      <c r="DR16" s="20">
        <f t="shared" si="16"/>
        <v>110.07040298609256</v>
      </c>
      <c r="DS16" s="59">
        <f t="shared" si="17"/>
        <v>334.43635204104993</v>
      </c>
      <c r="DT16" s="59">
        <f ca="1">AVERAGE(OFFSET($DS$3,0,0,'Données projet'!$E$14+1,1))-AVERAGE(OFFSET($H$3,0,0,'Données projet'!$E$14+1,1))</f>
        <v>649.03508893149228</v>
      </c>
      <c r="DU16" s="59">
        <f t="shared" si="44"/>
        <v>297.94672581383213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3.887142857142857</v>
      </c>
      <c r="EJ16" s="12">
        <f>IF('Données projet'!$A$192&gt;35,EJ15+EI16-ER15,IF(A16&lt;'Données projet'!$A$192,$EG$205^A16,IF(A16='Données projet'!$A$192,'Données projet'!$B$192,EJ15+EI16-ER15)))</f>
        <v>50.532857142857125</v>
      </c>
      <c r="EK16" s="17">
        <f>EJ16*VLOOKUP('Données projet'!$B$15,Paramètres!$A$1:$I$89,3,0)*VLOOKUP('Données projet'!$B$15,Paramètres!$A$1:$I$89,5,0)</f>
        <v>54.393567428571409</v>
      </c>
      <c r="EL16" s="13">
        <f t="shared" si="45"/>
        <v>15.742796226362564</v>
      </c>
      <c r="EM16" s="20">
        <f t="shared" si="19"/>
        <v>122.15416669900999</v>
      </c>
      <c r="EN16" s="59">
        <f t="shared" si="20"/>
        <v>346.52011575396733</v>
      </c>
      <c r="EO16" s="59">
        <f ca="1">AVERAGE(OFFSET($EN$3,0,0,'Données projet'!$E$15+1,1))-AVERAGE(OFFSET($H$3,0,0,'Données projet'!$E$15+1,1))</f>
        <v>713.57333631602273</v>
      </c>
      <c r="EP16" s="59">
        <f t="shared" si="46"/>
        <v>325.30302392555359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2.6666666666666665</v>
      </c>
      <c r="FE16" s="12">
        <f>IF('Données projet'!$A$218&gt;35,FE15+FD16-FM15,IF(A16&lt;'Données projet'!$A$218,$FB$205^A16,IF(A16='Données projet'!$A$218,'Données projet'!$B$218,FE15+FD16-FM15)))</f>
        <v>24.459748796430759</v>
      </c>
      <c r="FF16" s="17">
        <f>FE16*VLOOKUP('Données projet'!$B$16,Paramètres!$A$1:$I$89,3,0)*VLOOKUP('Données projet'!$B$16,Paramètres!$A$1:$I$89,5,0)</f>
        <v>19.078604061215994</v>
      </c>
      <c r="FG16" s="13">
        <f t="shared" si="47"/>
        <v>6.2379664748280286</v>
      </c>
      <c r="FH16" s="20">
        <f t="shared" si="22"/>
        <v>44.093027016943331</v>
      </c>
      <c r="FI16" s="59">
        <f t="shared" si="23"/>
        <v>268.45897607190068</v>
      </c>
      <c r="FJ16" s="59">
        <f ca="1">AVERAGE(OFFSET($FI$3,0,0,'Données projet'!$E$16+1,1))-AVERAGE(OFFSET($H$3,0,0,'Données projet'!$E$16+1,1))</f>
        <v>302.04287561738482</v>
      </c>
      <c r="FK16" s="59">
        <f t="shared" si="48"/>
        <v>296.09828774694802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3.8113157894736847</v>
      </c>
      <c r="FZ16" s="12">
        <f>IF('Données projet'!$A$244&gt;35,FZ15+FY16-GH15,IF(A16&lt;'Données projet'!$A$244,$FW$205^A16,IF(A16='Données projet'!$A$244,'Données projet'!$B$244,FZ15+FY16-GH15)))</f>
        <v>49.547105263157889</v>
      </c>
      <c r="GA16" s="17">
        <f>FZ16*VLOOKUP('Données projet'!$B$17,Paramètres!$A$1:$I$89,3,0)*VLOOKUP('Données projet'!$B$17,Paramètres!$A$1:$I$89,5,0)</f>
        <v>41.73848147368421</v>
      </c>
      <c r="GB16" s="13">
        <f t="shared" si="49"/>
        <v>12.458284491404413</v>
      </c>
      <c r="GC16" s="20">
        <f t="shared" si="25"/>
        <v>94.392700722529355</v>
      </c>
      <c r="GD16" s="59">
        <f t="shared" si="26"/>
        <v>318.75864977748671</v>
      </c>
      <c r="GE16" s="59">
        <f ca="1">AVERAGE(OFFSET($GD$3,0,0,'Données projet'!$E$17+1,1))-AVERAGE(OFFSET($H$3,0,0,'Données projet'!$E$17+1,1))</f>
        <v>385.41819366740276</v>
      </c>
      <c r="GF16" s="59">
        <f t="shared" si="50"/>
        <v>262.4625391252718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56.857380045291393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3.3000000000000003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12.100000000000001</v>
      </c>
      <c r="H17" s="67">
        <f t="shared" si="1"/>
        <v>208.26666666666665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3.887142857142857</v>
      </c>
      <c r="N17" s="13">
        <f>IF('Données projet'!$A$36&gt;35,N16+M17-V16,IF(A17&lt;'Données projet'!$A$36,$K$205^A17,IF(A17='Données projet'!$A$36,'Données projet'!$B$36,N16+M17-V16)))</f>
        <v>54.41999999999998</v>
      </c>
      <c r="O17" s="13">
        <f>N17*VLOOKUP('Données projet'!$B$9,Paramètres!$A$1:$I$89,3,0)*VLOOKUP('Données projet'!$B$9,Paramètres!$A$1:$I$89,5,0)</f>
        <v>49.239215999999978</v>
      </c>
      <c r="P17" s="13">
        <f t="shared" si="33"/>
        <v>14.417108895027585</v>
      </c>
      <c r="Q17" s="20">
        <f t="shared" si="2"/>
        <v>110.86809919217301</v>
      </c>
      <c r="R17" s="59">
        <f t="shared" si="0"/>
        <v>337.2922524063178</v>
      </c>
      <c r="S17" s="59">
        <f ca="1">AVERAGE(OFFSET($R$3,0,0,'Données projet'!$E$9+1,1))-AVERAGE(OFFSET($H$3,0,0,'Données projet'!$E$9+1,1))</f>
        <v>612.09138396952153</v>
      </c>
      <c r="T17" s="59">
        <f t="shared" si="34"/>
        <v>282.284310393542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55.181879999999985</v>
      </c>
      <c r="AK17" s="13">
        <f t="shared" si="35"/>
        <v>15.944226146347479</v>
      </c>
      <c r="AL17" s="20">
        <f t="shared" si="4"/>
        <v>123.87796820488852</v>
      </c>
      <c r="AM17" s="59">
        <f t="shared" si="5"/>
        <v>350.30212141903331</v>
      </c>
      <c r="AN17" s="59">
        <f ca="1">AVERAGE(OFFSET($AM$3,0,0,'Données projet'!$E$10+1,1))-AVERAGE(OFFSET($H$3,0,0,'Données projet'!$E$10+1,1))</f>
        <v>676.7112666359476</v>
      </c>
      <c r="AO17" s="59">
        <f t="shared" si="36"/>
        <v>309.67876644201385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54.332927999999981</v>
      </c>
      <c r="BF17" s="13">
        <f t="shared" si="37"/>
        <v>15.727287600204566</v>
      </c>
      <c r="BG17" s="20">
        <f t="shared" si="7"/>
        <v>122.02154217035626</v>
      </c>
      <c r="BH17" s="59">
        <f t="shared" si="8"/>
        <v>348.44569538450105</v>
      </c>
      <c r="BI17" s="59">
        <f ca="1">AVERAGE(OFFSET($BH$3,0,0,'Données projet'!$E$11+1,1))-AVERAGE(OFFSET($H$3,0,0,'Données projet'!$E$11+1,1))</f>
        <v>667.4887768032404</v>
      </c>
      <c r="BJ17" s="59">
        <f t="shared" si="38"/>
        <v>305.76944302827178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51.78607199999999</v>
      </c>
      <c r="CA17" s="13">
        <f t="shared" si="39"/>
        <v>15.07407410219286</v>
      </c>
      <c r="CB17" s="20">
        <f t="shared" si="10"/>
        <v>116.44808779465257</v>
      </c>
      <c r="CC17" s="59">
        <f t="shared" si="11"/>
        <v>342.87224100879735</v>
      </c>
      <c r="CD17" s="59">
        <f ca="1">AVERAGE(OFFSET($CC$3,0,0,'Données projet'!$E$12+1,1))-AVERAGE(OFFSET($H$3,0,0,'Données projet'!$E$12+1,1))</f>
        <v>639.80378676828764</v>
      </c>
      <c r="CE17" s="59">
        <f t="shared" si="40"/>
        <v>294.03328334345281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2.4666666666666668</v>
      </c>
      <c r="CT17" s="12">
        <f>IF('Données projet'!$A$140&gt;35,CT16+CS17-DB16,IF(A17&lt;'Données projet'!$A$140,$CQ$205^A17,IF(A17='Données projet'!$A$140,'Données projet'!$B$140,CT16+CS17-DB16)))</f>
        <v>29.084054009429774</v>
      </c>
      <c r="CU17" s="17">
        <f>CT17*VLOOKUP('Données projet'!$B$13,Paramètres!$A$1:$I$89,3,0)*VLOOKUP('Données projet'!$B$13,Paramètres!$A$1:$I$89,5,0)</f>
        <v>25.407829582637852</v>
      </c>
      <c r="CV17" s="13">
        <f t="shared" si="41"/>
        <v>8.0349172386667025</v>
      </c>
      <c r="CW17" s="20">
        <f t="shared" si="13"/>
        <v>58.246117380438761</v>
      </c>
      <c r="CX17" s="59">
        <f t="shared" si="14"/>
        <v>284.67027059458354</v>
      </c>
      <c r="CY17" s="59">
        <f ca="1">AVERAGE(OFFSET($CX$3,0,0,'Données projet'!$E$13+1,1))-AVERAGE(OFFSET($H$3,0,0,'Données projet'!$E$13+1,1))</f>
        <v>340.64710509454375</v>
      </c>
      <c r="CZ17" s="59">
        <f t="shared" si="42"/>
        <v>329.6409514360613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3.887142857142857</v>
      </c>
      <c r="DO17" s="12">
        <f>IF('Données projet'!$A$166&gt;35,DO16+DN17-DW16,IF(A17&lt;'Données projet'!$A$166,$DL$205^A17,IF(A17='Données projet'!$A$166,'Données projet'!$B$166,DO16+DN17-DW16)))</f>
        <v>54.41999999999998</v>
      </c>
      <c r="DP17" s="17">
        <f>DO17*VLOOKUP('Données projet'!$B$14,Paramètres!$A$1:$I$89,3,0)*VLOOKUP('Données projet'!$B$14,Paramètres!$A$1:$I$89,5,0)</f>
        <v>52.63502399999998</v>
      </c>
      <c r="DQ17" s="13">
        <f t="shared" si="43"/>
        <v>15.292218703340431</v>
      </c>
      <c r="DR17" s="20">
        <f t="shared" si="16"/>
        <v>118.30661437498453</v>
      </c>
      <c r="DS17" s="59">
        <f t="shared" si="17"/>
        <v>344.7307675891293</v>
      </c>
      <c r="DT17" s="59">
        <f ca="1">AVERAGE(OFFSET($DS$3,0,0,'Données projet'!$E$14+1,1))-AVERAGE(OFFSET($H$3,0,0,'Données projet'!$E$14+1,1))</f>
        <v>649.03508893149228</v>
      </c>
      <c r="DU17" s="59">
        <f t="shared" si="44"/>
        <v>297.94672581383213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3.887142857142857</v>
      </c>
      <c r="EJ17" s="12">
        <f>IF('Données projet'!$A$192&gt;35,EJ16+EI17-ER16,IF(A17&lt;'Données projet'!$A$192,$EG$205^A17,IF(A17='Données projet'!$A$192,'Données projet'!$B$192,EJ16+EI17-ER16)))</f>
        <v>54.41999999999998</v>
      </c>
      <c r="EK17" s="17">
        <f>EJ17*VLOOKUP('Données projet'!$B$15,Paramètres!$A$1:$I$89,3,0)*VLOOKUP('Données projet'!$B$15,Paramètres!$A$1:$I$89,5,0)</f>
        <v>58.577687999999974</v>
      </c>
      <c r="EL17" s="13">
        <f t="shared" si="45"/>
        <v>16.808163355048819</v>
      </c>
      <c r="EM17" s="20">
        <f t="shared" si="19"/>
        <v>131.29702444337667</v>
      </c>
      <c r="EN17" s="59">
        <f t="shared" si="20"/>
        <v>357.72117765752148</v>
      </c>
      <c r="EO17" s="59">
        <f ca="1">AVERAGE(OFFSET($EN$3,0,0,'Données projet'!$E$15+1,1))-AVERAGE(OFFSET($H$3,0,0,'Données projet'!$E$15+1,1))</f>
        <v>713.57333631602273</v>
      </c>
      <c r="EP17" s="59">
        <f t="shared" si="46"/>
        <v>325.30302392555359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2.6666666666666665</v>
      </c>
      <c r="FE17" s="12">
        <f>IF('Données projet'!$A$218&gt;35,FE16+FD17-FM16,IF(A17&lt;'Données projet'!$A$218,$FB$205^A17,IF(A17='Données projet'!$A$218,'Données projet'!$B$218,FE16+FD17-FM16)))</f>
        <v>31.279225563578599</v>
      </c>
      <c r="FF17" s="17">
        <f>FE17*VLOOKUP('Données projet'!$B$16,Paramètres!$A$1:$I$89,3,0)*VLOOKUP('Données projet'!$B$16,Paramètres!$A$1:$I$89,5,0)</f>
        <v>24.397795939591308</v>
      </c>
      <c r="FG17" s="13">
        <f t="shared" si="47"/>
        <v>7.75202295846145</v>
      </c>
      <c r="FH17" s="20">
        <f t="shared" si="22"/>
        <v>55.994267914108548</v>
      </c>
      <c r="FI17" s="59">
        <f t="shared" si="23"/>
        <v>282.41842112825333</v>
      </c>
      <c r="FJ17" s="59">
        <f ca="1">AVERAGE(OFFSET($FI$3,0,0,'Données projet'!$E$16+1,1))-AVERAGE(OFFSET($H$3,0,0,'Données projet'!$E$16+1,1))</f>
        <v>302.04287561738482</v>
      </c>
      <c r="FK17" s="59">
        <f t="shared" si="48"/>
        <v>296.09828774694802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3.8113157894736847</v>
      </c>
      <c r="FZ17" s="12">
        <f>IF('Données projet'!$A$244&gt;35,FZ16+FY17-GH16,IF(A17&lt;'Données projet'!$A$244,$FW$205^A17,IF(A17='Données projet'!$A$244,'Données projet'!$B$244,FZ16+FY17-GH16)))</f>
        <v>53.35842105263157</v>
      </c>
      <c r="GA17" s="17">
        <f>FZ17*VLOOKUP('Données projet'!$B$17,Paramètres!$A$1:$I$89,3,0)*VLOOKUP('Données projet'!$B$17,Paramètres!$A$1:$I$89,5,0)</f>
        <v>44.949133894736839</v>
      </c>
      <c r="GB17" s="13">
        <f t="shared" si="49"/>
        <v>13.301377839378887</v>
      </c>
      <c r="GC17" s="20">
        <f t="shared" si="25"/>
        <v>101.45297460358488</v>
      </c>
      <c r="GD17" s="59">
        <f t="shared" si="26"/>
        <v>327.87712781772967</v>
      </c>
      <c r="GE17" s="59">
        <f ca="1">AVERAGE(OFFSET($GD$3,0,0,'Données projet'!$E$17+1,1))-AVERAGE(OFFSET($H$3,0,0,'Données projet'!$E$17+1,1))</f>
        <v>385.41819366740276</v>
      </c>
      <c r="GF17" s="59">
        <f t="shared" si="50"/>
        <v>262.4625391252718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57.085375119009186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3.3000000000000003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12.100000000000001</v>
      </c>
      <c r="H18" s="67">
        <f t="shared" si="1"/>
        <v>208.26666666666665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3.887142857142857</v>
      </c>
      <c r="N18" s="13">
        <f>IF('Données projet'!$A$36&gt;35,N17+M18-V17,IF(A18&lt;'Données projet'!$A$36,$K$205^A18,IF(A18='Données projet'!$A$36,'Données projet'!$B$36,N17+M18-V17)))</f>
        <v>58.307142857142836</v>
      </c>
      <c r="O18" s="13">
        <f>N18*VLOOKUP('Données projet'!$B$9,Paramètres!$A$1:$I$89,3,0)*VLOOKUP('Données projet'!$B$9,Paramètres!$A$1:$I$89,5,0)</f>
        <v>52.756302857142842</v>
      </c>
      <c r="P18" s="13">
        <f t="shared" si="33"/>
        <v>15.323348643415981</v>
      </c>
      <c r="Q18" s="20">
        <f t="shared" si="2"/>
        <v>118.57205969680662</v>
      </c>
      <c r="R18" s="59">
        <f t="shared" si="0"/>
        <v>347.03991465250812</v>
      </c>
      <c r="S18" s="59">
        <f ca="1">AVERAGE(OFFSET($R$3,0,0,'Données projet'!$E$9+1,1))-AVERAGE(OFFSET($H$3,0,0,'Données projet'!$E$9+1,1))</f>
        <v>612.09138396952153</v>
      </c>
      <c r="T18" s="59">
        <f t="shared" si="34"/>
        <v>282.284310393542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59.123442857142841</v>
      </c>
      <c r="AK18" s="13">
        <f t="shared" si="35"/>
        <v>16.946458396677293</v>
      </c>
      <c r="AL18" s="20">
        <f t="shared" si="4"/>
        <v>132.4884113504034</v>
      </c>
      <c r="AM18" s="59">
        <f t="shared" si="5"/>
        <v>360.95626630610491</v>
      </c>
      <c r="AN18" s="59">
        <f ca="1">AVERAGE(OFFSET($AM$3,0,0,'Données projet'!$E$10+1,1))-AVERAGE(OFFSET($H$3,0,0,'Données projet'!$E$10+1,1))</f>
        <v>676.7112666359476</v>
      </c>
      <c r="AO18" s="59">
        <f t="shared" si="36"/>
        <v>309.67876644201385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58.213851428571409</v>
      </c>
      <c r="BF18" s="13">
        <f t="shared" si="37"/>
        <v>16.715883390207715</v>
      </c>
      <c r="BG18" s="20">
        <f t="shared" si="7"/>
        <v>130.5026214760403</v>
      </c>
      <c r="BH18" s="59">
        <f t="shared" si="8"/>
        <v>358.97047643174176</v>
      </c>
      <c r="BI18" s="59">
        <f ca="1">AVERAGE(OFFSET($BH$3,0,0,'Données projet'!$E$11+1,1))-AVERAGE(OFFSET($H$3,0,0,'Données projet'!$E$11+1,1))</f>
        <v>667.4887768032404</v>
      </c>
      <c r="BJ18" s="59">
        <f t="shared" si="38"/>
        <v>305.76944302827178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55.485077142857122</v>
      </c>
      <c r="CA18" s="13">
        <f t="shared" si="39"/>
        <v>16.021609785041925</v>
      </c>
      <c r="CB18" s="20">
        <f t="shared" si="10"/>
        <v>124.54081306609082</v>
      </c>
      <c r="CC18" s="59">
        <f t="shared" si="11"/>
        <v>353.00866802179229</v>
      </c>
      <c r="CD18" s="59">
        <f ca="1">AVERAGE(OFFSET($CC$3,0,0,'Données projet'!$E$12+1,1))-AVERAGE(OFFSET($H$3,0,0,'Données projet'!$E$12+1,1))</f>
        <v>639.80378676828764</v>
      </c>
      <c r="CE18" s="59">
        <f t="shared" si="40"/>
        <v>294.03328334345281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37</v>
      </c>
      <c r="CR18" s="12">
        <f>VLOOKUP(A18,'Données projet'!$A$139:$I$159,9,0)</f>
        <v>2.4666666666666668</v>
      </c>
      <c r="CS18" s="12">
        <f t="array" ref="CS18">INDEX(CR:CR,MIN(IF(ISNUMBER(CR18:CR214),ROW(CR18:CR214),"")))</f>
        <v>2.4666666666666668</v>
      </c>
      <c r="CT18" s="12">
        <f>IF('Données projet'!$A$140&gt;35,CT17+CS18-DB17,IF(A18&lt;'Données projet'!$A$140,$CQ$205^A18,IF(A18='Données projet'!$A$140,'Données projet'!$B$140,CT17+CS18-DB17)))</f>
        <v>37</v>
      </c>
      <c r="CU18" s="17">
        <f>CT18*VLOOKUP('Données projet'!$B$13,Paramètres!$A$1:$I$89,3,0)*VLOOKUP('Données projet'!$B$13,Paramètres!$A$1:$I$89,5,0)</f>
        <v>32.323200000000007</v>
      </c>
      <c r="CV18" s="13">
        <f t="shared" si="41"/>
        <v>9.9393719729191545</v>
      </c>
      <c r="CW18" s="20">
        <f t="shared" si="13"/>
        <v>73.607312852834198</v>
      </c>
      <c r="CX18" s="59">
        <f t="shared" si="14"/>
        <v>302.0751678085357</v>
      </c>
      <c r="CY18" s="59">
        <f ca="1">AVERAGE(OFFSET($CX$3,0,0,'Données projet'!$E$13+1,1))-AVERAGE(OFFSET($H$3,0,0,'Données projet'!$E$13+1,1))</f>
        <v>340.64710509454375</v>
      </c>
      <c r="CZ18" s="59">
        <f t="shared" si="42"/>
        <v>329.6409514360613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3.887142857142857</v>
      </c>
      <c r="DO18" s="12">
        <f>IF('Données projet'!$A$166&gt;35,DO17+DN18-DW17,IF(A18&lt;'Données projet'!$A$166,$DL$205^A18,IF(A18='Données projet'!$A$166,'Données projet'!$B$166,DO17+DN18-DW17)))</f>
        <v>58.307142857142836</v>
      </c>
      <c r="DP18" s="17">
        <f>DO18*VLOOKUP('Données projet'!$B$14,Paramètres!$A$1:$I$89,3,0)*VLOOKUP('Données projet'!$B$14,Paramètres!$A$1:$I$89,5,0)</f>
        <v>56.394668571428546</v>
      </c>
      <c r="DQ18" s="13">
        <f t="shared" si="43"/>
        <v>16.253466657484363</v>
      </c>
      <c r="DR18" s="20">
        <f t="shared" si="16"/>
        <v>126.52883552368996</v>
      </c>
      <c r="DS18" s="59">
        <f t="shared" si="17"/>
        <v>354.99669047939142</v>
      </c>
      <c r="DT18" s="59">
        <f ca="1">AVERAGE(OFFSET($DS$3,0,0,'Données projet'!$E$14+1,1))-AVERAGE(OFFSET($H$3,0,0,'Données projet'!$E$14+1,1))</f>
        <v>649.03508893149228</v>
      </c>
      <c r="DU18" s="59">
        <f t="shared" si="44"/>
        <v>297.94672581383213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3.887142857142857</v>
      </c>
      <c r="EJ18" s="12">
        <f>IF('Données projet'!$A$192&gt;35,EJ17+EI18-ER17,IF(A18&lt;'Données projet'!$A$192,$EG$205^A18,IF(A18='Données projet'!$A$192,'Données projet'!$B$192,EJ17+EI18-ER17)))</f>
        <v>58.307142857142836</v>
      </c>
      <c r="EK18" s="17">
        <f>EJ18*VLOOKUP('Données projet'!$B$15,Paramètres!$A$1:$I$89,3,0)*VLOOKUP('Données projet'!$B$15,Paramètres!$A$1:$I$89,5,0)</f>
        <v>62.761808571428546</v>
      </c>
      <c r="EL18" s="13">
        <f t="shared" si="45"/>
        <v>17.864701516802167</v>
      </c>
      <c r="EM18" s="20">
        <f t="shared" si="19"/>
        <v>140.42450507033516</v>
      </c>
      <c r="EN18" s="59">
        <f t="shared" si="20"/>
        <v>368.89236002603661</v>
      </c>
      <c r="EO18" s="59">
        <f ca="1">AVERAGE(OFFSET($EN$3,0,0,'Données projet'!$E$15+1,1))-AVERAGE(OFFSET($H$3,0,0,'Données projet'!$E$15+1,1))</f>
        <v>713.57333631602273</v>
      </c>
      <c r="EP18" s="59">
        <f t="shared" si="46"/>
        <v>325.30302392555359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40</v>
      </c>
      <c r="FC18" s="12">
        <f>VLOOKUP(A18,'Données projet'!$A$217:$I$237,9,0)</f>
        <v>2.6666666666666665</v>
      </c>
      <c r="FD18" s="12">
        <f t="array" ref="FD18">INDEX(FC:FC,MIN(IF(ISNUMBER(FC18:FC214),ROW(FC18:FC214),"")))</f>
        <v>2.6666666666666665</v>
      </c>
      <c r="FE18" s="12">
        <f>IF('Données projet'!$A$218&gt;35,FE17+FD18-FM17,IF(A18&lt;'Données projet'!$A$218,$FB$205^A18,IF(A18='Données projet'!$A$218,'Données projet'!$B$218,FE17+FD18-FM17)))</f>
        <v>40</v>
      </c>
      <c r="FF18" s="17">
        <f>FE18*VLOOKUP('Données projet'!$B$16,Paramètres!$A$1:$I$89,3,0)*VLOOKUP('Données projet'!$B$16,Paramètres!$A$1:$I$89,5,0)</f>
        <v>31.200000000000003</v>
      </c>
      <c r="FG18" s="13">
        <f t="shared" si="47"/>
        <v>9.6335657126419925</v>
      </c>
      <c r="FH18" s="20">
        <f t="shared" si="22"/>
        <v>71.118460282851473</v>
      </c>
      <c r="FI18" s="59">
        <f t="shared" si="23"/>
        <v>299.58631523855297</v>
      </c>
      <c r="FJ18" s="59">
        <f ca="1">AVERAGE(OFFSET($FI$3,0,0,'Données projet'!$E$16+1,1))-AVERAGE(OFFSET($H$3,0,0,'Données projet'!$E$16+1,1))</f>
        <v>302.04287561738482</v>
      </c>
      <c r="FK18" s="59">
        <f t="shared" si="48"/>
        <v>296.09828774694802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3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0.215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0.55397232565218346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0.55397232565218346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3.8113157894736847</v>
      </c>
      <c r="FZ18" s="12">
        <f>IF('Données projet'!$A$244&gt;35,FZ17+FY18-GH17,IF(A18&lt;'Données projet'!$A$244,$FW$205^A18,IF(A18='Données projet'!$A$244,'Données projet'!$B$244,FZ17+FY18-GH17)))</f>
        <v>57.169736842105252</v>
      </c>
      <c r="GA18" s="17">
        <f>FZ18*VLOOKUP('Données projet'!$B$17,Paramètres!$A$1:$I$89,3,0)*VLOOKUP('Données projet'!$B$17,Paramètres!$A$1:$I$89,5,0)</f>
        <v>48.159786315789468</v>
      </c>
      <c r="GB18" s="13">
        <f t="shared" si="49"/>
        <v>14.1374842594764</v>
      </c>
      <c r="GC18" s="20">
        <f t="shared" si="25"/>
        <v>108.50107958525473</v>
      </c>
      <c r="GD18" s="59">
        <f t="shared" si="26"/>
        <v>336.96893454095618</v>
      </c>
      <c r="GE18" s="59">
        <f ca="1">AVERAGE(OFFSET($GD$3,0,0,'Données projet'!$E$17+1,1))-AVERAGE(OFFSET($H$3,0,0,'Données projet'!$E$17+1,1))</f>
        <v>385.41819366740276</v>
      </c>
      <c r="GF18" s="59">
        <f t="shared" si="50"/>
        <v>262.4625391252718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57.309414987918586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3.3000000000000003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12.100000000000001</v>
      </c>
      <c r="H19" s="67">
        <f t="shared" si="1"/>
        <v>208.26666666666665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3.887142857142857</v>
      </c>
      <c r="N19" s="13">
        <f>IF('Données projet'!$A$36&gt;35,N18+M19-V18,IF(A19&lt;'Données projet'!$A$36,$K$205^A19,IF(A19='Données projet'!$A$36,'Données projet'!$B$36,N18+M19-V18)))</f>
        <v>62.194285714285691</v>
      </c>
      <c r="O19" s="13">
        <f>N19*VLOOKUP('Données projet'!$B$9,Paramètres!$A$1:$I$89,3,0)*VLOOKUP('Données projet'!$B$9,Paramètres!$A$1:$I$89,5,0)</f>
        <v>56.273389714285692</v>
      </c>
      <c r="P19" s="13">
        <f t="shared" si="33"/>
        <v>16.222577706752112</v>
      </c>
      <c r="Q19" s="20">
        <f t="shared" si="2"/>
        <v>126.26380992497417</v>
      </c>
      <c r="R19" s="59">
        <f t="shared" si="0"/>
        <v>356.76111578912503</v>
      </c>
      <c r="S19" s="59">
        <f ca="1">AVERAGE(OFFSET($R$3,0,0,'Données projet'!$E$9+1,1))-AVERAGE(OFFSET($H$3,0,0,'Données projet'!$E$9+1,1))</f>
        <v>612.09138396952153</v>
      </c>
      <c r="T19" s="59">
        <f t="shared" si="34"/>
        <v>282.284310393542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63.065005714285689</v>
      </c>
      <c r="AK19" s="13">
        <f t="shared" si="35"/>
        <v>17.940937362438909</v>
      </c>
      <c r="AL19" s="20">
        <f t="shared" si="4"/>
        <v>141.08535085862869</v>
      </c>
      <c r="AM19" s="59">
        <f t="shared" si="5"/>
        <v>371.58265672277952</v>
      </c>
      <c r="AN19" s="59">
        <f ca="1">AVERAGE(OFFSET($AM$3,0,0,'Données projet'!$E$10+1,1))-AVERAGE(OFFSET($H$3,0,0,'Données projet'!$E$10+1,1))</f>
        <v>676.7112666359476</v>
      </c>
      <c r="AO19" s="59">
        <f t="shared" si="36"/>
        <v>309.67876644201385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62.094774857142838</v>
      </c>
      <c r="BF19" s="13">
        <f t="shared" si="37"/>
        <v>17.6968313875158</v>
      </c>
      <c r="BG19" s="20">
        <f t="shared" si="7"/>
        <v>138.97038087611381</v>
      </c>
      <c r="BH19" s="59">
        <f t="shared" si="8"/>
        <v>369.46768674026464</v>
      </c>
      <c r="BI19" s="59">
        <f ca="1">AVERAGE(OFFSET($BH$3,0,0,'Données projet'!$E$11+1,1))-AVERAGE(OFFSET($H$3,0,0,'Données projet'!$E$11+1,1))</f>
        <v>667.4887768032404</v>
      </c>
      <c r="BJ19" s="59">
        <f t="shared" si="38"/>
        <v>305.76944302827178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59.184082285714261</v>
      </c>
      <c r="CA19" s="13">
        <f t="shared" si="39"/>
        <v>16.961815316835434</v>
      </c>
      <c r="CB19" s="20">
        <f t="shared" si="10"/>
        <v>132.62077165777404</v>
      </c>
      <c r="CC19" s="59">
        <f t="shared" si="11"/>
        <v>363.11807752192487</v>
      </c>
      <c r="CD19" s="59">
        <f ca="1">AVERAGE(OFFSET($CC$3,0,0,'Données projet'!$E$12+1,1))-AVERAGE(OFFSET($H$3,0,0,'Données projet'!$E$12+1,1))</f>
        <v>639.80378676828764</v>
      </c>
      <c r="CE19" s="59">
        <f t="shared" si="40"/>
        <v>294.03328334345281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11.6</v>
      </c>
      <c r="CT19" s="12">
        <f>IF('Données projet'!$A$140&gt;35,CT18+CS19-DB18,IF(A19&lt;'Données projet'!$A$140,$CQ$205^A19,IF(A19='Données projet'!$A$140,'Données projet'!$B$140,CT18+CS19-DB18)))</f>
        <v>33.6</v>
      </c>
      <c r="CU19" s="17">
        <f>CT19*VLOOKUP('Données projet'!$B$13,Paramètres!$A$1:$I$89,3,0)*VLOOKUP('Données projet'!$B$13,Paramètres!$A$1:$I$89,5,0)</f>
        <v>29.352960000000007</v>
      </c>
      <c r="CV19" s="13">
        <f t="shared" si="41"/>
        <v>9.1278666361046881</v>
      </c>
      <c r="CW19" s="20">
        <f t="shared" si="13"/>
        <v>67.020773057882352</v>
      </c>
      <c r="CX19" s="59">
        <f t="shared" si="14"/>
        <v>297.51807892203317</v>
      </c>
      <c r="CY19" s="59">
        <f ca="1">AVERAGE(OFFSET($CX$3,0,0,'Données projet'!$E$13+1,1))-AVERAGE(OFFSET($H$3,0,0,'Données projet'!$E$13+1,1))</f>
        <v>340.64710509454375</v>
      </c>
      <c r="CZ19" s="59">
        <f t="shared" si="42"/>
        <v>329.6409514360613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3.887142857142857</v>
      </c>
      <c r="DO19" s="12">
        <f>IF('Données projet'!$A$166&gt;35,DO18+DN19-DW18,IF(A19&lt;'Données projet'!$A$166,$DL$205^A19,IF(A19='Données projet'!$A$166,'Données projet'!$B$166,DO18+DN19-DW18)))</f>
        <v>62.194285714285691</v>
      </c>
      <c r="DP19" s="17">
        <f>DO19*VLOOKUP('Données projet'!$B$14,Paramètres!$A$1:$I$89,3,0)*VLOOKUP('Données projet'!$B$14,Paramètres!$A$1:$I$89,5,0)</f>
        <v>60.15431314285712</v>
      </c>
      <c r="DQ19" s="13">
        <f t="shared" si="43"/>
        <v>17.207278382224739</v>
      </c>
      <c r="DR19" s="20">
        <f t="shared" si="16"/>
        <v>134.73810523951758</v>
      </c>
      <c r="DS19" s="59">
        <f t="shared" si="17"/>
        <v>365.23541110366841</v>
      </c>
      <c r="DT19" s="59">
        <f ca="1">AVERAGE(OFFSET($DS$3,0,0,'Données projet'!$E$14+1,1))-AVERAGE(OFFSET($H$3,0,0,'Données projet'!$E$14+1,1))</f>
        <v>649.03508893149228</v>
      </c>
      <c r="DU19" s="59">
        <f t="shared" si="44"/>
        <v>297.94672581383213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3.887142857142857</v>
      </c>
      <c r="EJ19" s="12">
        <f>IF('Données projet'!$A$192&gt;35,EJ18+EI19-ER18,IF(A19&lt;'Données projet'!$A$192,$EG$205^A19,IF(A19='Données projet'!$A$192,'Données projet'!$B$192,EJ18+EI19-ER18)))</f>
        <v>62.194285714285691</v>
      </c>
      <c r="EK19" s="17">
        <f>EJ19*VLOOKUP('Données projet'!$B$15,Paramètres!$A$1:$I$89,3,0)*VLOOKUP('Données projet'!$B$15,Paramètres!$A$1:$I$89,5,0)</f>
        <v>66.945929142857111</v>
      </c>
      <c r="EL19" s="13">
        <f t="shared" si="45"/>
        <v>18.913066282596109</v>
      </c>
      <c r="EM19" s="20">
        <f t="shared" si="19"/>
        <v>149.53775036599768</v>
      </c>
      <c r="EN19" s="59">
        <f t="shared" si="20"/>
        <v>380.03505623014848</v>
      </c>
      <c r="EO19" s="59">
        <f ca="1">AVERAGE(OFFSET($EN$3,0,0,'Données projet'!$E$15+1,1))-AVERAGE(OFFSET($H$3,0,0,'Données projet'!$E$15+1,1))</f>
        <v>713.57333631602273</v>
      </c>
      <c r="EP19" s="59">
        <f t="shared" si="46"/>
        <v>325.30302392555359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9.6</v>
      </c>
      <c r="FE19" s="12">
        <f>IF('Données projet'!$A$218&gt;35,FE18+FD19-FM18,IF(A19&lt;'Données projet'!$A$218,$FB$205^A19,IF(A19='Données projet'!$A$218,'Données projet'!$B$218,FE18+FD19-FM18)))</f>
        <v>46.6</v>
      </c>
      <c r="FF19" s="17">
        <f>FE19*VLOOKUP('Données projet'!$B$16,Paramètres!$A$1:$I$89,3,0)*VLOOKUP('Données projet'!$B$16,Paramètres!$A$1:$I$89,5,0)</f>
        <v>36.347999999999999</v>
      </c>
      <c r="FG19" s="13">
        <f t="shared" si="47"/>
        <v>11.025356771848859</v>
      </c>
      <c r="FH19" s="20">
        <f t="shared" si="22"/>
        <v>82.508596377636763</v>
      </c>
      <c r="FI19" s="59">
        <f t="shared" si="23"/>
        <v>313.00590224178757</v>
      </c>
      <c r="FJ19" s="59">
        <f ca="1">AVERAGE(OFFSET($FI$3,0,0,'Données projet'!$E$16+1,1))-AVERAGE(OFFSET($H$3,0,0,'Données projet'!$E$16+1,1))</f>
        <v>302.04287561738482</v>
      </c>
      <c r="FK19" s="59">
        <f t="shared" si="48"/>
        <v>296.09828774694802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0.53882392327508599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0.53882392327508599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3.8113157894736847</v>
      </c>
      <c r="FZ19" s="12">
        <f>IF('Données projet'!$A$244&gt;35,FZ18+FY19-GH18,IF(A19&lt;'Données projet'!$A$244,$FW$205^A19,IF(A19='Données projet'!$A$244,'Données projet'!$B$244,FZ18+FY19-GH18)))</f>
        <v>60.981052631578933</v>
      </c>
      <c r="GA19" s="17">
        <f>FZ19*VLOOKUP('Données projet'!$B$17,Paramètres!$A$1:$I$89,3,0)*VLOOKUP('Données projet'!$B$17,Paramètres!$A$1:$I$89,5,0)</f>
        <v>51.370438736842104</v>
      </c>
      <c r="GB19" s="13">
        <f t="shared" si="49"/>
        <v>14.967122547060546</v>
      </c>
      <c r="GC19" s="20">
        <f t="shared" si="25"/>
        <v>115.53791923613043</v>
      </c>
      <c r="GD19" s="59">
        <f t="shared" si="26"/>
        <v>346.03522510028125</v>
      </c>
      <c r="GE19" s="59">
        <f ca="1">AVERAGE(OFFSET($GD$3,0,0,'Données projet'!$E$17+1,1))-AVERAGE(OFFSET($H$3,0,0,'Données projet'!$E$17+1,1))</f>
        <v>385.41819366740276</v>
      </c>
      <c r="GF19" s="59">
        <f t="shared" si="50"/>
        <v>262.4625391252718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57.529568265980529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3.3000000000000003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12.100000000000001</v>
      </c>
      <c r="H20" s="67">
        <f t="shared" si="1"/>
        <v>208.26666666666665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3.887142857142857</v>
      </c>
      <c r="N20" s="13">
        <f>IF('Données projet'!$A$36&gt;35,N19+M20-V19,IF(A20&lt;'Données projet'!$A$36,$K$205^A20,IF(A20='Données projet'!$A$36,'Données projet'!$B$36,N19+M20-V19)))</f>
        <v>66.081428571428546</v>
      </c>
      <c r="O20" s="13">
        <f>N20*VLOOKUP('Données projet'!$B$9,Paramètres!$A$1:$I$89,3,0)*VLOOKUP('Données projet'!$B$9,Paramètres!$A$1:$I$89,5,0)</f>
        <v>59.790476571428549</v>
      </c>
      <c r="P20" s="13">
        <f t="shared" si="33"/>
        <v>17.115284135607041</v>
      </c>
      <c r="Q20" s="20">
        <f t="shared" si="2"/>
        <v>133.94419989808699</v>
      </c>
      <c r="R20" s="59">
        <f t="shared" si="0"/>
        <v>366.45695305767413</v>
      </c>
      <c r="S20" s="59">
        <f ca="1">AVERAGE(OFFSET($R$3,0,0,'Données projet'!$E$9+1,1))-AVERAGE(OFFSET($H$3,0,0,'Données projet'!$E$9+1,1))</f>
        <v>612.09138396952153</v>
      </c>
      <c r="T20" s="59">
        <f t="shared" si="34"/>
        <v>282.284310393542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67.006568571428559</v>
      </c>
      <c r="AK20" s="13">
        <f t="shared" si="35"/>
        <v>18.928202790452044</v>
      </c>
      <c r="AL20" s="20">
        <f t="shared" si="4"/>
        <v>149.66972678860873</v>
      </c>
      <c r="AM20" s="59">
        <f t="shared" si="5"/>
        <v>382.18247994819592</v>
      </c>
      <c r="AN20" s="59">
        <f ca="1">AVERAGE(OFFSET($AM$3,0,0,'Données projet'!$E$10+1,1))-AVERAGE(OFFSET($H$3,0,0,'Données projet'!$E$10+1,1))</f>
        <v>676.7112666359476</v>
      </c>
      <c r="AO20" s="59">
        <f t="shared" si="36"/>
        <v>309.67876644201385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65.975698285714259</v>
      </c>
      <c r="BF20" s="13">
        <f t="shared" si="37"/>
        <v>18.670663995105762</v>
      </c>
      <c r="BG20" s="20">
        <f t="shared" si="7"/>
        <v>147.42574763909488</v>
      </c>
      <c r="BH20" s="59">
        <f t="shared" si="8"/>
        <v>379.93850079868207</v>
      </c>
      <c r="BI20" s="59">
        <f ca="1">AVERAGE(OFFSET($BH$3,0,0,'Données projet'!$E$11+1,1))-AVERAGE(OFFSET($H$3,0,0,'Données projet'!$E$11+1,1))</f>
        <v>667.4887768032404</v>
      </c>
      <c r="BJ20" s="59">
        <f t="shared" si="38"/>
        <v>305.76944302827178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62.883087428571407</v>
      </c>
      <c r="CA20" s="13">
        <f t="shared" si="39"/>
        <v>17.895200987849151</v>
      </c>
      <c r="CB20" s="20">
        <f t="shared" si="10"/>
        <v>140.6888523252658</v>
      </c>
      <c r="CC20" s="59">
        <f t="shared" si="11"/>
        <v>373.20160548485296</v>
      </c>
      <c r="CD20" s="59">
        <f ca="1">AVERAGE(OFFSET($CC$3,0,0,'Données projet'!$E$12+1,1))-AVERAGE(OFFSET($H$3,0,0,'Données projet'!$E$12+1,1))</f>
        <v>639.80378676828764</v>
      </c>
      <c r="CE20" s="59">
        <f t="shared" si="40"/>
        <v>294.03328334345281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11.6</v>
      </c>
      <c r="CT20" s="12">
        <f>IF('Données projet'!$A$140&gt;35,CT19+CS20-DB19,IF(A20&lt;'Données projet'!$A$140,$CQ$205^A20,IF(A20='Données projet'!$A$140,'Données projet'!$B$140,CT19+CS20-DB19)))</f>
        <v>45.2</v>
      </c>
      <c r="CU20" s="17">
        <f>CT20*VLOOKUP('Données projet'!$B$13,Paramètres!$A$1:$I$89,3,0)*VLOOKUP('Données projet'!$B$13,Paramètres!$A$1:$I$89,5,0)</f>
        <v>39.486720000000005</v>
      </c>
      <c r="CV20" s="13">
        <f t="shared" si="41"/>
        <v>11.862499896265861</v>
      </c>
      <c r="CW20" s="20">
        <f t="shared" si="13"/>
        <v>89.433224652663043</v>
      </c>
      <c r="CX20" s="59">
        <f t="shared" si="14"/>
        <v>321.94597781225019</v>
      </c>
      <c r="CY20" s="59">
        <f ca="1">AVERAGE(OFFSET($CX$3,0,0,'Données projet'!$E$13+1,1))-AVERAGE(OFFSET($H$3,0,0,'Données projet'!$E$13+1,1))</f>
        <v>340.64710509454375</v>
      </c>
      <c r="CZ20" s="59">
        <f t="shared" si="42"/>
        <v>329.6409514360613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3.887142857142857</v>
      </c>
      <c r="DO20" s="12">
        <f>IF('Données projet'!$A$166&gt;35,DO19+DN20-DW19,IF(A20&lt;'Données projet'!$A$166,$DL$205^A20,IF(A20='Données projet'!$A$166,'Données projet'!$B$166,DO19+DN20-DW19)))</f>
        <v>66.081428571428546</v>
      </c>
      <c r="DP20" s="17">
        <f>DO20*VLOOKUP('Données projet'!$B$14,Paramètres!$A$1:$I$89,3,0)*VLOOKUP('Données projet'!$B$14,Paramètres!$A$1:$I$89,5,0)</f>
        <v>63.913957714285694</v>
      </c>
      <c r="DQ20" s="13">
        <f t="shared" si="43"/>
        <v>18.154171552507719</v>
      </c>
      <c r="DR20" s="20">
        <f t="shared" si="16"/>
        <v>142.9353251396652</v>
      </c>
      <c r="DS20" s="59">
        <f t="shared" si="17"/>
        <v>375.44807829925236</v>
      </c>
      <c r="DT20" s="59">
        <f ca="1">AVERAGE(OFFSET($DS$3,0,0,'Données projet'!$E$14+1,1))-AVERAGE(OFFSET($H$3,0,0,'Données projet'!$E$14+1,1))</f>
        <v>649.03508893149228</v>
      </c>
      <c r="DU20" s="59">
        <f t="shared" si="44"/>
        <v>297.94672581383213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3.887142857142857</v>
      </c>
      <c r="EJ20" s="12">
        <f>IF('Données projet'!$A$192&gt;35,EJ19+EI20-ER19,IF(A20&lt;'Données projet'!$A$192,$EG$205^A20,IF(A20='Données projet'!$A$192,'Données projet'!$B$192,EJ19+EI20-ER19)))</f>
        <v>66.081428571428546</v>
      </c>
      <c r="EK20" s="17">
        <f>EJ20*VLOOKUP('Données projet'!$B$15,Paramètres!$A$1:$I$89,3,0)*VLOOKUP('Données projet'!$B$15,Paramètres!$A$1:$I$89,5,0)</f>
        <v>71.13004971428569</v>
      </c>
      <c r="EL20" s="13">
        <f t="shared" si="45"/>
        <v>19.953826645408597</v>
      </c>
      <c r="EM20" s="20">
        <f t="shared" si="19"/>
        <v>158.63775132646754</v>
      </c>
      <c r="EN20" s="59">
        <f t="shared" si="20"/>
        <v>391.15050448605473</v>
      </c>
      <c r="EO20" s="59">
        <f ca="1">AVERAGE(OFFSET($EN$3,0,0,'Données projet'!$E$15+1,1))-AVERAGE(OFFSET($H$3,0,0,'Données projet'!$E$15+1,1))</f>
        <v>713.57333631602273</v>
      </c>
      <c r="EP20" s="59">
        <f t="shared" si="46"/>
        <v>325.30302392555359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9.6</v>
      </c>
      <c r="FE20" s="12">
        <f>IF('Données projet'!$A$218&gt;35,FE19+FD20-FM19,IF(A20&lt;'Données projet'!$A$218,$FB$205^A20,IF(A20='Données projet'!$A$218,'Données projet'!$B$218,FE19+FD20-FM19)))</f>
        <v>56.2</v>
      </c>
      <c r="FF20" s="17">
        <f>FE20*VLOOKUP('Données projet'!$B$16,Paramètres!$A$1:$I$89,3,0)*VLOOKUP('Données projet'!$B$16,Paramètres!$A$1:$I$89,5,0)</f>
        <v>43.836000000000006</v>
      </c>
      <c r="FG20" s="13">
        <f t="shared" si="47"/>
        <v>13.009897179721728</v>
      </c>
      <c r="FH20" s="20">
        <f t="shared" si="22"/>
        <v>99.006604254682017</v>
      </c>
      <c r="FI20" s="59">
        <f t="shared" si="23"/>
        <v>331.51935741426917</v>
      </c>
      <c r="FJ20" s="59">
        <f ca="1">AVERAGE(OFFSET($FI$3,0,0,'Données projet'!$E$16+1,1))-AVERAGE(OFFSET($H$3,0,0,'Données projet'!$E$16+1,1))</f>
        <v>302.04287561738482</v>
      </c>
      <c r="FK20" s="59">
        <f t="shared" si="48"/>
        <v>296.09828774694802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0.5240897547576101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0.5240897547576101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3.8113157894736847</v>
      </c>
      <c r="FZ20" s="12">
        <f>IF('Données projet'!$A$244&gt;35,FZ19+FY20-GH19,IF(A20&lt;'Données projet'!$A$244,$FW$205^A20,IF(A20='Données projet'!$A$244,'Données projet'!$B$244,FZ19+FY20-GH19)))</f>
        <v>64.792368421052615</v>
      </c>
      <c r="GA20" s="17">
        <f>FZ20*VLOOKUP('Données projet'!$B$17,Paramètres!$A$1:$I$89,3,0)*VLOOKUP('Données projet'!$B$17,Paramètres!$A$1:$I$89,5,0)</f>
        <v>54.581091157894733</v>
      </c>
      <c r="GB20" s="13">
        <f t="shared" si="49"/>
        <v>15.790742982773375</v>
      </c>
      <c r="GC20" s="20">
        <f t="shared" si="25"/>
        <v>122.56427779499695</v>
      </c>
      <c r="GD20" s="59">
        <f t="shared" si="26"/>
        <v>355.07703095458413</v>
      </c>
      <c r="GE20" s="59">
        <f ca="1">AVERAGE(OFFSET($GD$3,0,0,'Données projet'!$E$17+1,1))-AVERAGE(OFFSET($H$3,0,0,'Données projet'!$E$17+1,1))</f>
        <v>385.41819366740276</v>
      </c>
      <c r="GF20" s="59">
        <f t="shared" si="50"/>
        <v>262.4625391252718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57.745902376857103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3.3000000000000003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12.100000000000001</v>
      </c>
      <c r="H21" s="67">
        <f t="shared" si="1"/>
        <v>208.26666666666665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3.887142857142857</v>
      </c>
      <c r="N21" s="13">
        <f>IF('Données projet'!$A$36&gt;35,N20+M21-V20,IF(A21&lt;'Données projet'!$A$36,$K$205^A21,IF(A21='Données projet'!$A$36,'Données projet'!$B$36,N20+M21-V20)))</f>
        <v>69.968571428571408</v>
      </c>
      <c r="O21" s="13">
        <f>N21*VLOOKUP('Données projet'!$B$9,Paramètres!$A$1:$I$89,3,0)*VLOOKUP('Données projet'!$B$9,Paramètres!$A$1:$I$89,5,0)</f>
        <v>63.307563428571406</v>
      </c>
      <c r="P21" s="13">
        <f t="shared" si="33"/>
        <v>18.001895319269028</v>
      </c>
      <c r="Q21" s="20">
        <f t="shared" si="2"/>
        <v>141.61397398582207</v>
      </c>
      <c r="R21" s="59">
        <f t="shared" si="0"/>
        <v>376.12841375921079</v>
      </c>
      <c r="S21" s="59">
        <f ca="1">AVERAGE(OFFSET($R$3,0,0,'Données projet'!$E$9+1,1))-AVERAGE(OFFSET($H$3,0,0,'Données projet'!$E$9+1,1))</f>
        <v>612.09138396952153</v>
      </c>
      <c r="T21" s="59">
        <f t="shared" si="34"/>
        <v>282.284310393542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70.948131428571415</v>
      </c>
      <c r="AK21" s="13">
        <f t="shared" si="35"/>
        <v>19.908727340770373</v>
      </c>
      <c r="AL21" s="20">
        <f t="shared" si="4"/>
        <v>158.24236235660359</v>
      </c>
      <c r="AM21" s="59">
        <f t="shared" si="5"/>
        <v>392.75680212999231</v>
      </c>
      <c r="AN21" s="59">
        <f ca="1">AVERAGE(OFFSET($AM$3,0,0,'Données projet'!$E$10+1,1))-AVERAGE(OFFSET($H$3,0,0,'Données projet'!$E$10+1,1))</f>
        <v>676.7112666359476</v>
      </c>
      <c r="AO21" s="59">
        <f t="shared" si="36"/>
        <v>309.67876644201385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69.856621714285708</v>
      </c>
      <c r="BF21" s="13">
        <f t="shared" si="37"/>
        <v>19.637847441976927</v>
      </c>
      <c r="BG21" s="20">
        <f t="shared" si="7"/>
        <v>155.86953378049074</v>
      </c>
      <c r="BH21" s="59">
        <f t="shared" si="8"/>
        <v>390.38397355387946</v>
      </c>
      <c r="BI21" s="59">
        <f ca="1">AVERAGE(OFFSET($BH$3,0,0,'Données projet'!$E$11+1,1))-AVERAGE(OFFSET($H$3,0,0,'Données projet'!$E$11+1,1))</f>
        <v>667.4887768032404</v>
      </c>
      <c r="BJ21" s="59">
        <f t="shared" si="38"/>
        <v>305.76944302827178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66.582092571428547</v>
      </c>
      <c r="CA21" s="13">
        <f t="shared" si="39"/>
        <v>18.822213662835811</v>
      </c>
      <c r="CB21" s="20">
        <f t="shared" si="10"/>
        <v>148.7458333580104</v>
      </c>
      <c r="CC21" s="59">
        <f t="shared" si="11"/>
        <v>383.26027313139912</v>
      </c>
      <c r="CD21" s="59">
        <f ca="1">AVERAGE(OFFSET($CC$3,0,0,'Données projet'!$E$12+1,1))-AVERAGE(OFFSET($H$3,0,0,'Données projet'!$E$12+1,1))</f>
        <v>639.80378676828764</v>
      </c>
      <c r="CE21" s="59">
        <f t="shared" si="40"/>
        <v>294.03328334345281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11.6</v>
      </c>
      <c r="CT21" s="12">
        <f>IF('Données projet'!$A$140&gt;35,CT20+CS21-DB20,IF(A21&lt;'Données projet'!$A$140,$CQ$205^A21,IF(A21='Données projet'!$A$140,'Données projet'!$B$140,CT20+CS21-DB20)))</f>
        <v>56.800000000000004</v>
      </c>
      <c r="CU21" s="17">
        <f>CT21*VLOOKUP('Données projet'!$B$13,Paramètres!$A$1:$I$89,3,0)*VLOOKUP('Données projet'!$B$13,Paramètres!$A$1:$I$89,5,0)</f>
        <v>49.620480000000015</v>
      </c>
      <c r="CV21" s="13">
        <f t="shared" si="41"/>
        <v>14.515703547444382</v>
      </c>
      <c r="CW21" s="20">
        <f t="shared" si="13"/>
        <v>111.70385301179901</v>
      </c>
      <c r="CX21" s="59">
        <f t="shared" si="14"/>
        <v>346.21829278518771</v>
      </c>
      <c r="CY21" s="59">
        <f ca="1">AVERAGE(OFFSET($CX$3,0,0,'Données projet'!$E$13+1,1))-AVERAGE(OFFSET($H$3,0,0,'Données projet'!$E$13+1,1))</f>
        <v>340.64710509454375</v>
      </c>
      <c r="CZ21" s="59">
        <f t="shared" si="42"/>
        <v>329.6409514360613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3.887142857142857</v>
      </c>
      <c r="DO21" s="12">
        <f>IF('Données projet'!$A$166&gt;35,DO20+DN21-DW20,IF(A21&lt;'Données projet'!$A$166,$DL$205^A21,IF(A21='Données projet'!$A$166,'Données projet'!$B$166,DO20+DN21-DW20)))</f>
        <v>69.968571428571408</v>
      </c>
      <c r="DP21" s="17">
        <f>DO21*VLOOKUP('Données projet'!$B$14,Paramètres!$A$1:$I$89,3,0)*VLOOKUP('Données projet'!$B$14,Paramètres!$A$1:$I$89,5,0)</f>
        <v>67.673602285714267</v>
      </c>
      <c r="DQ21" s="13">
        <f t="shared" si="43"/>
        <v>19.094599499893381</v>
      </c>
      <c r="DR21" s="20">
        <f t="shared" si="16"/>
        <v>151.12128477659996</v>
      </c>
      <c r="DS21" s="59">
        <f t="shared" si="17"/>
        <v>385.63572454998871</v>
      </c>
      <c r="DT21" s="59">
        <f ca="1">AVERAGE(OFFSET($DS$3,0,0,'Données projet'!$E$14+1,1))-AVERAGE(OFFSET($H$3,0,0,'Données projet'!$E$14+1,1))</f>
        <v>649.03508893149228</v>
      </c>
      <c r="DU21" s="59">
        <f t="shared" si="44"/>
        <v>297.94672581383213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3.887142857142857</v>
      </c>
      <c r="EJ21" s="12">
        <f>IF('Données projet'!$A$192&gt;35,EJ20+EI21-ER20,IF(A21&lt;'Données projet'!$A$192,$EG$205^A21,IF(A21='Données projet'!$A$192,'Données projet'!$B$192,EJ20+EI21-ER20)))</f>
        <v>69.968571428571408</v>
      </c>
      <c r="EK21" s="17">
        <f>EJ21*VLOOKUP('Données projet'!$B$15,Paramètres!$A$1:$I$89,3,0)*VLOOKUP('Données projet'!$B$15,Paramètres!$A$1:$I$89,5,0)</f>
        <v>75.314170285714255</v>
      </c>
      <c r="EL21" s="13">
        <f t="shared" si="45"/>
        <v>20.987480876358003</v>
      </c>
      <c r="EM21" s="20">
        <f t="shared" si="19"/>
        <v>167.72537577394252</v>
      </c>
      <c r="EN21" s="59">
        <f t="shared" si="20"/>
        <v>402.2398155473312</v>
      </c>
      <c r="EO21" s="59">
        <f ca="1">AVERAGE(OFFSET($EN$3,0,0,'Données projet'!$E$15+1,1))-AVERAGE(OFFSET($H$3,0,0,'Données projet'!$E$15+1,1))</f>
        <v>713.57333631602273</v>
      </c>
      <c r="EP21" s="59">
        <f t="shared" si="46"/>
        <v>325.30302392555359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9.6</v>
      </c>
      <c r="FE21" s="12">
        <f>IF('Données projet'!$A$218&gt;35,FE20+FD21-FM20,IF(A21&lt;'Données projet'!$A$218,$FB$205^A21,IF(A21='Données projet'!$A$218,'Données projet'!$B$218,FE20+FD21-FM20)))</f>
        <v>65.8</v>
      </c>
      <c r="FF21" s="17">
        <f>FE21*VLOOKUP('Données projet'!$B$16,Paramètres!$A$1:$I$89,3,0)*VLOOKUP('Données projet'!$B$16,Paramètres!$A$1:$I$89,5,0)</f>
        <v>51.323999999999998</v>
      </c>
      <c r="FG21" s="13">
        <f t="shared" si="47"/>
        <v>14.95516659950003</v>
      </c>
      <c r="FH21" s="20">
        <f t="shared" si="22"/>
        <v>115.43621516079588</v>
      </c>
      <c r="FI21" s="59">
        <f t="shared" si="23"/>
        <v>349.95065493418463</v>
      </c>
      <c r="FJ21" s="59">
        <f ca="1">AVERAGE(OFFSET($FI$3,0,0,'Données projet'!$E$16+1,1))-AVERAGE(OFFSET($H$3,0,0,'Données projet'!$E$16+1,1))</f>
        <v>302.04287561738482</v>
      </c>
      <c r="FK21" s="59">
        <f t="shared" si="48"/>
        <v>296.09828774694802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0.50975849285308084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0.50975849285308084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3.8113157894736847</v>
      </c>
      <c r="FZ21" s="12">
        <f>IF('Données projet'!$A$244&gt;35,FZ20+FY21-GH20,IF(A21&lt;'Données projet'!$A$244,$FW$205^A21,IF(A21='Données projet'!$A$244,'Données projet'!$B$244,FZ20+FY21-GH20)))</f>
        <v>68.603684210526296</v>
      </c>
      <c r="GA21" s="17">
        <f>FZ21*VLOOKUP('Données projet'!$B$17,Paramètres!$A$1:$I$89,3,0)*VLOOKUP('Données projet'!$B$17,Paramètres!$A$1:$I$89,5,0)</f>
        <v>57.791743578947354</v>
      </c>
      <c r="GB21" s="13">
        <f t="shared" si="49"/>
        <v>16.608739880512992</v>
      </c>
      <c r="GC21" s="20">
        <f t="shared" si="25"/>
        <v>129.58084202522676</v>
      </c>
      <c r="GD21" s="59">
        <f t="shared" si="26"/>
        <v>364.09528179861547</v>
      </c>
      <c r="GE21" s="59">
        <f ca="1">AVERAGE(OFFSET($GD$3,0,0,'Données projet'!$E$17+1,1))-AVERAGE(OFFSET($H$3,0,0,'Données projet'!$E$17+1,1))</f>
        <v>385.41819366740276</v>
      </c>
      <c r="GF21" s="59">
        <f t="shared" si="50"/>
        <v>262.4625391252718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57.95848357456056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3.3000000000000003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12.100000000000001</v>
      </c>
      <c r="H22" s="67">
        <f t="shared" si="1"/>
        <v>208.26666666666665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3.887142857142857</v>
      </c>
      <c r="N22" s="13">
        <f>IF('Données projet'!$A$36&gt;35,N21+M22-V21,IF(A22&lt;'Données projet'!$A$36,$K$205^A22,IF(A22='Données projet'!$A$36,'Données projet'!$B$36,N21+M22-V21)))</f>
        <v>73.855714285714271</v>
      </c>
      <c r="O22" s="13">
        <f>N22*VLOOKUP('Données projet'!$B$9,Paramètres!$A$1:$I$89,3,0)*VLOOKUP('Données projet'!$B$9,Paramètres!$A$1:$I$89,5,0)</f>
        <v>66.82465028571427</v>
      </c>
      <c r="P22" s="13">
        <f t="shared" si="33"/>
        <v>18.882788477272459</v>
      </c>
      <c r="Q22" s="20">
        <f t="shared" si="2"/>
        <v>149.27378917886855</v>
      </c>
      <c r="R22" s="59">
        <f t="shared" si="0"/>
        <v>385.77639360148635</v>
      </c>
      <c r="S22" s="59">
        <f ca="1">AVERAGE(OFFSET($R$3,0,0,'Données projet'!$E$9+1,1))-AVERAGE(OFFSET($H$3,0,0,'Données projet'!$E$9+1,1))</f>
        <v>612.09138396952153</v>
      </c>
      <c r="T22" s="59">
        <f t="shared" si="34"/>
        <v>282.284310393542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74.889694285714285</v>
      </c>
      <c r="AK22" s="13">
        <f t="shared" si="35"/>
        <v>20.882928189514811</v>
      </c>
      <c r="AL22" s="20">
        <f t="shared" si="4"/>
        <v>166.80398414435732</v>
      </c>
      <c r="AM22" s="59">
        <f t="shared" si="5"/>
        <v>403.30658856697505</v>
      </c>
      <c r="AN22" s="59">
        <f ca="1">AVERAGE(OFFSET($AM$3,0,0,'Données projet'!$E$10+1,1))-AVERAGE(OFFSET($H$3,0,0,'Données projet'!$E$10+1,1))</f>
        <v>676.7112666359476</v>
      </c>
      <c r="AO22" s="59">
        <f t="shared" si="36"/>
        <v>309.67876644201385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73.73754514285713</v>
      </c>
      <c r="BF22" s="13">
        <f t="shared" si="37"/>
        <v>20.598793228115131</v>
      </c>
      <c r="BG22" s="20">
        <f t="shared" si="7"/>
        <v>164.30245599611001</v>
      </c>
      <c r="BH22" s="59">
        <f t="shared" si="8"/>
        <v>400.80506041872775</v>
      </c>
      <c r="BI22" s="59">
        <f ca="1">AVERAGE(OFFSET($BH$3,0,0,'Données projet'!$E$11+1,1))-AVERAGE(OFFSET($H$3,0,0,'Données projet'!$E$11+1,1))</f>
        <v>667.4887768032404</v>
      </c>
      <c r="BJ22" s="59">
        <f t="shared" si="38"/>
        <v>305.76944302827178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70.281097714285707</v>
      </c>
      <c r="CA22" s="13">
        <f t="shared" si="39"/>
        <v>19.743247750636755</v>
      </c>
      <c r="CB22" s="20">
        <f t="shared" si="10"/>
        <v>156.79240168473996</v>
      </c>
      <c r="CC22" s="59">
        <f t="shared" si="11"/>
        <v>393.29500610735772</v>
      </c>
      <c r="CD22" s="59">
        <f ca="1">AVERAGE(OFFSET($CC$3,0,0,'Données projet'!$E$12+1,1))-AVERAGE(OFFSET($H$3,0,0,'Données projet'!$E$12+1,1))</f>
        <v>639.80378676828764</v>
      </c>
      <c r="CE22" s="59">
        <f t="shared" si="40"/>
        <v>294.03328334345281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11.6</v>
      </c>
      <c r="CT22" s="12">
        <f>IF('Données projet'!$A$140&gt;35,CT21+CS22-DB21,IF(A22&lt;'Données projet'!$A$140,$CQ$205^A22,IF(A22='Données projet'!$A$140,'Données projet'!$B$140,CT21+CS22-DB21)))</f>
        <v>68.400000000000006</v>
      </c>
      <c r="CU22" s="17">
        <f>CT22*VLOOKUP('Données projet'!$B$13,Paramètres!$A$1:$I$89,3,0)*VLOOKUP('Données projet'!$B$13,Paramètres!$A$1:$I$89,5,0)</f>
        <v>59.754240000000017</v>
      </c>
      <c r="CV22" s="13">
        <f t="shared" si="41"/>
        <v>17.106118338764027</v>
      </c>
      <c r="CW22" s="20">
        <f t="shared" si="13"/>
        <v>133.8651241066807</v>
      </c>
      <c r="CX22" s="59">
        <f t="shared" si="14"/>
        <v>370.36772852929846</v>
      </c>
      <c r="CY22" s="59">
        <f ca="1">AVERAGE(OFFSET($CX$3,0,0,'Données projet'!$E$13+1,1))-AVERAGE(OFFSET($H$3,0,0,'Données projet'!$E$13+1,1))</f>
        <v>340.64710509454375</v>
      </c>
      <c r="CZ22" s="59">
        <f t="shared" si="42"/>
        <v>329.6409514360613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3.887142857142857</v>
      </c>
      <c r="DO22" s="12">
        <f>IF('Données projet'!$A$166&gt;35,DO21+DN22-DW21,IF(A22&lt;'Données projet'!$A$166,$DL$205^A22,IF(A22='Données projet'!$A$166,'Données projet'!$B$166,DO21+DN22-DW21)))</f>
        <v>73.855714285714271</v>
      </c>
      <c r="DP22" s="17">
        <f>DO22*VLOOKUP('Données projet'!$B$14,Paramètres!$A$1:$I$89,3,0)*VLOOKUP('Données projet'!$B$14,Paramètres!$A$1:$I$89,5,0)</f>
        <v>71.433246857142848</v>
      </c>
      <c r="DQ22" s="13">
        <f t="shared" si="43"/>
        <v>20.02896234091423</v>
      </c>
      <c r="DR22" s="20">
        <f t="shared" si="16"/>
        <v>159.2966810199494</v>
      </c>
      <c r="DS22" s="59">
        <f t="shared" si="17"/>
        <v>395.79928544256717</v>
      </c>
      <c r="DT22" s="59">
        <f ca="1">AVERAGE(OFFSET($DS$3,0,0,'Données projet'!$E$14+1,1))-AVERAGE(OFFSET($H$3,0,0,'Données projet'!$E$14+1,1))</f>
        <v>649.03508893149228</v>
      </c>
      <c r="DU22" s="59">
        <f t="shared" si="44"/>
        <v>297.94672581383213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3.887142857142857</v>
      </c>
      <c r="EJ22" s="12">
        <f>IF('Données projet'!$A$192&gt;35,EJ21+EI22-ER21,IF(A22&lt;'Données projet'!$A$192,$EG$205^A22,IF(A22='Données projet'!$A$192,'Données projet'!$B$192,EJ21+EI22-ER21)))</f>
        <v>73.855714285714271</v>
      </c>
      <c r="EK22" s="17">
        <f>EJ22*VLOOKUP('Données projet'!$B$15,Paramètres!$A$1:$I$89,3,0)*VLOOKUP('Données projet'!$B$15,Paramètres!$A$1:$I$89,5,0)</f>
        <v>79.498290857142834</v>
      </c>
      <c r="EL22" s="13">
        <f t="shared" si="45"/>
        <v>22.014468756235434</v>
      </c>
      <c r="EM22" s="20">
        <f t="shared" si="19"/>
        <v>176.80138965996716</v>
      </c>
      <c r="EN22" s="59">
        <f t="shared" si="20"/>
        <v>413.30399408258495</v>
      </c>
      <c r="EO22" s="59">
        <f ca="1">AVERAGE(OFFSET($EN$3,0,0,'Données projet'!$E$15+1,1))-AVERAGE(OFFSET($H$3,0,0,'Données projet'!$E$15+1,1))</f>
        <v>713.57333631602273</v>
      </c>
      <c r="EP22" s="59">
        <f t="shared" si="46"/>
        <v>325.30302392555359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9.6</v>
      </c>
      <c r="FE22" s="12">
        <f>IF('Données projet'!$A$218&gt;35,FE21+FD22-FM21,IF(A22&lt;'Données projet'!$A$218,$FB$205^A22,IF(A22='Données projet'!$A$218,'Données projet'!$B$218,FE21+FD22-FM21)))</f>
        <v>75.399999999999991</v>
      </c>
      <c r="FF22" s="17">
        <f>FE22*VLOOKUP('Données projet'!$B$16,Paramètres!$A$1:$I$89,3,0)*VLOOKUP('Données projet'!$B$16,Paramètres!$A$1:$I$89,5,0)</f>
        <v>58.811999999999998</v>
      </c>
      <c r="FG22" s="13">
        <f t="shared" si="47"/>
        <v>16.86755663452599</v>
      </c>
      <c r="FH22" s="20">
        <f t="shared" si="22"/>
        <v>131.8085611384661</v>
      </c>
      <c r="FI22" s="59">
        <f t="shared" si="23"/>
        <v>368.31116556108384</v>
      </c>
      <c r="FJ22" s="59">
        <f ca="1">AVERAGE(OFFSET($FI$3,0,0,'Données projet'!$E$16+1,1))-AVERAGE(OFFSET($H$3,0,0,'Données projet'!$E$16+1,1))</f>
        <v>302.04287561738482</v>
      </c>
      <c r="FK22" s="59">
        <f t="shared" si="48"/>
        <v>296.09828774694802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0.49581912005897927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0.49581912005897927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3.8113157894736847</v>
      </c>
      <c r="FZ22" s="12">
        <f>IF('Données projet'!$A$244&gt;35,FZ21+FY22-GH21,IF(A22&lt;'Données projet'!$A$244,$FW$205^A22,IF(A22='Données projet'!$A$244,'Données projet'!$B$244,FZ21+FY22-GH21)))</f>
        <v>72.414999999999978</v>
      </c>
      <c r="GA22" s="17">
        <f>FZ22*VLOOKUP('Données projet'!$B$17,Paramètres!$A$1:$I$89,3,0)*VLOOKUP('Données projet'!$B$17,Paramètres!$A$1:$I$89,5,0)</f>
        <v>61.002395999999983</v>
      </c>
      <c r="GB22" s="13">
        <f t="shared" si="49"/>
        <v>17.421461267029571</v>
      </c>
      <c r="GC22" s="20">
        <f t="shared" si="25"/>
        <v>136.58821807340979</v>
      </c>
      <c r="GD22" s="59">
        <f t="shared" si="26"/>
        <v>373.09082249602756</v>
      </c>
      <c r="GE22" s="59">
        <f ca="1">AVERAGE(OFFSET($GD$3,0,0,'Données projet'!$E$17+1,1))-AVERAGE(OFFSET($H$3,0,0,'Données projet'!$E$17+1,1))</f>
        <v>385.41819366740276</v>
      </c>
      <c r="GF22" s="59">
        <f t="shared" si="50"/>
        <v>262.4625391252718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58.167376963744246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3.3000000000000003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12.100000000000001</v>
      </c>
      <c r="H23" s="67">
        <f t="shared" si="1"/>
        <v>208.26666666666665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3.887142857142857</v>
      </c>
      <c r="N23" s="13">
        <f>IF('Données projet'!$A$36&gt;35,N22+M23-V22,IF(A23&lt;'Données projet'!$A$36,$K$205^A23,IF(A23='Données projet'!$A$36,'Données projet'!$B$36,N22+M23-V22)))</f>
        <v>77.742857142857133</v>
      </c>
      <c r="O23" s="13">
        <f>N23*VLOOKUP('Données projet'!$B$9,Paramètres!$A$1:$I$89,3,0)*VLOOKUP('Données projet'!$B$9,Paramètres!$A$1:$I$89,5,0)</f>
        <v>70.341737142857127</v>
      </c>
      <c r="P23" s="13">
        <f t="shared" si="33"/>
        <v>19.758298879173367</v>
      </c>
      <c r="Q23" s="20">
        <f t="shared" si="2"/>
        <v>156.92422940503644</v>
      </c>
      <c r="R23" s="59">
        <f t="shared" si="0"/>
        <v>395.40171108816543</v>
      </c>
      <c r="S23" s="59">
        <f ca="1">AVERAGE(OFFSET($R$3,0,0,'Données projet'!$E$9+1,1))-AVERAGE(OFFSET($H$3,0,0,'Données projet'!$E$9+1,1))</f>
        <v>612.09138396952153</v>
      </c>
      <c r="T23" s="59">
        <f t="shared" si="34"/>
        <v>282.284310393542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78.83125714285714</v>
      </c>
      <c r="AK23" s="13">
        <f t="shared" si="35"/>
        <v>21.851176119320101</v>
      </c>
      <c r="AL23" s="20">
        <f t="shared" si="4"/>
        <v>175.35523793162534</v>
      </c>
      <c r="AM23" s="59">
        <f t="shared" si="5"/>
        <v>413.8327196147543</v>
      </c>
      <c r="AN23" s="59">
        <f ca="1">AVERAGE(OFFSET($AM$3,0,0,'Données projet'!$E$10+1,1))-AVERAGE(OFFSET($H$3,0,0,'Données projet'!$E$10+1,1))</f>
        <v>676.7112666359476</v>
      </c>
      <c r="AO23" s="59">
        <f t="shared" si="36"/>
        <v>309.67876644201385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77.618468571428565</v>
      </c>
      <c r="BF23" s="13">
        <f t="shared" si="37"/>
        <v>21.553867091253917</v>
      </c>
      <c r="BG23" s="20">
        <f t="shared" si="7"/>
        <v>172.725151279172</v>
      </c>
      <c r="BH23" s="59">
        <f t="shared" si="8"/>
        <v>411.20263296230098</v>
      </c>
      <c r="BI23" s="59">
        <f ca="1">AVERAGE(OFFSET($BH$3,0,0,'Données projet'!$E$11+1,1))-AVERAGE(OFFSET($H$3,0,0,'Données projet'!$E$11+1,1))</f>
        <v>667.4887768032404</v>
      </c>
      <c r="BJ23" s="59">
        <f t="shared" si="38"/>
        <v>305.76944302827178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73.980102857142853</v>
      </c>
      <c r="CA23" s="13">
        <f t="shared" si="39"/>
        <v>20.65865379851968</v>
      </c>
      <c r="CB23" s="20">
        <f t="shared" si="10"/>
        <v>164.82916784194558</v>
      </c>
      <c r="CC23" s="59">
        <f t="shared" si="11"/>
        <v>403.30664952507459</v>
      </c>
      <c r="CD23" s="59">
        <f ca="1">AVERAGE(OFFSET($CC$3,0,0,'Données projet'!$E$12+1,1))-AVERAGE(OFFSET($H$3,0,0,'Données projet'!$E$12+1,1))</f>
        <v>639.80378676828764</v>
      </c>
      <c r="CE23" s="59">
        <f t="shared" si="40"/>
        <v>294.03328334345281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80</v>
      </c>
      <c r="CR23" s="12">
        <f>VLOOKUP(A23,'Données projet'!$A$139:$I$159,9,0)</f>
        <v>11.6</v>
      </c>
      <c r="CS23" s="12">
        <f t="array" ref="CS23">INDEX(CR:CR,MIN(IF(ISNUMBER(CR23:CR219),ROW(CR23:CR219),"")))</f>
        <v>11.6</v>
      </c>
      <c r="CT23" s="12">
        <f>IF('Données projet'!$A$140&gt;35,CT22+CS23-DB22,IF(A23&lt;'Données projet'!$A$140,$CQ$205^A23,IF(A23='Données projet'!$A$140,'Données projet'!$B$140,CT22+CS23-DB22)))</f>
        <v>80</v>
      </c>
      <c r="CU23" s="17">
        <f>CT23*VLOOKUP('Données projet'!$B$13,Paramètres!$A$1:$I$89,3,0)*VLOOKUP('Données projet'!$B$13,Paramètres!$A$1:$I$89,5,0)</f>
        <v>69.888000000000005</v>
      </c>
      <c r="CV23" s="13">
        <f t="shared" si="41"/>
        <v>19.645641432461961</v>
      </c>
      <c r="CW23" s="20">
        <f t="shared" si="13"/>
        <v>155.93775882820458</v>
      </c>
      <c r="CX23" s="59">
        <f t="shared" si="14"/>
        <v>394.41524051133354</v>
      </c>
      <c r="CY23" s="59">
        <f ca="1">AVERAGE(OFFSET($CX$3,0,0,'Données projet'!$E$13+1,1))-AVERAGE(OFFSET($H$3,0,0,'Données projet'!$E$13+1,1))</f>
        <v>340.64710509454375</v>
      </c>
      <c r="CZ23" s="59">
        <f t="shared" si="42"/>
        <v>329.6409514360613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3.887142857142857</v>
      </c>
      <c r="DO23" s="12">
        <f>IF('Données projet'!$A$166&gt;35,DO22+DN23-DW22,IF(A23&lt;'Données projet'!$A$166,$DL$205^A23,IF(A23='Données projet'!$A$166,'Données projet'!$B$166,DO22+DN23-DW22)))</f>
        <v>77.742857142857133</v>
      </c>
      <c r="DP23" s="17">
        <f>DO23*VLOOKUP('Données projet'!$B$14,Paramètres!$A$1:$I$89,3,0)*VLOOKUP('Données projet'!$B$14,Paramètres!$A$1:$I$89,5,0)</f>
        <v>75.192891428571414</v>
      </c>
      <c r="DQ23" s="13">
        <f t="shared" si="43"/>
        <v>20.957615695785943</v>
      </c>
      <c r="DR23" s="20">
        <f t="shared" si="16"/>
        <v>167.46213324158907</v>
      </c>
      <c r="DS23" s="59">
        <f t="shared" si="17"/>
        <v>405.93961492471806</v>
      </c>
      <c r="DT23" s="59">
        <f ca="1">AVERAGE(OFFSET($DS$3,0,0,'Données projet'!$E$14+1,1))-AVERAGE(OFFSET($H$3,0,0,'Données projet'!$E$14+1,1))</f>
        <v>649.03508893149228</v>
      </c>
      <c r="DU23" s="59">
        <f t="shared" si="44"/>
        <v>297.94672581383213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3.887142857142857</v>
      </c>
      <c r="EJ23" s="12">
        <f>IF('Données projet'!$A$192&gt;35,EJ22+EI23-ER22,IF(A23&lt;'Données projet'!$A$192,$EG$205^A23,IF(A23='Données projet'!$A$192,'Données projet'!$B$192,EJ22+EI23-ER22)))</f>
        <v>77.742857142857133</v>
      </c>
      <c r="EK23" s="17">
        <f>EJ23*VLOOKUP('Données projet'!$B$15,Paramètres!$A$1:$I$89,3,0)*VLOOKUP('Données projet'!$B$15,Paramètres!$A$1:$I$89,5,0)</f>
        <v>83.682411428571413</v>
      </c>
      <c r="EL23" s="13">
        <f t="shared" si="45"/>
        <v>23.035181158516771</v>
      </c>
      <c r="EM23" s="20">
        <f t="shared" si="19"/>
        <v>185.86647375584525</v>
      </c>
      <c r="EN23" s="59">
        <f t="shared" si="20"/>
        <v>424.34395543897426</v>
      </c>
      <c r="EO23" s="59">
        <f ca="1">AVERAGE(OFFSET($EN$3,0,0,'Données projet'!$E$15+1,1))-AVERAGE(OFFSET($H$3,0,0,'Données projet'!$E$15+1,1))</f>
        <v>713.57333631602273</v>
      </c>
      <c r="EP23" s="59">
        <f t="shared" si="46"/>
        <v>325.30302392555359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85</v>
      </c>
      <c r="FC23" s="12">
        <f>VLOOKUP(A23,'Données projet'!$A$217:$I$237,9,0)</f>
        <v>9.6</v>
      </c>
      <c r="FD23" s="12">
        <f t="array" ref="FD23">INDEX(FC:FC,MIN(IF(ISNUMBER(FC23:FC219),ROW(FC23:FC219),"")))</f>
        <v>9.6</v>
      </c>
      <c r="FE23" s="12">
        <f>IF('Données projet'!$A$218&gt;35,FE22+FD23-FM22,IF(A23&lt;'Données projet'!$A$218,$FB$205^A23,IF(A23='Données projet'!$A$218,'Données projet'!$B$218,FE22+FD23-FM22)))</f>
        <v>84.999999999999986</v>
      </c>
      <c r="FF23" s="17">
        <f>FE23*VLOOKUP('Données projet'!$B$16,Paramètres!$A$1:$I$89,3,0)*VLOOKUP('Données projet'!$B$16,Paramètres!$A$1:$I$89,5,0)</f>
        <v>66.3</v>
      </c>
      <c r="FG23" s="13">
        <f t="shared" si="47"/>
        <v>18.751733344032118</v>
      </c>
      <c r="FH23" s="20">
        <f t="shared" si="22"/>
        <v>148.13176890752257</v>
      </c>
      <c r="FI23" s="59">
        <f t="shared" si="23"/>
        <v>386.60925059065153</v>
      </c>
      <c r="FJ23" s="59">
        <f ca="1">AVERAGE(OFFSET($FI$3,0,0,'Données projet'!$E$16+1,1))-AVERAGE(OFFSET($H$3,0,0,'Données projet'!$E$16+1,1))</f>
        <v>302.04287561738482</v>
      </c>
      <c r="FK23" s="59">
        <f t="shared" si="48"/>
        <v>296.09828774694802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25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0.215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5.0986969672484994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5.0986969672484994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3.8113157894736847</v>
      </c>
      <c r="FZ23" s="12">
        <f>IF('Données projet'!$A$244&gt;35,FZ22+FY23-GH22,IF(A23&lt;'Données projet'!$A$244,$FW$205^A23,IF(A23='Données projet'!$A$244,'Données projet'!$B$244,FZ22+FY23-GH22)))</f>
        <v>76.226315789473659</v>
      </c>
      <c r="GA23" s="17">
        <f>FZ23*VLOOKUP('Données projet'!$B$17,Paramètres!$A$1:$I$89,3,0)*VLOOKUP('Données projet'!$B$17,Paramètres!$A$1:$I$89,5,0)</f>
        <v>64.213048421052619</v>
      </c>
      <c r="GB23" s="13">
        <f t="shared" si="49"/>
        <v>18.229216465577537</v>
      </c>
      <c r="GC23" s="20">
        <f t="shared" si="25"/>
        <v>143.58694467754751</v>
      </c>
      <c r="GD23" s="59">
        <f t="shared" si="26"/>
        <v>382.06442636067652</v>
      </c>
      <c r="GE23" s="59">
        <f ca="1">AVERAGE(OFFSET($GD$3,0,0,'Données projet'!$E$17+1,1))-AVERAGE(OFFSET($H$3,0,0,'Données projet'!$E$17+1,1))</f>
        <v>385.41819366740276</v>
      </c>
      <c r="GF23" s="59">
        <f t="shared" si="50"/>
        <v>262.4625391252718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58.372646519641236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3.3000000000000003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12.100000000000001</v>
      </c>
      <c r="H24" s="67">
        <f t="shared" si="1"/>
        <v>208.26666666666665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3.887142857142857</v>
      </c>
      <c r="N24" s="13">
        <f>IF('Données projet'!$A$36&gt;35,N23+M24-V23,IF(A24&lt;'Données projet'!$A$36,$K$205^A24,IF(A24='Données projet'!$A$36,'Données projet'!$B$36,N23+M24-V23)))</f>
        <v>81.63</v>
      </c>
      <c r="O24" s="13">
        <f>N24*VLOOKUP('Données projet'!$B$9,Paramètres!$A$1:$I$89,3,0)*VLOOKUP('Données projet'!$B$9,Paramètres!$A$1:$I$89,5,0)</f>
        <v>73.858823999999984</v>
      </c>
      <c r="P24" s="13">
        <f t="shared" si="33"/>
        <v>20.628726373651425</v>
      </c>
      <c r="Q24" s="20">
        <f t="shared" si="2"/>
        <v>164.56581690077618</v>
      </c>
      <c r="R24" s="59">
        <f t="shared" si="0"/>
        <v>405.0051189621866</v>
      </c>
      <c r="S24" s="59">
        <f ca="1">AVERAGE(OFFSET($R$3,0,0,'Données projet'!$E$9+1,1))-AVERAGE(OFFSET($H$3,0,0,'Données projet'!$E$9+1,1))</f>
        <v>612.09138396952153</v>
      </c>
      <c r="T24" s="59">
        <f t="shared" si="34"/>
        <v>282.284310393542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82.772819999999996</v>
      </c>
      <c r="AK24" s="13">
        <f t="shared" si="35"/>
        <v>22.813802740025121</v>
      </c>
      <c r="AL24" s="20">
        <f t="shared" si="4"/>
        <v>183.89670127221041</v>
      </c>
      <c r="AM24" s="59">
        <f t="shared" si="5"/>
        <v>424.33600333362085</v>
      </c>
      <c r="AN24" s="59">
        <f ca="1">AVERAGE(OFFSET($AM$3,0,0,'Données projet'!$E$10+1,1))-AVERAGE(OFFSET($H$3,0,0,'Données projet'!$E$10+1,1))</f>
        <v>676.7112666359476</v>
      </c>
      <c r="AO24" s="59">
        <f t="shared" si="36"/>
        <v>309.67876644201385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81.499392</v>
      </c>
      <c r="BF24" s="13">
        <f t="shared" si="37"/>
        <v>22.503396129319473</v>
      </c>
      <c r="BG24" s="20">
        <f t="shared" si="7"/>
        <v>181.13818932523142</v>
      </c>
      <c r="BH24" s="59">
        <f t="shared" si="8"/>
        <v>421.57749138664184</v>
      </c>
      <c r="BI24" s="59">
        <f ca="1">AVERAGE(OFFSET($BH$3,0,0,'Données projet'!$E$11+1,1))-AVERAGE(OFFSET($H$3,0,0,'Données projet'!$E$11+1,1))</f>
        <v>667.4887768032404</v>
      </c>
      <c r="BJ24" s="59">
        <f t="shared" si="38"/>
        <v>305.76944302827178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77.679107999999985</v>
      </c>
      <c r="CA24" s="13">
        <f t="shared" si="39"/>
        <v>21.568745318801785</v>
      </c>
      <c r="CB24" s="20">
        <f t="shared" si="10"/>
        <v>172.85667786357976</v>
      </c>
      <c r="CC24" s="59">
        <f t="shared" si="11"/>
        <v>413.29597992499021</v>
      </c>
      <c r="CD24" s="59">
        <f ca="1">AVERAGE(OFFSET($CC$3,0,0,'Données projet'!$E$12+1,1))-AVERAGE(OFFSET($H$3,0,0,'Données projet'!$E$12+1,1))</f>
        <v>639.80378676828764</v>
      </c>
      <c r="CE24" s="59">
        <f t="shared" si="40"/>
        <v>294.03328334345281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64.599999999999994</v>
      </c>
      <c r="CU24" s="17">
        <f>CT24*VLOOKUP('Données projet'!$B$13,Paramètres!$A$1:$I$89,3,0)*VLOOKUP('Données projet'!$B$13,Paramètres!$A$1:$I$89,5,0)</f>
        <v>56.434560000000005</v>
      </c>
      <c r="CV24" s="13">
        <f t="shared" si="41"/>
        <v>16.26362505907256</v>
      </c>
      <c r="CW24" s="20">
        <f t="shared" si="13"/>
        <v>126.61600564455136</v>
      </c>
      <c r="CX24" s="59">
        <f t="shared" si="14"/>
        <v>367.05530770596181</v>
      </c>
      <c r="CY24" s="59">
        <f ca="1">AVERAGE(OFFSET($CX$3,0,0,'Données projet'!$E$13+1,1))-AVERAGE(OFFSET($H$3,0,0,'Données projet'!$E$13+1,1))</f>
        <v>340.64710509454375</v>
      </c>
      <c r="CZ24" s="59">
        <f t="shared" si="42"/>
        <v>329.6409514360613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3.887142857142857</v>
      </c>
      <c r="DO24" s="12">
        <f>IF('Données projet'!$A$166&gt;35,DO23+DN24-DW23,IF(A24&lt;'Données projet'!$A$166,$DL$205^A24,IF(A24='Données projet'!$A$166,'Données projet'!$B$166,DO23+DN24-DW23)))</f>
        <v>81.63</v>
      </c>
      <c r="DP24" s="17">
        <f>DO24*VLOOKUP('Données projet'!$B$14,Paramètres!$A$1:$I$89,3,0)*VLOOKUP('Données projet'!$B$14,Paramètres!$A$1:$I$89,5,0)</f>
        <v>78.952535999999995</v>
      </c>
      <c r="DQ24" s="13">
        <f t="shared" si="43"/>
        <v>21.880877613822086</v>
      </c>
      <c r="DR24" s="20">
        <f t="shared" si="16"/>
        <v>175.61819537740678</v>
      </c>
      <c r="DS24" s="59">
        <f t="shared" si="17"/>
        <v>416.05749743881722</v>
      </c>
      <c r="DT24" s="59">
        <f ca="1">AVERAGE(OFFSET($DS$3,0,0,'Données projet'!$E$14+1,1))-AVERAGE(OFFSET($H$3,0,0,'Données projet'!$E$14+1,1))</f>
        <v>649.03508893149228</v>
      </c>
      <c r="DU24" s="59">
        <f t="shared" si="44"/>
        <v>297.94672581383213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3.887142857142857</v>
      </c>
      <c r="EJ24" s="12">
        <f>IF('Données projet'!$A$192&gt;35,EJ23+EI24-ER23,IF(A24&lt;'Données projet'!$A$192,$EG$205^A24,IF(A24='Données projet'!$A$192,'Données projet'!$B$192,EJ23+EI24-ER23)))</f>
        <v>81.63</v>
      </c>
      <c r="EK24" s="17">
        <f>EJ24*VLOOKUP('Données projet'!$B$15,Paramètres!$A$1:$I$89,3,0)*VLOOKUP('Données projet'!$B$15,Paramètres!$A$1:$I$89,5,0)</f>
        <v>87.866531999999992</v>
      </c>
      <c r="EL24" s="13">
        <f t="shared" si="45"/>
        <v>24.049967661305761</v>
      </c>
      <c r="EM24" s="20">
        <f t="shared" si="19"/>
        <v>194.9212369101075</v>
      </c>
      <c r="EN24" s="59">
        <f t="shared" si="20"/>
        <v>435.36053897151794</v>
      </c>
      <c r="EO24" s="59">
        <f ca="1">AVERAGE(OFFSET($EN$3,0,0,'Données projet'!$E$15+1,1))-AVERAGE(OFFSET($H$3,0,0,'Données projet'!$E$15+1,1))</f>
        <v>713.57333631602273</v>
      </c>
      <c r="EP24" s="59">
        <f t="shared" si="46"/>
        <v>325.30302392555359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10.6</v>
      </c>
      <c r="FE24" s="12">
        <f>IF('Données projet'!$A$218&gt;35,FE23+FD24-FM23,IF(A24&lt;'Données projet'!$A$218,$FB$205^A24,IF(A24='Données projet'!$A$218,'Données projet'!$B$218,FE23+FD24-FM23)))</f>
        <v>70.59999999999998</v>
      </c>
      <c r="FF24" s="17">
        <f>FE24*VLOOKUP('Données projet'!$B$16,Paramètres!$A$1:$I$89,3,0)*VLOOKUP('Données projet'!$B$16,Paramètres!$A$1:$I$89,5,0)</f>
        <v>55.067999999999984</v>
      </c>
      <c r="FG24" s="13">
        <f t="shared" si="47"/>
        <v>15.915148294580479</v>
      </c>
      <c r="FH24" s="20">
        <f t="shared" si="22"/>
        <v>123.62898327972762</v>
      </c>
      <c r="FI24" s="59">
        <f t="shared" si="23"/>
        <v>364.06828534113805</v>
      </c>
      <c r="FJ24" s="59">
        <f ca="1">AVERAGE(OFFSET($FI$3,0,0,'Données projet'!$E$16+1,1))-AVERAGE(OFFSET($H$3,0,0,'Données projet'!$E$16+1,1))</f>
        <v>302.04287561738482</v>
      </c>
      <c r="FK24" s="59">
        <f t="shared" si="48"/>
        <v>296.09828774694802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4.9592728305502689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4.9592728305502689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3.8113157894736847</v>
      </c>
      <c r="FZ24" s="12">
        <f>IF('Données projet'!$A$244&gt;35,FZ23+FY24-GH23,IF(A24&lt;'Données projet'!$A$244,$FW$205^A24,IF(A24='Données projet'!$A$244,'Données projet'!$B$244,FZ23+FY24-GH23)))</f>
        <v>80.037631578947341</v>
      </c>
      <c r="GA24" s="17">
        <f>FZ24*VLOOKUP('Données projet'!$B$17,Paramètres!$A$1:$I$89,3,0)*VLOOKUP('Données projet'!$B$17,Paramètres!$A$1:$I$89,5,0)</f>
        <v>67.423700842105248</v>
      </c>
      <c r="GB24" s="13">
        <f t="shared" si="49"/>
        <v>19.032282119734433</v>
      </c>
      <c r="GC24" s="20">
        <f t="shared" si="25"/>
        <v>150.57750365853744</v>
      </c>
      <c r="GD24" s="59">
        <f t="shared" si="26"/>
        <v>391.01680571994785</v>
      </c>
      <c r="GE24" s="59">
        <f ca="1">AVERAGE(OFFSET($GD$3,0,0,'Données projet'!$E$17+1,1))-AVERAGE(OFFSET($H$3,0,0,'Données projet'!$E$17+1,1))</f>
        <v>385.41819366740276</v>
      </c>
      <c r="GF24" s="59">
        <f t="shared" si="50"/>
        <v>262.4625391252718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58.574355107657382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3.3000000000000003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12.100000000000001</v>
      </c>
      <c r="H25" s="67">
        <f t="shared" si="1"/>
        <v>208.26666666666665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3.887142857142857</v>
      </c>
      <c r="N25" s="13">
        <f>IF('Données projet'!$A$36&gt;35,N24+M25-V24,IF(A25&lt;'Données projet'!$A$36,$K$205^A25,IF(A25='Données projet'!$A$36,'Données projet'!$B$36,N24+M25-V24)))</f>
        <v>85.517142857142858</v>
      </c>
      <c r="O25" s="13">
        <f>N25*VLOOKUP('Données projet'!$B$9,Paramètres!$A$1:$I$89,3,0)*VLOOKUP('Données projet'!$B$9,Paramètres!$A$1:$I$89,5,0)</f>
        <v>77.375910857142856</v>
      </c>
      <c r="P25" s="13">
        <f t="shared" si="33"/>
        <v>21.49434063873689</v>
      </c>
      <c r="Q25" s="20">
        <f t="shared" si="2"/>
        <v>172.19902135532388</v>
      </c>
      <c r="R25" s="59">
        <f t="shared" si="0"/>
        <v>414.58731342050191</v>
      </c>
      <c r="S25" s="59">
        <f ca="1">AVERAGE(OFFSET($R$3,0,0,'Données projet'!$E$9+1,1))-AVERAGE(OFFSET($H$3,0,0,'Données projet'!$E$9+1,1))</f>
        <v>612.09138396952153</v>
      </c>
      <c r="T25" s="59">
        <f t="shared" si="34"/>
        <v>282.284310393542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86.714382857142866</v>
      </c>
      <c r="AK25" s="13">
        <f t="shared" si="35"/>
        <v>23.771106295024762</v>
      </c>
      <c r="AL25" s="20">
        <f t="shared" si="4"/>
        <v>192.42889360669196</v>
      </c>
      <c r="AM25" s="59">
        <f t="shared" si="5"/>
        <v>434.81718567186999</v>
      </c>
      <c r="AN25" s="59">
        <f ca="1">AVERAGE(OFFSET($AM$3,0,0,'Données projet'!$E$10+1,1))-AVERAGE(OFFSET($H$3,0,0,'Données projet'!$E$10+1,1))</f>
        <v>676.7112666359476</v>
      </c>
      <c r="AO25" s="59">
        <f t="shared" si="36"/>
        <v>309.67876644201385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85.380315428571436</v>
      </c>
      <c r="BF25" s="13">
        <f t="shared" si="37"/>
        <v>23.447674527780752</v>
      </c>
      <c r="BG25" s="20">
        <f t="shared" si="7"/>
        <v>189.54208250731338</v>
      </c>
      <c r="BH25" s="59">
        <f t="shared" si="8"/>
        <v>431.93037457249136</v>
      </c>
      <c r="BI25" s="59">
        <f ca="1">AVERAGE(OFFSET($BH$3,0,0,'Données projet'!$E$11+1,1))-AVERAGE(OFFSET($H$3,0,0,'Données projet'!$E$11+1,1))</f>
        <v>667.4887768032404</v>
      </c>
      <c r="BJ25" s="59">
        <f t="shared" si="38"/>
        <v>305.76944302827178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81.378113142857146</v>
      </c>
      <c r="CA25" s="13">
        <f t="shared" si="39"/>
        <v>22.4738042783213</v>
      </c>
      <c r="CB25" s="20">
        <f t="shared" si="10"/>
        <v>180.87542284188578</v>
      </c>
      <c r="CC25" s="59">
        <f t="shared" si="11"/>
        <v>423.26371490706379</v>
      </c>
      <c r="CD25" s="59">
        <f ca="1">AVERAGE(OFFSET($CC$3,0,0,'Données projet'!$E$12+1,1))-AVERAGE(OFFSET($H$3,0,0,'Données projet'!$E$12+1,1))</f>
        <v>639.80378676828764</v>
      </c>
      <c r="CE25" s="59">
        <f t="shared" si="40"/>
        <v>294.03328334345281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77.199999999999989</v>
      </c>
      <c r="CU25" s="17">
        <f>CT25*VLOOKUP('Données projet'!$B$13,Paramètres!$A$1:$I$89,3,0)*VLOOKUP('Données projet'!$B$13,Paramètres!$A$1:$I$89,5,0)</f>
        <v>67.441919999999996</v>
      </c>
      <c r="CV25" s="13">
        <f t="shared" si="41"/>
        <v>19.036826299015036</v>
      </c>
      <c r="CW25" s="20">
        <f t="shared" si="13"/>
        <v>150.61714980411784</v>
      </c>
      <c r="CX25" s="59">
        <f t="shared" si="14"/>
        <v>393.00544186929585</v>
      </c>
      <c r="CY25" s="59">
        <f ca="1">AVERAGE(OFFSET($CX$3,0,0,'Données projet'!$E$13+1,1))-AVERAGE(OFFSET($H$3,0,0,'Données projet'!$E$13+1,1))</f>
        <v>340.64710509454375</v>
      </c>
      <c r="CZ25" s="59">
        <f t="shared" si="42"/>
        <v>329.6409514360613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3.887142857142857</v>
      </c>
      <c r="DO25" s="12">
        <f>IF('Données projet'!$A$166&gt;35,DO24+DN25-DW24,IF(A25&lt;'Données projet'!$A$166,$DL$205^A25,IF(A25='Données projet'!$A$166,'Données projet'!$B$166,DO24+DN25-DW24)))</f>
        <v>85.517142857142858</v>
      </c>
      <c r="DP25" s="17">
        <f>DO25*VLOOKUP('Données projet'!$B$14,Paramètres!$A$1:$I$89,3,0)*VLOOKUP('Données projet'!$B$14,Paramètres!$A$1:$I$89,5,0)</f>
        <v>82.712180571428576</v>
      </c>
      <c r="DQ25" s="13">
        <f t="shared" si="43"/>
        <v>22.799034142346564</v>
      </c>
      <c r="DR25" s="20">
        <f t="shared" si="16"/>
        <v>183.76536562649167</v>
      </c>
      <c r="DS25" s="59">
        <f t="shared" si="17"/>
        <v>426.15365769166965</v>
      </c>
      <c r="DT25" s="59">
        <f ca="1">AVERAGE(OFFSET($DS$3,0,0,'Données projet'!$E$14+1,1))-AVERAGE(OFFSET($H$3,0,0,'Données projet'!$E$14+1,1))</f>
        <v>649.03508893149228</v>
      </c>
      <c r="DU25" s="59">
        <f t="shared" si="44"/>
        <v>297.94672581383213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3.887142857142857</v>
      </c>
      <c r="EJ25" s="12">
        <f>IF('Données projet'!$A$192&gt;35,EJ24+EI25-ER24,IF(A25&lt;'Données projet'!$A$192,$EG$205^A25,IF(A25='Données projet'!$A$192,'Données projet'!$B$192,EJ24+EI25-ER24)))</f>
        <v>85.517142857142858</v>
      </c>
      <c r="EK25" s="17">
        <f>EJ25*VLOOKUP('Données projet'!$B$15,Paramètres!$A$1:$I$89,3,0)*VLOOKUP('Données projet'!$B$15,Paramètres!$A$1:$I$89,5,0)</f>
        <v>92.050652571428571</v>
      </c>
      <c r="EL25" s="13">
        <f t="shared" si="45"/>
        <v>25.059142668302808</v>
      </c>
      <c r="EM25" s="20">
        <f t="shared" si="19"/>
        <v>203.96622670919882</v>
      </c>
      <c r="EN25" s="59">
        <f t="shared" si="20"/>
        <v>446.35451877437686</v>
      </c>
      <c r="EO25" s="59">
        <f ca="1">AVERAGE(OFFSET($EN$3,0,0,'Données projet'!$E$15+1,1))-AVERAGE(OFFSET($H$3,0,0,'Données projet'!$E$15+1,1))</f>
        <v>713.57333631602273</v>
      </c>
      <c r="EP25" s="59">
        <f t="shared" si="46"/>
        <v>325.30302392555359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10.6</v>
      </c>
      <c r="FE25" s="12">
        <f>IF('Données projet'!$A$218&gt;35,FE24+FD25-FM24,IF(A25&lt;'Données projet'!$A$218,$FB$205^A25,IF(A25='Données projet'!$A$218,'Données projet'!$B$218,FE24+FD25-FM24)))</f>
        <v>81.199999999999974</v>
      </c>
      <c r="FF25" s="17">
        <f>FE25*VLOOKUP('Données projet'!$B$16,Paramètres!$A$1:$I$89,3,0)*VLOOKUP('Données projet'!$B$16,Paramètres!$A$1:$I$89,5,0)</f>
        <v>63.335999999999984</v>
      </c>
      <c r="FG25" s="13">
        <f t="shared" si="47"/>
        <v>18.009040022946227</v>
      </c>
      <c r="FH25" s="20">
        <f t="shared" si="22"/>
        <v>141.67594470663133</v>
      </c>
      <c r="FI25" s="59">
        <f t="shared" si="23"/>
        <v>384.06423677180931</v>
      </c>
      <c r="FJ25" s="59">
        <f ca="1">AVERAGE(OFFSET($FI$3,0,0,'Données projet'!$E$16+1,1))-AVERAGE(OFFSET($H$3,0,0,'Données projet'!$E$16+1,1))</f>
        <v>302.04287561738482</v>
      </c>
      <c r="FK25" s="59">
        <f t="shared" si="48"/>
        <v>296.09828774694802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4.8236612542020483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4.8236612542020483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3.8113157894736847</v>
      </c>
      <c r="FZ25" s="12">
        <f>IF('Données projet'!$A$244&gt;35,FZ24+FY25-GH24,IF(A25&lt;'Données projet'!$A$244,$FW$205^A25,IF(A25='Données projet'!$A$244,'Données projet'!$B$244,FZ24+FY25-GH24)))</f>
        <v>83.848947368421022</v>
      </c>
      <c r="GA25" s="17">
        <f>FZ25*VLOOKUP('Données projet'!$B$17,Paramètres!$A$1:$I$89,3,0)*VLOOKUP('Données projet'!$B$17,Paramètres!$A$1:$I$89,5,0)</f>
        <v>70.634353263157877</v>
      </c>
      <c r="GB25" s="13">
        <f t="shared" si="49"/>
        <v>19.83090703731613</v>
      </c>
      <c r="GC25" s="20">
        <f t="shared" si="25"/>
        <v>157.56032835665889</v>
      </c>
      <c r="GD25" s="59">
        <f t="shared" si="26"/>
        <v>399.94862042183689</v>
      </c>
      <c r="GE25" s="59">
        <f ca="1">AVERAGE(OFFSET($GD$3,0,0,'Données projet'!$E$17+1,1))-AVERAGE(OFFSET($H$3,0,0,'Données projet'!$E$17+1,1))</f>
        <v>385.41819366740276</v>
      </c>
      <c r="GF25" s="59">
        <f t="shared" si="50"/>
        <v>262.4625391252718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58.772564502624306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3.3000000000000003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12.100000000000001</v>
      </c>
      <c r="H26" s="67">
        <f t="shared" si="1"/>
        <v>208.26666666666665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3.887142857142857</v>
      </c>
      <c r="N26" s="13">
        <f>IF('Données projet'!$A$36&gt;35,N25+M26-V25,IF(A26&lt;'Données projet'!$A$36,$K$205^A26,IF(A26='Données projet'!$A$36,'Données projet'!$B$36,N25+M26-V25)))</f>
        <v>89.40428571428572</v>
      </c>
      <c r="O26" s="13">
        <f>N26*VLOOKUP('Données projet'!$B$9,Paramètres!$A$1:$I$89,3,0)*VLOOKUP('Données projet'!$B$9,Paramètres!$A$1:$I$89,5,0)</f>
        <v>80.892997714285713</v>
      </c>
      <c r="P26" s="13">
        <f t="shared" si="33"/>
        <v>22.355385450466887</v>
      </c>
      <c r="Q26" s="20">
        <f t="shared" si="2"/>
        <v>179.82426734527743</v>
      </c>
      <c r="R26" s="59">
        <f t="shared" si="0"/>
        <v>424.1489416180226</v>
      </c>
      <c r="S26" s="59">
        <f ca="1">AVERAGE(OFFSET($R$3,0,0,'Données projet'!$E$9+1,1))-AVERAGE(OFFSET($H$3,0,0,'Données projet'!$E$9+1,1))</f>
        <v>612.09138396952153</v>
      </c>
      <c r="T26" s="59">
        <f t="shared" si="34"/>
        <v>282.284310393542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90.655945714285721</v>
      </c>
      <c r="AK26" s="13">
        <f t="shared" si="35"/>
        <v>24.723356382079128</v>
      </c>
      <c r="AL26" s="20">
        <f t="shared" si="4"/>
        <v>200.95228448450212</v>
      </c>
      <c r="AM26" s="59">
        <f t="shared" si="5"/>
        <v>445.27695875724726</v>
      </c>
      <c r="AN26" s="59">
        <f ca="1">AVERAGE(OFFSET($AM$3,0,0,'Données projet'!$E$10+1,1))-AVERAGE(OFFSET($H$3,0,0,'Données projet'!$E$10+1,1))</f>
        <v>676.7112666359476</v>
      </c>
      <c r="AO26" s="59">
        <f t="shared" si="36"/>
        <v>309.67876644201385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89.261238857142871</v>
      </c>
      <c r="BF26" s="13">
        <f t="shared" si="37"/>
        <v>24.386968216227</v>
      </c>
      <c r="BG26" s="20">
        <f t="shared" si="7"/>
        <v>197.93729398611916</v>
      </c>
      <c r="BH26" s="59">
        <f t="shared" si="8"/>
        <v>442.26196825886433</v>
      </c>
      <c r="BI26" s="59">
        <f ca="1">AVERAGE(OFFSET($BH$3,0,0,'Données projet'!$E$11+1,1))-AVERAGE(OFFSET($H$3,0,0,'Données projet'!$E$11+1,1))</f>
        <v>667.4887768032404</v>
      </c>
      <c r="BJ26" s="59">
        <f t="shared" si="38"/>
        <v>305.76944302827178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85.077118285714292</v>
      </c>
      <c r="CA26" s="13">
        <f t="shared" si="39"/>
        <v>23.374085561609906</v>
      </c>
      <c r="CB26" s="20">
        <f t="shared" si="10"/>
        <v>188.88584670075628</v>
      </c>
      <c r="CC26" s="59">
        <f t="shared" si="11"/>
        <v>433.21052097350145</v>
      </c>
      <c r="CD26" s="59">
        <f ca="1">AVERAGE(OFFSET($CC$3,0,0,'Données projet'!$E$12+1,1))-AVERAGE(OFFSET($H$3,0,0,'Données projet'!$E$12+1,1))</f>
        <v>639.80378676828764</v>
      </c>
      <c r="CE26" s="59">
        <f t="shared" si="40"/>
        <v>294.03328334345281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89.799999999999983</v>
      </c>
      <c r="CU26" s="17">
        <f>CT26*VLOOKUP('Données projet'!$B$13,Paramètres!$A$1:$I$89,3,0)*VLOOKUP('Données projet'!$B$13,Paramètres!$A$1:$I$89,5,0)</f>
        <v>78.449280000000002</v>
      </c>
      <c r="CV26" s="13">
        <f t="shared" si="41"/>
        <v>21.757594161482565</v>
      </c>
      <c r="CW26" s="20">
        <f t="shared" si="13"/>
        <v>174.52697249791549</v>
      </c>
      <c r="CX26" s="59">
        <f t="shared" si="14"/>
        <v>418.85164677066064</v>
      </c>
      <c r="CY26" s="59">
        <f ca="1">AVERAGE(OFFSET($CX$3,0,0,'Données projet'!$E$13+1,1))-AVERAGE(OFFSET($H$3,0,0,'Données projet'!$E$13+1,1))</f>
        <v>340.64710509454375</v>
      </c>
      <c r="CZ26" s="59">
        <f t="shared" si="42"/>
        <v>329.6409514360613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3.887142857142857</v>
      </c>
      <c r="DO26" s="12">
        <f>IF('Données projet'!$A$166&gt;35,DO25+DN26-DW25,IF(A26&lt;'Données projet'!$A$166,$DL$205^A26,IF(A26='Données projet'!$A$166,'Données projet'!$B$166,DO25+DN26-DW25)))</f>
        <v>89.40428571428572</v>
      </c>
      <c r="DP26" s="17">
        <f>DO26*VLOOKUP('Données projet'!$B$14,Paramètres!$A$1:$I$89,3,0)*VLOOKUP('Données projet'!$B$14,Paramètres!$A$1:$I$89,5,0)</f>
        <v>86.471825142857142</v>
      </c>
      <c r="DQ26" s="13">
        <f t="shared" si="43"/>
        <v>23.71234385445489</v>
      </c>
      <c r="DR26" s="20">
        <f t="shared" si="16"/>
        <v>191.90409433698508</v>
      </c>
      <c r="DS26" s="59">
        <f t="shared" si="17"/>
        <v>436.22876860973025</v>
      </c>
      <c r="DT26" s="59">
        <f ca="1">AVERAGE(OFFSET($DS$3,0,0,'Données projet'!$E$14+1,1))-AVERAGE(OFFSET($H$3,0,0,'Données projet'!$E$14+1,1))</f>
        <v>649.03508893149228</v>
      </c>
      <c r="DU26" s="59">
        <f t="shared" si="44"/>
        <v>297.94672581383213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3.887142857142857</v>
      </c>
      <c r="EJ26" s="12">
        <f>IF('Données projet'!$A$192&gt;35,EJ25+EI26-ER25,IF(A26&lt;'Données projet'!$A$192,$EG$205^A26,IF(A26='Données projet'!$A$192,'Données projet'!$B$192,EJ25+EI26-ER25)))</f>
        <v>89.40428571428572</v>
      </c>
      <c r="EK26" s="17">
        <f>EJ26*VLOOKUP('Données projet'!$B$15,Paramètres!$A$1:$I$89,3,0)*VLOOKUP('Données projet'!$B$15,Paramètres!$A$1:$I$89,5,0)</f>
        <v>96.234773142857151</v>
      </c>
      <c r="EL26" s="13">
        <f t="shared" si="45"/>
        <v>26.062990385411098</v>
      </c>
      <c r="EM26" s="20">
        <f t="shared" si="19"/>
        <v>213.00193814506721</v>
      </c>
      <c r="EN26" s="59">
        <f t="shared" si="20"/>
        <v>457.32661241781238</v>
      </c>
      <c r="EO26" s="59">
        <f ca="1">AVERAGE(OFFSET($EN$3,0,0,'Données projet'!$E$15+1,1))-AVERAGE(OFFSET($H$3,0,0,'Données projet'!$E$15+1,1))</f>
        <v>713.57333631602273</v>
      </c>
      <c r="EP26" s="59">
        <f t="shared" si="46"/>
        <v>325.30302392555359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10.6</v>
      </c>
      <c r="FE26" s="12">
        <f>IF('Données projet'!$A$218&gt;35,FE25+FD26-FM25,IF(A26&lt;'Données projet'!$A$218,$FB$205^A26,IF(A26='Données projet'!$A$218,'Données projet'!$B$218,FE25+FD26-FM25)))</f>
        <v>91.799999999999969</v>
      </c>
      <c r="FF26" s="17">
        <f>FE26*VLOOKUP('Données projet'!$B$16,Paramètres!$A$1:$I$89,3,0)*VLOOKUP('Données projet'!$B$16,Paramètres!$A$1:$I$89,5,0)</f>
        <v>71.603999999999985</v>
      </c>
      <c r="FG26" s="13">
        <f t="shared" si="47"/>
        <v>20.071260561992585</v>
      </c>
      <c r="FH26" s="20">
        <f t="shared" si="22"/>
        <v>159.66774547880371</v>
      </c>
      <c r="FI26" s="59">
        <f t="shared" si="23"/>
        <v>403.99241975154888</v>
      </c>
      <c r="FJ26" s="59">
        <f ca="1">AVERAGE(OFFSET($FI$3,0,0,'Données projet'!$E$16+1,1))-AVERAGE(OFFSET($H$3,0,0,'Données projet'!$E$16+1,1))</f>
        <v>302.04287561738482</v>
      </c>
      <c r="FK26" s="59">
        <f t="shared" si="48"/>
        <v>296.09828774694802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4.6917579835405725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4.6917579835405725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3.8113157894736847</v>
      </c>
      <c r="FZ26" s="12">
        <f>IF('Données projet'!$A$244&gt;35,FZ25+FY26-GH25,IF(A26&lt;'Données projet'!$A$244,$FW$205^A26,IF(A26='Données projet'!$A$244,'Données projet'!$B$244,FZ25+FY26-GH25)))</f>
        <v>87.660263157894704</v>
      </c>
      <c r="GA26" s="17">
        <f>FZ26*VLOOKUP('Données projet'!$B$17,Paramètres!$A$1:$I$89,3,0)*VLOOKUP('Données projet'!$B$17,Paramètres!$A$1:$I$89,5,0)</f>
        <v>73.845005684210506</v>
      </c>
      <c r="GB26" s="13">
        <f t="shared" si="49"/>
        <v>20.625316128684492</v>
      </c>
      <c r="GC26" s="20">
        <f t="shared" si="25"/>
        <v>164.5358104907921</v>
      </c>
      <c r="GD26" s="59">
        <f t="shared" si="26"/>
        <v>408.86048476353727</v>
      </c>
      <c r="GE26" s="59">
        <f ca="1">AVERAGE(OFFSET($GD$3,0,0,'Données projet'!$E$17+1,1))-AVERAGE(OFFSET($H$3,0,0,'Données projet'!$E$17+1,1))</f>
        <v>385.41819366740276</v>
      </c>
      <c r="GF26" s="59">
        <f t="shared" si="50"/>
        <v>262.4625391252718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58.96733540771838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3.3000000000000003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12.100000000000001</v>
      </c>
      <c r="H27" s="67">
        <f t="shared" si="1"/>
        <v>208.26666666666665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3.887142857142857</v>
      </c>
      <c r="N27" s="13">
        <f>IF('Données projet'!$A$36&gt;35,N26+M27-V26,IF(A27&lt;'Données projet'!$A$36,$K$205^A27,IF(A27='Données projet'!$A$36,'Données projet'!$B$36,N26+M27-V26)))</f>
        <v>93.291428571428582</v>
      </c>
      <c r="O27" s="13">
        <f>N27*VLOOKUP('Données projet'!$B$9,Paramètres!$A$1:$I$89,3,0)*VLOOKUP('Données projet'!$B$9,Paramètres!$A$1:$I$89,5,0)</f>
        <v>84.410084571428584</v>
      </c>
      <c r="P27" s="13">
        <f t="shared" si="33"/>
        <v>23.212082188219242</v>
      </c>
      <c r="Q27" s="20">
        <f t="shared" si="2"/>
        <v>187.44194043971996</v>
      </c>
      <c r="R27" s="59">
        <f t="shared" si="0"/>
        <v>433.69060784090902</v>
      </c>
      <c r="S27" s="59">
        <f ca="1">AVERAGE(OFFSET($R$3,0,0,'Données projet'!$E$9+1,1))-AVERAGE(OFFSET($H$3,0,0,'Données projet'!$E$9+1,1))</f>
        <v>612.09138396952153</v>
      </c>
      <c r="T27" s="59">
        <f t="shared" si="34"/>
        <v>282.284310393542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94.597508571428591</v>
      </c>
      <c r="AK27" s="13">
        <f t="shared" si="35"/>
        <v>25.670797829946185</v>
      </c>
      <c r="AL27" s="20">
        <f t="shared" si="4"/>
        <v>209.4673003157277</v>
      </c>
      <c r="AM27" s="59">
        <f t="shared" si="5"/>
        <v>455.71596771691679</v>
      </c>
      <c r="AN27" s="59">
        <f ca="1">AVERAGE(OFFSET($AM$3,0,0,'Données projet'!$E$10+1,1))-AVERAGE(OFFSET($H$3,0,0,'Données projet'!$E$10+1,1))</f>
        <v>676.7112666359476</v>
      </c>
      <c r="AO27" s="59">
        <f t="shared" si="36"/>
        <v>309.67876644201385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93.142162285714292</v>
      </c>
      <c r="BF27" s="13">
        <f t="shared" si="37"/>
        <v>25.321518692254507</v>
      </c>
      <c r="BG27" s="20">
        <f t="shared" si="7"/>
        <v>206.32424436996232</v>
      </c>
      <c r="BH27" s="59">
        <f t="shared" si="8"/>
        <v>452.57291177115144</v>
      </c>
      <c r="BI27" s="59">
        <f ca="1">AVERAGE(OFFSET($BH$3,0,0,'Données projet'!$E$11+1,1))-AVERAGE(OFFSET($H$3,0,0,'Données projet'!$E$11+1,1))</f>
        <v>667.4887768032404</v>
      </c>
      <c r="BJ27" s="59">
        <f t="shared" si="38"/>
        <v>305.76944302827178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88.776123428571438</v>
      </c>
      <c r="CA27" s="13">
        <f t="shared" si="39"/>
        <v>24.269820635958951</v>
      </c>
      <c r="CB27" s="20">
        <f t="shared" si="10"/>
        <v>196.88835257905711</v>
      </c>
      <c r="CC27" s="59">
        <f t="shared" si="11"/>
        <v>443.13701998024624</v>
      </c>
      <c r="CD27" s="59">
        <f ca="1">AVERAGE(OFFSET($CC$3,0,0,'Données projet'!$E$12+1,1))-AVERAGE(OFFSET($H$3,0,0,'Données projet'!$E$12+1,1))</f>
        <v>639.80378676828764</v>
      </c>
      <c r="CE27" s="59">
        <f t="shared" si="40"/>
        <v>294.03328334345281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102.39999999999998</v>
      </c>
      <c r="CU27" s="17">
        <f>CT27*VLOOKUP('Données projet'!$B$13,Paramètres!$A$1:$I$89,3,0)*VLOOKUP('Données projet'!$B$13,Paramètres!$A$1:$I$89,5,0)</f>
        <v>89.456639999999993</v>
      </c>
      <c r="CV27" s="13">
        <f t="shared" si="41"/>
        <v>24.434133496437113</v>
      </c>
      <c r="CW27" s="20">
        <f t="shared" si="13"/>
        <v>198.35976383962796</v>
      </c>
      <c r="CX27" s="59">
        <f t="shared" si="14"/>
        <v>444.60843124081703</v>
      </c>
      <c r="CY27" s="59">
        <f ca="1">AVERAGE(OFFSET($CX$3,0,0,'Données projet'!$E$13+1,1))-AVERAGE(OFFSET($H$3,0,0,'Données projet'!$E$13+1,1))</f>
        <v>340.64710509454375</v>
      </c>
      <c r="CZ27" s="59">
        <f t="shared" si="42"/>
        <v>329.6409514360613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3.887142857142857</v>
      </c>
      <c r="DO27" s="12">
        <f>IF('Données projet'!$A$166&gt;35,DO26+DN27-DW26,IF(A27&lt;'Données projet'!$A$166,$DL$205^A27,IF(A27='Données projet'!$A$166,'Données projet'!$B$166,DO26+DN27-DW26)))</f>
        <v>93.291428571428582</v>
      </c>
      <c r="DP27" s="17">
        <f>DO27*VLOOKUP('Données projet'!$B$14,Paramètres!$A$1:$I$89,3,0)*VLOOKUP('Données projet'!$B$14,Paramètres!$A$1:$I$89,5,0)</f>
        <v>90.231469714285723</v>
      </c>
      <c r="DQ27" s="13">
        <f t="shared" si="43"/>
        <v>24.621041567119438</v>
      </c>
      <c r="DR27" s="20">
        <f t="shared" si="16"/>
        <v>200.03479048178065</v>
      </c>
      <c r="DS27" s="59">
        <f t="shared" si="17"/>
        <v>446.28345788296974</v>
      </c>
      <c r="DT27" s="59">
        <f ca="1">AVERAGE(OFFSET($DS$3,0,0,'Données projet'!$E$14+1,1))-AVERAGE(OFFSET($H$3,0,0,'Données projet'!$E$14+1,1))</f>
        <v>649.03508893149228</v>
      </c>
      <c r="DU27" s="59">
        <f t="shared" si="44"/>
        <v>297.94672581383213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3.887142857142857</v>
      </c>
      <c r="EJ27" s="12">
        <f>IF('Données projet'!$A$192&gt;35,EJ26+EI27-ER26,IF(A27&lt;'Données projet'!$A$192,$EG$205^A27,IF(A27='Données projet'!$A$192,'Données projet'!$B$192,EJ26+EI27-ER26)))</f>
        <v>93.291428571428582</v>
      </c>
      <c r="EK27" s="17">
        <f>EJ27*VLOOKUP('Données projet'!$B$15,Paramètres!$A$1:$I$89,3,0)*VLOOKUP('Données projet'!$B$15,Paramètres!$A$1:$I$89,5,0)</f>
        <v>100.41889371428572</v>
      </c>
      <c r="EL27" s="13">
        <f t="shared" si="45"/>
        <v>27.06176890742432</v>
      </c>
      <c r="EM27" s="20">
        <f t="shared" si="19"/>
        <v>222.02882073281162</v>
      </c>
      <c r="EN27" s="59">
        <f t="shared" si="20"/>
        <v>468.27748813400069</v>
      </c>
      <c r="EO27" s="59">
        <f ca="1">AVERAGE(OFFSET($EN$3,0,0,'Données projet'!$E$15+1,1))-AVERAGE(OFFSET($H$3,0,0,'Données projet'!$E$15+1,1))</f>
        <v>713.57333631602273</v>
      </c>
      <c r="EP27" s="59">
        <f t="shared" si="46"/>
        <v>325.30302392555359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10.6</v>
      </c>
      <c r="FE27" s="12">
        <f>IF('Données projet'!$A$218&gt;35,FE26+FD27-FM26,IF(A27&lt;'Données projet'!$A$218,$FB$205^A27,IF(A27='Données projet'!$A$218,'Données projet'!$B$218,FE26+FD27-FM26)))</f>
        <v>102.39999999999996</v>
      </c>
      <c r="FF27" s="17">
        <f>FE27*VLOOKUP('Données projet'!$B$16,Paramètres!$A$1:$I$89,3,0)*VLOOKUP('Données projet'!$B$16,Paramètres!$A$1:$I$89,5,0)</f>
        <v>79.871999999999971</v>
      </c>
      <c r="FG27" s="13">
        <f t="shared" si="47"/>
        <v>22.105884547145401</v>
      </c>
      <c r="FH27" s="20">
        <f t="shared" si="22"/>
        <v>177.61148225294485</v>
      </c>
      <c r="FI27" s="59">
        <f t="shared" si="23"/>
        <v>423.86014965413392</v>
      </c>
      <c r="FJ27" s="59">
        <f ca="1">AVERAGE(OFFSET($FI$3,0,0,'Données projet'!$E$16+1,1))-AVERAGE(OFFSET($H$3,0,0,'Données projet'!$E$16+1,1))</f>
        <v>302.04287561738482</v>
      </c>
      <c r="FK27" s="59">
        <f t="shared" si="48"/>
        <v>296.09828774694802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4.5634616147518265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4.5634616147518265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3.8113157894736847</v>
      </c>
      <c r="FZ27" s="12">
        <f>IF('Données projet'!$A$244&gt;35,FZ26+FY27-GH26,IF(A27&lt;'Données projet'!$A$244,$FW$205^A27,IF(A27='Données projet'!$A$244,'Données projet'!$B$244,FZ26+FY27-GH26)))</f>
        <v>91.471578947368386</v>
      </c>
      <c r="GA27" s="17">
        <f>FZ27*VLOOKUP('Données projet'!$B$17,Paramètres!$A$1:$I$89,3,0)*VLOOKUP('Données projet'!$B$17,Paramètres!$A$1:$I$89,5,0)</f>
        <v>77.055658105263134</v>
      </c>
      <c r="GB27" s="13">
        <f t="shared" si="49"/>
        <v>21.415713640805496</v>
      </c>
      <c r="GC27" s="20">
        <f t="shared" si="25"/>
        <v>171.50430579106953</v>
      </c>
      <c r="GD27" s="59">
        <f t="shared" si="26"/>
        <v>417.75297319225865</v>
      </c>
      <c r="GE27" s="59">
        <f ca="1">AVERAGE(OFFSET($GD$3,0,0,'Données projet'!$E$17+1,1))-AVERAGE(OFFSET($H$3,0,0,'Données projet'!$E$17+1,1))</f>
        <v>385.41819366740276</v>
      </c>
      <c r="GF27" s="59">
        <f t="shared" si="50"/>
        <v>262.4625391252718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59.15872747305157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3.3000000000000003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12.100000000000001</v>
      </c>
      <c r="H28" s="67">
        <f t="shared" si="1"/>
        <v>208.26666666666665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3.887142857142857</v>
      </c>
      <c r="N28" s="13">
        <f>IF('Données projet'!$A$36&gt;35,N27+M28-V27,IF(A28&lt;'Données projet'!$A$36,$K$205^A28,IF(A28='Données projet'!$A$36,'Données projet'!$B$36,N27+M28-V27)))</f>
        <v>97.178571428571445</v>
      </c>
      <c r="O28" s="13">
        <f>N28*VLOOKUP('Données projet'!$B$9,Paramètres!$A$1:$I$89,3,0)*VLOOKUP('Données projet'!$B$9,Paramètres!$A$1:$I$89,5,0)</f>
        <v>87.927171428571441</v>
      </c>
      <c r="P28" s="13">
        <f t="shared" si="33"/>
        <v>24.06463273936156</v>
      </c>
      <c r="Q28" s="20">
        <f t="shared" si="2"/>
        <v>195.05239225914997</v>
      </c>
      <c r="R28" s="59">
        <f t="shared" si="0"/>
        <v>443.21287863248472</v>
      </c>
      <c r="S28" s="59">
        <f ca="1">AVERAGE(OFFSET($R$3,0,0,'Données projet'!$E$9+1,1))-AVERAGE(OFFSET($H$3,0,0,'Données projet'!$E$9+1,1))</f>
        <v>612.09138396952153</v>
      </c>
      <c r="T28" s="59">
        <f t="shared" si="34"/>
        <v>282.284310393542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98.539071428571447</v>
      </c>
      <c r="AK28" s="13">
        <f t="shared" si="35"/>
        <v>26.613653910702727</v>
      </c>
      <c r="AL28" s="20">
        <f t="shared" si="4"/>
        <v>217.97432996590248</v>
      </c>
      <c r="AM28" s="59">
        <f t="shared" si="5"/>
        <v>466.1348163392372</v>
      </c>
      <c r="AN28" s="59">
        <f ca="1">AVERAGE(OFFSET($AM$3,0,0,'Données projet'!$E$10+1,1))-AVERAGE(OFFSET($H$3,0,0,'Données projet'!$E$10+1,1))</f>
        <v>676.7112666359476</v>
      </c>
      <c r="AO28" s="59">
        <f t="shared" si="36"/>
        <v>309.67876644201385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97.023085714285742</v>
      </c>
      <c r="BF28" s="13">
        <f t="shared" si="37"/>
        <v>26.251546190080532</v>
      </c>
      <c r="BG28" s="20">
        <f t="shared" si="7"/>
        <v>214.70331723343793</v>
      </c>
      <c r="BH28" s="59">
        <f t="shared" si="8"/>
        <v>462.86380360677265</v>
      </c>
      <c r="BI28" s="59">
        <f ca="1">AVERAGE(OFFSET($BH$3,0,0,'Données projet'!$E$11+1,1))-AVERAGE(OFFSET($H$3,0,0,'Données projet'!$E$11+1,1))</f>
        <v>667.4887768032404</v>
      </c>
      <c r="BJ28" s="59">
        <f t="shared" si="38"/>
        <v>305.76944302827178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92.475128571428584</v>
      </c>
      <c r="CA28" s="13">
        <f t="shared" si="39"/>
        <v>25.161220588429078</v>
      </c>
      <c r="CB28" s="20">
        <f t="shared" si="10"/>
        <v>204.88330812008542</v>
      </c>
      <c r="CC28" s="59">
        <f t="shared" si="11"/>
        <v>453.04379449342014</v>
      </c>
      <c r="CD28" s="59">
        <f ca="1">AVERAGE(OFFSET($CC$3,0,0,'Données projet'!$E$12+1,1))-AVERAGE(OFFSET($H$3,0,0,'Données projet'!$E$12+1,1))</f>
        <v>639.80378676828764</v>
      </c>
      <c r="CE28" s="59">
        <f t="shared" si="40"/>
        <v>294.03328334345281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115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114.99999999999997</v>
      </c>
      <c r="CU28" s="17">
        <f>CT28*VLOOKUP('Données projet'!$B$13,Paramètres!$A$1:$I$89,3,0)*VLOOKUP('Données projet'!$B$13,Paramètres!$A$1:$I$89,5,0)</f>
        <v>100.46399999999998</v>
      </c>
      <c r="CV28" s="13">
        <f t="shared" si="41"/>
        <v>27.072509349827456</v>
      </c>
      <c r="CW28" s="20">
        <f t="shared" si="13"/>
        <v>222.12608711761615</v>
      </c>
      <c r="CX28" s="59">
        <f t="shared" si="14"/>
        <v>470.2865734909509</v>
      </c>
      <c r="CY28" s="59">
        <f ca="1">AVERAGE(OFFSET($CX$3,0,0,'Données projet'!$E$13+1,1))-AVERAGE(OFFSET($H$3,0,0,'Données projet'!$E$13+1,1))</f>
        <v>340.64710509454375</v>
      </c>
      <c r="CZ28" s="59">
        <f t="shared" si="42"/>
        <v>329.6409514360613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3.887142857142857</v>
      </c>
      <c r="DO28" s="12">
        <f>IF('Données projet'!$A$166&gt;35,DO27+DN28-DW27,IF(A28&lt;'Données projet'!$A$166,$DL$205^A28,IF(A28='Données projet'!$A$166,'Données projet'!$B$166,DO27+DN28-DW27)))</f>
        <v>97.178571428571445</v>
      </c>
      <c r="DP28" s="17">
        <f>DO28*VLOOKUP('Données projet'!$B$14,Paramètres!$A$1:$I$89,3,0)*VLOOKUP('Données projet'!$B$14,Paramètres!$A$1:$I$89,5,0)</f>
        <v>93.991114285714303</v>
      </c>
      <c r="DQ28" s="13">
        <f t="shared" si="43"/>
        <v>25.525341422149168</v>
      </c>
      <c r="DR28" s="20">
        <f t="shared" si="16"/>
        <v>208.15782702452887</v>
      </c>
      <c r="DS28" s="59">
        <f t="shared" si="17"/>
        <v>456.31831339786362</v>
      </c>
      <c r="DT28" s="59">
        <f ca="1">AVERAGE(OFFSET($DS$3,0,0,'Données projet'!$E$14+1,1))-AVERAGE(OFFSET($H$3,0,0,'Données projet'!$E$14+1,1))</f>
        <v>649.03508893149228</v>
      </c>
      <c r="DU28" s="59">
        <f t="shared" si="44"/>
        <v>297.94672581383213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3.887142857142857</v>
      </c>
      <c r="EJ28" s="12">
        <f>IF('Données projet'!$A$192&gt;35,EJ27+EI28-ER27,IF(A28&lt;'Données projet'!$A$192,$EG$205^A28,IF(A28='Données projet'!$A$192,'Données projet'!$B$192,EJ27+EI28-ER27)))</f>
        <v>97.178571428571445</v>
      </c>
      <c r="EK28" s="17">
        <f>EJ28*VLOOKUP('Données projet'!$B$15,Paramètres!$A$1:$I$89,3,0)*VLOOKUP('Données projet'!$B$15,Paramètres!$A$1:$I$89,5,0)</f>
        <v>104.60301428571429</v>
      </c>
      <c r="EL28" s="13">
        <f t="shared" si="45"/>
        <v>28.055713604407149</v>
      </c>
      <c r="EM28" s="20">
        <f t="shared" si="19"/>
        <v>231.04728440862814</v>
      </c>
      <c r="EN28" s="59">
        <f t="shared" si="20"/>
        <v>479.20777078196289</v>
      </c>
      <c r="EO28" s="59">
        <f ca="1">AVERAGE(OFFSET($EN$3,0,0,'Données projet'!$E$15+1,1))-AVERAGE(OFFSET($H$3,0,0,'Données projet'!$E$15+1,1))</f>
        <v>713.57333631602273</v>
      </c>
      <c r="EP28" s="59">
        <f t="shared" si="46"/>
        <v>325.30302392555359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113</v>
      </c>
      <c r="FC28" s="12">
        <f>VLOOKUP(A28,'Données projet'!$A$217:$I$237,9,0)</f>
        <v>10.6</v>
      </c>
      <c r="FD28" s="12">
        <f t="array" ref="FD28">INDEX(FC:FC,MIN(IF(ISNUMBER(FC28:FC224),ROW(FC28:FC224),"")))</f>
        <v>10.6</v>
      </c>
      <c r="FE28" s="12">
        <f>IF('Données projet'!$A$218&gt;35,FE27+FD28-FM27,IF(A28&lt;'Données projet'!$A$218,$FB$205^A28,IF(A28='Données projet'!$A$218,'Données projet'!$B$218,FE27+FD28-FM27)))</f>
        <v>112.99999999999996</v>
      </c>
      <c r="FF28" s="17">
        <f>FE28*VLOOKUP('Données projet'!$B$16,Paramètres!$A$1:$I$89,3,0)*VLOOKUP('Données projet'!$B$16,Paramètres!$A$1:$I$89,5,0)</f>
        <v>88.139999999999972</v>
      </c>
      <c r="FG28" s="13">
        <f t="shared" si="47"/>
        <v>24.116094026318823</v>
      </c>
      <c r="FH28" s="20">
        <f t="shared" si="22"/>
        <v>195.51269709583855</v>
      </c>
      <c r="FI28" s="59">
        <f t="shared" si="23"/>
        <v>443.6731834691733</v>
      </c>
      <c r="FJ28" s="59">
        <f ca="1">AVERAGE(OFFSET($FI$3,0,0,'Données projet'!$E$16+1,1))-AVERAGE(OFFSET($H$3,0,0,'Données projet'!$E$16+1,1))</f>
        <v>302.04287561738482</v>
      </c>
      <c r="FK28" s="59">
        <f t="shared" si="48"/>
        <v>296.09828774694802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27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0.215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9.4244244477840713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9.4244244477840713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3.8113157894736847</v>
      </c>
      <c r="FZ28" s="12">
        <f>IF('Données projet'!$A$244&gt;35,FZ27+FY28-GH27,IF(A28&lt;'Données projet'!$A$244,$FW$205^A28,IF(A28='Données projet'!$A$244,'Données projet'!$B$244,FZ27+FY28-GH27)))</f>
        <v>95.282894736842067</v>
      </c>
      <c r="GA28" s="17">
        <f>FZ28*VLOOKUP('Données projet'!$B$17,Paramètres!$A$1:$I$89,3,0)*VLOOKUP('Données projet'!$B$17,Paramètres!$A$1:$I$89,5,0)</f>
        <v>80.266310526315763</v>
      </c>
      <c r="GB28" s="13">
        <f t="shared" si="49"/>
        <v>22.202285837109411</v>
      </c>
      <c r="GC28" s="20">
        <f t="shared" si="25"/>
        <v>178.46613866629886</v>
      </c>
      <c r="GD28" s="59">
        <f t="shared" si="26"/>
        <v>426.62662503963361</v>
      </c>
      <c r="GE28" s="59">
        <f ca="1">AVERAGE(OFFSET($GD$3,0,0,'Données projet'!$E$17+1,1))-AVERAGE(OFFSET($H$3,0,0,'Données projet'!$E$17+1,1))</f>
        <v>385.41819366740276</v>
      </c>
      <c r="GF28" s="59">
        <f t="shared" si="50"/>
        <v>262.4625391252718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59.346799313939783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3.3000000000000003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12.100000000000001</v>
      </c>
      <c r="H29" s="67">
        <f t="shared" si="1"/>
        <v>208.26666666666665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3.887142857142857</v>
      </c>
      <c r="N29" s="13">
        <f>IF('Données projet'!$A$36&gt;35,N28+M29-V28,IF(A29&lt;'Données projet'!$A$36,$K$205^A29,IF(A29='Données projet'!$A$36,'Données projet'!$B$36,N28+M29-V28)))</f>
        <v>101.06571428571431</v>
      </c>
      <c r="O29" s="13">
        <f>N29*VLOOKUP('Données projet'!$B$9,Paramètres!$A$1:$I$89,3,0)*VLOOKUP('Données projet'!$B$9,Paramètres!$A$1:$I$89,5,0)</f>
        <v>91.444258285714298</v>
      </c>
      <c r="P29" s="13">
        <f t="shared" si="33"/>
        <v>24.913221926074399</v>
      </c>
      <c r="Q29" s="20">
        <f t="shared" si="2"/>
        <v>202.65594470219867</v>
      </c>
      <c r="R29" s="59">
        <f t="shared" si="0"/>
        <v>452.71628708577532</v>
      </c>
      <c r="S29" s="59">
        <f ca="1">AVERAGE(OFFSET($R$3,0,0,'Données projet'!$E$9+1,1))-AVERAGE(OFFSET($H$3,0,0,'Données projet'!$E$9+1,1))</f>
        <v>612.09138396952153</v>
      </c>
      <c r="T29" s="59">
        <f t="shared" si="34"/>
        <v>282.284310393542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102.48063428571432</v>
      </c>
      <c r="AK29" s="13">
        <f t="shared" si="35"/>
        <v>27.552129023626446</v>
      </c>
      <c r="AL29" s="20">
        <f t="shared" si="4"/>
        <v>226.47372943043516</v>
      </c>
      <c r="AM29" s="59">
        <f t="shared" si="5"/>
        <v>476.53407181401178</v>
      </c>
      <c r="AN29" s="59">
        <f ca="1">AVERAGE(OFFSET($AM$3,0,0,'Données projet'!$E$10+1,1))-AVERAGE(OFFSET($H$3,0,0,'Données projet'!$E$10+1,1))</f>
        <v>676.7112666359476</v>
      </c>
      <c r="AO29" s="59">
        <f t="shared" si="36"/>
        <v>309.67876644201385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100.90400914285718</v>
      </c>
      <c r="BF29" s="13">
        <f t="shared" si="37"/>
        <v>27.177252327908196</v>
      </c>
      <c r="BG29" s="20">
        <f t="shared" si="7"/>
        <v>223.07486372824971</v>
      </c>
      <c r="BH29" s="59">
        <f t="shared" si="8"/>
        <v>473.13520611182639</v>
      </c>
      <c r="BI29" s="59">
        <f ca="1">AVERAGE(OFFSET($BH$3,0,0,'Données projet'!$E$11+1,1))-AVERAGE(OFFSET($H$3,0,0,'Données projet'!$E$11+1,1))</f>
        <v>667.4887768032404</v>
      </c>
      <c r="BJ29" s="59">
        <f t="shared" si="38"/>
        <v>305.76944302827178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96.17413371428573</v>
      </c>
      <c r="CA29" s="13">
        <f t="shared" si="39"/>
        <v>26.048478663259949</v>
      </c>
      <c r="CB29" s="20">
        <f t="shared" si="10"/>
        <v>212.87104989089207</v>
      </c>
      <c r="CC29" s="59">
        <f t="shared" si="11"/>
        <v>462.93139227446875</v>
      </c>
      <c r="CD29" s="59">
        <f ca="1">AVERAGE(OFFSET($CC$3,0,0,'Données projet'!$E$12+1,1))-AVERAGE(OFFSET($H$3,0,0,'Données projet'!$E$12+1,1))</f>
        <v>639.80378676828764</v>
      </c>
      <c r="CE29" s="59">
        <f t="shared" si="40"/>
        <v>294.03328334345281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11.8</v>
      </c>
      <c r="CT29" s="12">
        <f>IF('Données projet'!$A$140&gt;35,CT28+CS29-DB28,IF(A29&lt;'Données projet'!$A$140,$CQ$205^A29,IF(A29='Données projet'!$A$140,'Données projet'!$B$140,CT28+CS29-DB28)))</f>
        <v>98.799999999999969</v>
      </c>
      <c r="CU29" s="17">
        <f>CT29*VLOOKUP('Données projet'!$B$13,Paramètres!$A$1:$I$89,3,0)*VLOOKUP('Données projet'!$B$13,Paramètres!$A$1:$I$89,5,0)</f>
        <v>86.311679999999981</v>
      </c>
      <c r="CV29" s="13">
        <f t="shared" si="41"/>
        <v>23.673536308765939</v>
      </c>
      <c r="CW29" s="20">
        <f t="shared" si="13"/>
        <v>191.55758507110065</v>
      </c>
      <c r="CX29" s="59">
        <f t="shared" si="14"/>
        <v>441.61792745467733</v>
      </c>
      <c r="CY29" s="59">
        <f ca="1">AVERAGE(OFFSET($CX$3,0,0,'Données projet'!$E$13+1,1))-AVERAGE(OFFSET($H$3,0,0,'Données projet'!$E$13+1,1))</f>
        <v>340.64710509454375</v>
      </c>
      <c r="CZ29" s="59">
        <f t="shared" si="42"/>
        <v>329.6409514360613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3.887142857142857</v>
      </c>
      <c r="DO29" s="12">
        <f>IF('Données projet'!$A$166&gt;35,DO28+DN29-DW28,IF(A29&lt;'Données projet'!$A$166,$DL$205^A29,IF(A29='Données projet'!$A$166,'Données projet'!$B$166,DO28+DN29-DW28)))</f>
        <v>101.06571428571431</v>
      </c>
      <c r="DP29" s="17">
        <f>DO29*VLOOKUP('Données projet'!$B$14,Paramètres!$A$1:$I$89,3,0)*VLOOKUP('Données projet'!$B$14,Paramètres!$A$1:$I$89,5,0)</f>
        <v>97.750758857142884</v>
      </c>
      <c r="DQ29" s="13">
        <f t="shared" si="43"/>
        <v>26.425439460319531</v>
      </c>
      <c r="DR29" s="20">
        <f t="shared" si="16"/>
        <v>216.2735454029137</v>
      </c>
      <c r="DS29" s="59">
        <f t="shared" si="17"/>
        <v>466.33388778649032</v>
      </c>
      <c r="DT29" s="59">
        <f ca="1">AVERAGE(OFFSET($DS$3,0,0,'Données projet'!$E$14+1,1))-AVERAGE(OFFSET($H$3,0,0,'Données projet'!$E$14+1,1))</f>
        <v>649.03508893149228</v>
      </c>
      <c r="DU29" s="59">
        <f t="shared" si="44"/>
        <v>297.94672581383213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3.887142857142857</v>
      </c>
      <c r="EJ29" s="12">
        <f>IF('Données projet'!$A$192&gt;35,EJ28+EI29-ER28,IF(A29&lt;'Données projet'!$A$192,$EG$205^A29,IF(A29='Données projet'!$A$192,'Données projet'!$B$192,EJ28+EI29-ER28)))</f>
        <v>101.06571428571431</v>
      </c>
      <c r="EK29" s="17">
        <f>EJ29*VLOOKUP('Données projet'!$B$15,Paramètres!$A$1:$I$89,3,0)*VLOOKUP('Données projet'!$B$15,Paramètres!$A$1:$I$89,5,0)</f>
        <v>108.78713485714287</v>
      </c>
      <c r="EL29" s="13">
        <f t="shared" si="45"/>
        <v>29.045039951003361</v>
      </c>
      <c r="EM29" s="20">
        <f t="shared" si="19"/>
        <v>240.05770445752137</v>
      </c>
      <c r="EN29" s="59">
        <f t="shared" si="20"/>
        <v>490.11804684109802</v>
      </c>
      <c r="EO29" s="59">
        <f ca="1">AVERAGE(OFFSET($EN$3,0,0,'Données projet'!$E$15+1,1))-AVERAGE(OFFSET($H$3,0,0,'Données projet'!$E$15+1,1))</f>
        <v>713.57333631602273</v>
      </c>
      <c r="EP29" s="59">
        <f t="shared" si="46"/>
        <v>325.30302392555359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11.5</v>
      </c>
      <c r="FE29" s="12">
        <f>IF('Données projet'!$A$218&gt;35,FE28+FD29-FM28,IF(A29&lt;'Données projet'!$A$218,$FB$205^A29,IF(A29='Données projet'!$A$218,'Données projet'!$B$218,FE28+FD29-FM28)))</f>
        <v>97.499999999999957</v>
      </c>
      <c r="FF29" s="17">
        <f>FE29*VLOOKUP('Données projet'!$B$16,Paramètres!$A$1:$I$89,3,0)*VLOOKUP('Données projet'!$B$16,Paramètres!$A$1:$I$89,5,0)</f>
        <v>76.049999999999969</v>
      </c>
      <c r="FG29" s="13">
        <f t="shared" si="47"/>
        <v>21.168560890749262</v>
      </c>
      <c r="FH29" s="20">
        <f t="shared" si="22"/>
        <v>169.32232688472158</v>
      </c>
      <c r="FI29" s="59">
        <f t="shared" si="23"/>
        <v>419.38266926829823</v>
      </c>
      <c r="FJ29" s="59">
        <f ca="1">AVERAGE(OFFSET($FI$3,0,0,'Données projet'!$E$16+1,1))-AVERAGE(OFFSET($H$3,0,0,'Données projet'!$E$16+1,1))</f>
        <v>302.04287561738482</v>
      </c>
      <c r="FK29" s="59">
        <f t="shared" si="48"/>
        <v>296.09828774694802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9.1667130656504732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9.1667130656504732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3.8113157894736847</v>
      </c>
      <c r="FZ29" s="12">
        <f>IF('Données projet'!$A$244&gt;35,FZ28+FY29-GH28,IF(A29&lt;'Données projet'!$A$244,$FW$205^A29,IF(A29='Données projet'!$A$244,'Données projet'!$B$244,FZ28+FY29-GH28)))</f>
        <v>99.094210526315749</v>
      </c>
      <c r="GA29" s="17">
        <f>FZ29*VLOOKUP('Données projet'!$B$17,Paramètres!$A$1:$I$89,3,0)*VLOOKUP('Données projet'!$B$17,Paramètres!$A$1:$I$89,5,0)</f>
        <v>83.476962947368392</v>
      </c>
      <c r="GB29" s="13">
        <f t="shared" si="49"/>
        <v>22.985203236503651</v>
      </c>
      <c r="GC29" s="20">
        <f t="shared" si="25"/>
        <v>185.42160610357715</v>
      </c>
      <c r="GD29" s="59">
        <f t="shared" si="26"/>
        <v>435.48194848715377</v>
      </c>
      <c r="GE29" s="59">
        <f ca="1">AVERAGE(OFFSET($GD$3,0,0,'Données projet'!$E$17+1,1))-AVERAGE(OFFSET($H$3,0,0,'Données projet'!$E$17+1,1))</f>
        <v>385.41819366740276</v>
      </c>
      <c r="GF29" s="59">
        <f t="shared" si="50"/>
        <v>262.4625391252718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59.531608528854235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3.3000000000000003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12.100000000000001</v>
      </c>
      <c r="H30" s="67">
        <f t="shared" si="1"/>
        <v>208.26666666666665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3.887142857142857</v>
      </c>
      <c r="N30" s="13">
        <f>IF('Données projet'!$A$36&gt;35,N29+M30-V29,IF(A30&lt;'Données projet'!$A$36,$K$205^A30,IF(A30='Données projet'!$A$36,'Données projet'!$B$36,N29+M30-V29)))</f>
        <v>104.95285714285717</v>
      </c>
      <c r="O30" s="13">
        <f>N30*VLOOKUP('Données projet'!$B$9,Paramètres!$A$1:$I$89,3,0)*VLOOKUP('Données projet'!$B$9,Paramètres!$A$1:$I$89,5,0)</f>
        <v>94.961345142857169</v>
      </c>
      <c r="P30" s="13">
        <f t="shared" si="33"/>
        <v>25.758019548315733</v>
      </c>
      <c r="Q30" s="20">
        <f t="shared" si="2"/>
        <v>210.25289350379276</v>
      </c>
      <c r="R30" s="59">
        <f t="shared" si="0"/>
        <v>462.20133646635134</v>
      </c>
      <c r="S30" s="59">
        <f ca="1">AVERAGE(OFFSET($R$3,0,0,'Données projet'!$E$9+1,1))-AVERAGE(OFFSET($H$3,0,0,'Données projet'!$E$9+1,1))</f>
        <v>612.09138396952153</v>
      </c>
      <c r="T30" s="59">
        <f t="shared" si="34"/>
        <v>282.284310393542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106.42219714285717</v>
      </c>
      <c r="AK30" s="13">
        <f t="shared" si="35"/>
        <v>28.486410954559084</v>
      </c>
      <c r="AL30" s="20">
        <f t="shared" si="4"/>
        <v>234.96582576966659</v>
      </c>
      <c r="AM30" s="59">
        <f t="shared" si="5"/>
        <v>486.9142687322252</v>
      </c>
      <c r="AN30" s="59">
        <f ca="1">AVERAGE(OFFSET($AM$3,0,0,'Données projet'!$E$10+1,1))-AVERAGE(OFFSET($H$3,0,0,'Données projet'!$E$10+1,1))</f>
        <v>676.7112666359476</v>
      </c>
      <c r="AO30" s="59">
        <f t="shared" si="36"/>
        <v>309.67876644201385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104.78493257142861</v>
      </c>
      <c r="BF30" s="13">
        <f t="shared" si="37"/>
        <v>28.098822336548452</v>
      </c>
      <c r="BG30" s="20">
        <f t="shared" si="7"/>
        <v>231.43920646472668</v>
      </c>
      <c r="BH30" s="59">
        <f t="shared" si="8"/>
        <v>483.38764942728528</v>
      </c>
      <c r="BI30" s="59">
        <f ca="1">AVERAGE(OFFSET($BH$3,0,0,'Données projet'!$E$11+1,1))-AVERAGE(OFFSET($H$3,0,0,'Données projet'!$E$11+1,1))</f>
        <v>667.4887768032404</v>
      </c>
      <c r="BJ30" s="59">
        <f t="shared" si="38"/>
        <v>305.76944302827178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99.873138857142877</v>
      </c>
      <c r="CA30" s="13">
        <f t="shared" si="39"/>
        <v>26.931772397929201</v>
      </c>
      <c r="CB30" s="20">
        <f t="shared" si="10"/>
        <v>220.85188710258387</v>
      </c>
      <c r="CC30" s="59">
        <f t="shared" si="11"/>
        <v>472.80033006514248</v>
      </c>
      <c r="CD30" s="59">
        <f ca="1">AVERAGE(OFFSET($CC$3,0,0,'Données projet'!$E$12+1,1))-AVERAGE(OFFSET($H$3,0,0,'Données projet'!$E$12+1,1))</f>
        <v>639.80378676828764</v>
      </c>
      <c r="CE30" s="59">
        <f t="shared" si="40"/>
        <v>294.03328334345281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11.8</v>
      </c>
      <c r="CT30" s="12">
        <f>IF('Données projet'!$A$140&gt;35,CT29+CS30-DB29,IF(A30&lt;'Données projet'!$A$140,$CQ$205^A30,IF(A30='Données projet'!$A$140,'Données projet'!$B$140,CT29+CS30-DB29)))</f>
        <v>110.59999999999997</v>
      </c>
      <c r="CU30" s="17">
        <f>CT30*VLOOKUP('Données projet'!$B$13,Paramètres!$A$1:$I$89,3,0)*VLOOKUP('Données projet'!$B$13,Paramètres!$A$1:$I$89,5,0)</f>
        <v>96.620159999999984</v>
      </c>
      <c r="CV30" s="13">
        <f t="shared" si="41"/>
        <v>26.155193107181663</v>
      </c>
      <c r="CW30" s="20">
        <f t="shared" si="13"/>
        <v>213.83373999500802</v>
      </c>
      <c r="CX30" s="59">
        <f t="shared" si="14"/>
        <v>465.78218295756659</v>
      </c>
      <c r="CY30" s="59">
        <f ca="1">AVERAGE(OFFSET($CX$3,0,0,'Données projet'!$E$13+1,1))-AVERAGE(OFFSET($H$3,0,0,'Données projet'!$E$13+1,1))</f>
        <v>340.64710509454375</v>
      </c>
      <c r="CZ30" s="59">
        <f t="shared" si="42"/>
        <v>329.6409514360613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3.887142857142857</v>
      </c>
      <c r="DO30" s="12">
        <f>IF('Données projet'!$A$166&gt;35,DO29+DN30-DW29,IF(A30&lt;'Données projet'!$A$166,$DL$205^A30,IF(A30='Données projet'!$A$166,'Données projet'!$B$166,DO29+DN30-DW29)))</f>
        <v>104.95285714285717</v>
      </c>
      <c r="DP30" s="17">
        <f>DO30*VLOOKUP('Données projet'!$B$14,Paramètres!$A$1:$I$89,3,0)*VLOOKUP('Données projet'!$B$14,Paramètres!$A$1:$I$89,5,0)</f>
        <v>101.51040342857146</v>
      </c>
      <c r="DQ30" s="13">
        <f t="shared" si="43"/>
        <v>27.32151578834339</v>
      </c>
      <c r="DR30" s="20">
        <f t="shared" si="16"/>
        <v>224.38225930279336</v>
      </c>
      <c r="DS30" s="59">
        <f t="shared" si="17"/>
        <v>476.33070226535193</v>
      </c>
      <c r="DT30" s="59">
        <f ca="1">AVERAGE(OFFSET($DS$3,0,0,'Données projet'!$E$14+1,1))-AVERAGE(OFFSET($H$3,0,0,'Données projet'!$E$14+1,1))</f>
        <v>649.03508893149228</v>
      </c>
      <c r="DU30" s="59">
        <f t="shared" si="44"/>
        <v>297.94672581383213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3.887142857142857</v>
      </c>
      <c r="EJ30" s="12">
        <f>IF('Données projet'!$A$192&gt;35,EJ29+EI30-ER29,IF(A30&lt;'Données projet'!$A$192,$EG$205^A30,IF(A30='Données projet'!$A$192,'Données projet'!$B$192,EJ29+EI30-ER29)))</f>
        <v>104.95285714285717</v>
      </c>
      <c r="EK30" s="17">
        <f>EJ30*VLOOKUP('Données projet'!$B$15,Paramètres!$A$1:$I$89,3,0)*VLOOKUP('Données projet'!$B$15,Paramètres!$A$1:$I$89,5,0)</f>
        <v>112.97125542857145</v>
      </c>
      <c r="EL30" s="13">
        <f t="shared" si="45"/>
        <v>30.029945908222491</v>
      </c>
      <c r="EM30" s="20">
        <f t="shared" si="19"/>
        <v>249.0604256615828</v>
      </c>
      <c r="EN30" s="59">
        <f t="shared" si="20"/>
        <v>501.00886862414137</v>
      </c>
      <c r="EO30" s="59">
        <f ca="1">AVERAGE(OFFSET($EN$3,0,0,'Données projet'!$E$15+1,1))-AVERAGE(OFFSET($H$3,0,0,'Données projet'!$E$15+1,1))</f>
        <v>713.57333631602273</v>
      </c>
      <c r="EP30" s="59">
        <f t="shared" si="46"/>
        <v>325.30302392555359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11.5</v>
      </c>
      <c r="FE30" s="12">
        <f>IF('Données projet'!$A$218&gt;35,FE29+FD30-FM29,IF(A30&lt;'Données projet'!$A$218,$FB$205^A30,IF(A30='Données projet'!$A$218,'Données projet'!$B$218,FE29+FD30-FM29)))</f>
        <v>108.99999999999996</v>
      </c>
      <c r="FF30" s="17">
        <f>FE30*VLOOKUP('Données projet'!$B$16,Paramètres!$A$1:$I$89,3,0)*VLOOKUP('Données projet'!$B$16,Paramètres!$A$1:$I$89,5,0)</f>
        <v>85.019999999999968</v>
      </c>
      <c r="FG30" s="13">
        <f t="shared" si="47"/>
        <v>23.360218970693097</v>
      </c>
      <c r="FH30" s="20">
        <f t="shared" si="22"/>
        <v>188.76221470729038</v>
      </c>
      <c r="FI30" s="59">
        <f t="shared" si="23"/>
        <v>440.71065766984896</v>
      </c>
      <c r="FJ30" s="59">
        <f ca="1">AVERAGE(OFFSET($FI$3,0,0,'Données projet'!$E$16+1,1))-AVERAGE(OFFSET($H$3,0,0,'Données projet'!$E$16+1,1))</f>
        <v>302.04287561738482</v>
      </c>
      <c r="FK30" s="59">
        <f t="shared" si="48"/>
        <v>296.09828774694802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8.916048814813772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8.916048814813772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3.8113157894736847</v>
      </c>
      <c r="FZ30" s="12">
        <f>IF('Données projet'!$A$244&gt;35,FZ29+FY30-GH29,IF(A30&lt;'Données projet'!$A$244,$FW$205^A30,IF(A30='Données projet'!$A$244,'Données projet'!$B$244,FZ29+FY30-GH29)))</f>
        <v>102.90552631578943</v>
      </c>
      <c r="GA30" s="17">
        <f>FZ30*VLOOKUP('Données projet'!$B$17,Paramètres!$A$1:$I$89,3,0)*VLOOKUP('Données projet'!$B$17,Paramètres!$A$1:$I$89,5,0)</f>
        <v>86.687615368421021</v>
      </c>
      <c r="GB30" s="13">
        <f t="shared" si="49"/>
        <v>23.764622498233482</v>
      </c>
      <c r="GC30" s="20">
        <f t="shared" si="25"/>
        <v>192.3709809510899</v>
      </c>
      <c r="GD30" s="59">
        <f t="shared" si="26"/>
        <v>444.31942391364851</v>
      </c>
      <c r="GE30" s="59">
        <f ca="1">AVERAGE(OFFSET($GD$3,0,0,'Données projet'!$E$17+1,1))-AVERAGE(OFFSET($H$3,0,0,'Données projet'!$E$17+1,1))</f>
        <v>385.41819366740276</v>
      </c>
      <c r="GF30" s="59">
        <f t="shared" si="50"/>
        <v>262.4625391252718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59.713211717061426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3.3000000000000003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12.100000000000001</v>
      </c>
      <c r="H31" s="67">
        <f t="shared" si="1"/>
        <v>208.26666666666665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3.887142857142857</v>
      </c>
      <c r="N31" s="13">
        <f>IF('Données projet'!$A$36&gt;35,N30+M31-V30,IF(A31&lt;'Données projet'!$A$36,$K$205^A31,IF(A31='Données projet'!$A$36,'Données projet'!$B$36,N30+M31-V30)))</f>
        <v>108.84000000000003</v>
      </c>
      <c r="O31" s="13">
        <f>N31*VLOOKUP('Données projet'!$B$9,Paramètres!$A$1:$I$89,3,0)*VLOOKUP('Données projet'!$B$9,Paramètres!$A$1:$I$89,5,0)</f>
        <v>98.478432000000026</v>
      </c>
      <c r="P31" s="13">
        <f t="shared" si="33"/>
        <v>26.599182115615513</v>
      </c>
      <c r="Q31" s="20">
        <f t="shared" si="2"/>
        <v>217.84351125136371</v>
      </c>
      <c r="R31" s="59">
        <f t="shared" si="0"/>
        <v>471.66850329209535</v>
      </c>
      <c r="S31" s="59">
        <f ca="1">AVERAGE(OFFSET($R$3,0,0,'Données projet'!$E$9+1,1))-AVERAGE(OFFSET($H$3,0,0,'Données projet'!$E$9+1,1))</f>
        <v>612.09138396952153</v>
      </c>
      <c r="T31" s="59">
        <f t="shared" si="34"/>
        <v>282.284310393542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110.36376000000004</v>
      </c>
      <c r="AK31" s="13">
        <f t="shared" si="35"/>
        <v>29.416672791139618</v>
      </c>
      <c r="AL31" s="20">
        <f t="shared" si="4"/>
        <v>243.45092044456825</v>
      </c>
      <c r="AM31" s="59">
        <f t="shared" si="5"/>
        <v>497.27591248529995</v>
      </c>
      <c r="AN31" s="59">
        <f ca="1">AVERAGE(OFFSET($AM$3,0,0,'Données projet'!$E$10+1,1))-AVERAGE(OFFSET($H$3,0,0,'Données projet'!$E$10+1,1))</f>
        <v>676.7112666359476</v>
      </c>
      <c r="AO31" s="59">
        <f t="shared" si="36"/>
        <v>309.67876644201385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108.66585600000003</v>
      </c>
      <c r="BF31" s="13">
        <f t="shared" si="37"/>
        <v>29.016426948594685</v>
      </c>
      <c r="BG31" s="20">
        <f t="shared" si="7"/>
        <v>239.79664280213578</v>
      </c>
      <c r="BH31" s="59">
        <f t="shared" si="8"/>
        <v>493.62163484286748</v>
      </c>
      <c r="BI31" s="59">
        <f ca="1">AVERAGE(OFFSET($BH$3,0,0,'Données projet'!$E$11+1,1))-AVERAGE(OFFSET($H$3,0,0,'Données projet'!$E$11+1,1))</f>
        <v>667.4887768032404</v>
      </c>
      <c r="BJ31" s="59">
        <f t="shared" si="38"/>
        <v>305.76944302827178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103.57214400000004</v>
      </c>
      <c r="CA31" s="13">
        <f t="shared" si="39"/>
        <v>27.811265433862424</v>
      </c>
      <c r="CB31" s="20">
        <f t="shared" si="10"/>
        <v>228.8261047639771</v>
      </c>
      <c r="CC31" s="59">
        <f t="shared" si="11"/>
        <v>482.6510968047088</v>
      </c>
      <c r="CD31" s="59">
        <f ca="1">AVERAGE(OFFSET($CC$3,0,0,'Données projet'!$E$12+1,1))-AVERAGE(OFFSET($H$3,0,0,'Données projet'!$E$12+1,1))</f>
        <v>639.80378676828764</v>
      </c>
      <c r="CE31" s="59">
        <f t="shared" si="40"/>
        <v>294.03328334345281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11.8</v>
      </c>
      <c r="CT31" s="12">
        <f>IF('Données projet'!$A$140&gt;35,CT30+CS31-DB30,IF(A31&lt;'Données projet'!$A$140,$CQ$205^A31,IF(A31='Données projet'!$A$140,'Données projet'!$B$140,CT30+CS31-DB30)))</f>
        <v>122.39999999999996</v>
      </c>
      <c r="CU31" s="17">
        <f>CT31*VLOOKUP('Données projet'!$B$13,Paramètres!$A$1:$I$89,3,0)*VLOOKUP('Données projet'!$B$13,Paramètres!$A$1:$I$89,5,0)</f>
        <v>106.92863999999997</v>
      </c>
      <c r="CV31" s="13">
        <f t="shared" si="41"/>
        <v>28.606159868782917</v>
      </c>
      <c r="CW31" s="20">
        <f t="shared" si="13"/>
        <v>236.05644310479684</v>
      </c>
      <c r="CX31" s="59">
        <f t="shared" si="14"/>
        <v>489.88143514552849</v>
      </c>
      <c r="CY31" s="59">
        <f ca="1">AVERAGE(OFFSET($CX$3,0,0,'Données projet'!$E$13+1,1))-AVERAGE(OFFSET($H$3,0,0,'Données projet'!$E$13+1,1))</f>
        <v>340.64710509454375</v>
      </c>
      <c r="CZ31" s="59">
        <f t="shared" si="42"/>
        <v>329.6409514360613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3.887142857142857</v>
      </c>
      <c r="DO31" s="12">
        <f>IF('Données projet'!$A$166&gt;35,DO30+DN31-DW30,IF(A31&lt;'Données projet'!$A$166,$DL$205^A31,IF(A31='Données projet'!$A$166,'Données projet'!$B$166,DO30+DN31-DW30)))</f>
        <v>108.84000000000003</v>
      </c>
      <c r="DP31" s="17">
        <f>DO31*VLOOKUP('Données projet'!$B$14,Paramètres!$A$1:$I$89,3,0)*VLOOKUP('Données projet'!$B$14,Paramètres!$A$1:$I$89,5,0)</f>
        <v>105.27004800000003</v>
      </c>
      <c r="DQ31" s="13">
        <f t="shared" si="43"/>
        <v>28.213736415784727</v>
      </c>
      <c r="DR31" s="20">
        <f t="shared" si="16"/>
        <v>232.48425785749177</v>
      </c>
      <c r="DS31" s="59">
        <f t="shared" si="17"/>
        <v>486.30924989822347</v>
      </c>
      <c r="DT31" s="59">
        <f ca="1">AVERAGE(OFFSET($DS$3,0,0,'Données projet'!$E$14+1,1))-AVERAGE(OFFSET($H$3,0,0,'Données projet'!$E$14+1,1))</f>
        <v>649.03508893149228</v>
      </c>
      <c r="DU31" s="59">
        <f t="shared" si="44"/>
        <v>297.94672581383213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3.887142857142857</v>
      </c>
      <c r="EJ31" s="12">
        <f>IF('Données projet'!$A$192&gt;35,EJ30+EI31-ER30,IF(A31&lt;'Données projet'!$A$192,$EG$205^A31,IF(A31='Données projet'!$A$192,'Données projet'!$B$192,EJ30+EI31-ER30)))</f>
        <v>108.84000000000003</v>
      </c>
      <c r="EK31" s="17">
        <f>EJ31*VLOOKUP('Données projet'!$B$15,Paramètres!$A$1:$I$89,3,0)*VLOOKUP('Données projet'!$B$15,Paramètres!$A$1:$I$89,5,0)</f>
        <v>117.15537600000002</v>
      </c>
      <c r="EL31" s="13">
        <f t="shared" si="45"/>
        <v>31.010613942449716</v>
      </c>
      <c r="EM31" s="20">
        <f t="shared" si="19"/>
        <v>258.05576581643328</v>
      </c>
      <c r="EN31" s="59">
        <f t="shared" si="20"/>
        <v>511.88075785716495</v>
      </c>
      <c r="EO31" s="59">
        <f ca="1">AVERAGE(OFFSET($EN$3,0,0,'Données projet'!$E$15+1,1))-AVERAGE(OFFSET($H$3,0,0,'Données projet'!$E$15+1,1))</f>
        <v>713.57333631602273</v>
      </c>
      <c r="EP31" s="59">
        <f t="shared" si="46"/>
        <v>325.30302392555359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11.5</v>
      </c>
      <c r="FE31" s="12">
        <f>IF('Données projet'!$A$218&gt;35,FE30+FD31-FM30,IF(A31&lt;'Données projet'!$A$218,$FB$205^A31,IF(A31='Données projet'!$A$218,'Données projet'!$B$218,FE30+FD31-FM30)))</f>
        <v>120.49999999999996</v>
      </c>
      <c r="FF31" s="17">
        <f>FE31*VLOOKUP('Données projet'!$B$16,Paramètres!$A$1:$I$89,3,0)*VLOOKUP('Données projet'!$B$16,Paramètres!$A$1:$I$89,5,0)</f>
        <v>93.989999999999966</v>
      </c>
      <c r="FG31" s="13">
        <f t="shared" si="47"/>
        <v>25.525074036970054</v>
      </c>
      <c r="FH31" s="20">
        <f t="shared" si="22"/>
        <v>208.15542061438944</v>
      </c>
      <c r="FI31" s="59">
        <f t="shared" si="23"/>
        <v>461.98041265512109</v>
      </c>
      <c r="FJ31" s="59">
        <f ca="1">AVERAGE(OFFSET($FI$3,0,0,'Données projet'!$E$16+1,1))-AVERAGE(OFFSET($H$3,0,0,'Données projet'!$E$16+1,1))</f>
        <v>302.04287561738482</v>
      </c>
      <c r="FK31" s="59">
        <f t="shared" si="48"/>
        <v>296.09828774694802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8.6722389910980606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8.6722389910980606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3.8113157894736847</v>
      </c>
      <c r="FZ31" s="12">
        <f>IF('Données projet'!$A$244&gt;35,FZ30+FY31-GH30,IF(A31&lt;'Données projet'!$A$244,$FW$205^A31,IF(A31='Données projet'!$A$244,'Données projet'!$B$244,FZ30+FY31-GH30)))</f>
        <v>106.71684210526311</v>
      </c>
      <c r="GA31" s="17">
        <f>FZ31*VLOOKUP('Données projet'!$B$17,Paramètres!$A$1:$I$89,3,0)*VLOOKUP('Données projet'!$B$17,Paramètres!$A$1:$I$89,5,0)</f>
        <v>89.89826778947365</v>
      </c>
      <c r="GB31" s="13">
        <f t="shared" si="49"/>
        <v>24.540688019654006</v>
      </c>
      <c r="GC31" s="20">
        <f t="shared" si="25"/>
        <v>199.31451470089735</v>
      </c>
      <c r="GD31" s="59">
        <f t="shared" si="26"/>
        <v>453.13950674162902</v>
      </c>
      <c r="GE31" s="59">
        <f ca="1">AVERAGE(OFFSET($GD$3,0,0,'Données projet'!$E$17+1,1))-AVERAGE(OFFSET($H$3,0,0,'Données projet'!$E$17+1,1))</f>
        <v>385.41819366740276</v>
      </c>
      <c r="GF31" s="59">
        <f t="shared" si="50"/>
        <v>262.4625391252718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59.89166449595713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3.3000000000000003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12.100000000000001</v>
      </c>
      <c r="H32" s="67">
        <f t="shared" si="1"/>
        <v>208.26666666666665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3.887142857142857</v>
      </c>
      <c r="N32" s="13">
        <f>IF('Données projet'!$A$36&gt;35,N31+M32-V31,IF(A32&lt;'Données projet'!$A$36,$K$205^A32,IF(A32='Données projet'!$A$36,'Données projet'!$B$36,N31+M32-V31)))</f>
        <v>112.72714285714289</v>
      </c>
      <c r="O32" s="13">
        <f>N32*VLOOKUP('Données projet'!$B$9,Paramètres!$A$1:$I$89,3,0)*VLOOKUP('Données projet'!$B$9,Paramètres!$A$1:$I$89,5,0)</f>
        <v>101.99551885714288</v>
      </c>
      <c r="P32" s="13">
        <f t="shared" si="33"/>
        <v>27.436854324518826</v>
      </c>
      <c r="Q32" s="20">
        <f t="shared" si="2"/>
        <v>225.4280499580608</v>
      </c>
      <c r="R32" s="59">
        <f t="shared" si="0"/>
        <v>481.11823996887063</v>
      </c>
      <c r="S32" s="59">
        <f ca="1">AVERAGE(OFFSET($R$3,0,0,'Données projet'!$E$9+1,1))-AVERAGE(OFFSET($H$3,0,0,'Données projet'!$E$9+1,1))</f>
        <v>612.09138396952153</v>
      </c>
      <c r="T32" s="59">
        <f t="shared" si="34"/>
        <v>282.284310393542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114.3053228571429</v>
      </c>
      <c r="AK32" s="13">
        <f t="shared" si="35"/>
        <v>30.343074556744043</v>
      </c>
      <c r="AL32" s="20">
        <f t="shared" si="4"/>
        <v>251.92929216251972</v>
      </c>
      <c r="AM32" s="59">
        <f t="shared" si="5"/>
        <v>507.61948217332952</v>
      </c>
      <c r="AN32" s="59">
        <f ca="1">AVERAGE(OFFSET($AM$3,0,0,'Données projet'!$E$10+1,1))-AVERAGE(OFFSET($H$3,0,0,'Données projet'!$E$10+1,1))</f>
        <v>676.7112666359476</v>
      </c>
      <c r="AO32" s="59">
        <f t="shared" si="36"/>
        <v>309.67876644201385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112.54677942857147</v>
      </c>
      <c r="BF32" s="13">
        <f t="shared" si="37"/>
        <v>29.930224010130704</v>
      </c>
      <c r="BG32" s="20">
        <f t="shared" si="7"/>
        <v>248.14744765573963</v>
      </c>
      <c r="BH32" s="59">
        <f t="shared" si="8"/>
        <v>503.83763766654943</v>
      </c>
      <c r="BI32" s="59">
        <f ca="1">AVERAGE(OFFSET($BH$3,0,0,'Données projet'!$E$11+1,1))-AVERAGE(OFFSET($H$3,0,0,'Données projet'!$E$11+1,1))</f>
        <v>667.4887768032404</v>
      </c>
      <c r="BJ32" s="59">
        <f t="shared" si="38"/>
        <v>305.76944302827178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107.27114914285718</v>
      </c>
      <c r="CA32" s="13">
        <f t="shared" si="39"/>
        <v>28.687109061200964</v>
      </c>
      <c r="CB32" s="20">
        <f t="shared" si="10"/>
        <v>236.79396637206796</v>
      </c>
      <c r="CC32" s="59">
        <f t="shared" si="11"/>
        <v>492.48415638287781</v>
      </c>
      <c r="CD32" s="59">
        <f ca="1">AVERAGE(OFFSET($CC$3,0,0,'Données projet'!$E$12+1,1))-AVERAGE(OFFSET($H$3,0,0,'Données projet'!$E$12+1,1))</f>
        <v>639.80378676828764</v>
      </c>
      <c r="CE32" s="59">
        <f t="shared" si="40"/>
        <v>294.03328334345281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11.8</v>
      </c>
      <c r="CT32" s="12">
        <f>IF('Données projet'!$A$140&gt;35,CT31+CS32-DB31,IF(A32&lt;'Données projet'!$A$140,$CQ$205^A32,IF(A32='Données projet'!$A$140,'Données projet'!$B$140,CT31+CS32-DB31)))</f>
        <v>134.19999999999996</v>
      </c>
      <c r="CU32" s="17">
        <f>CT32*VLOOKUP('Données projet'!$B$13,Paramètres!$A$1:$I$89,3,0)*VLOOKUP('Données projet'!$B$13,Paramètres!$A$1:$I$89,5,0)</f>
        <v>117.23711999999999</v>
      </c>
      <c r="CV32" s="13">
        <f t="shared" si="41"/>
        <v>31.029731926851227</v>
      </c>
      <c r="CW32" s="20">
        <f t="shared" si="13"/>
        <v>258.23143377259919</v>
      </c>
      <c r="CX32" s="59">
        <f t="shared" si="14"/>
        <v>513.92162378340902</v>
      </c>
      <c r="CY32" s="59">
        <f ca="1">AVERAGE(OFFSET($CX$3,0,0,'Données projet'!$E$13+1,1))-AVERAGE(OFFSET($H$3,0,0,'Données projet'!$E$13+1,1))</f>
        <v>340.64710509454375</v>
      </c>
      <c r="CZ32" s="59">
        <f t="shared" si="42"/>
        <v>329.6409514360613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3.887142857142857</v>
      </c>
      <c r="DO32" s="12">
        <f>IF('Données projet'!$A$166&gt;35,DO31+DN32-DW31,IF(A32&lt;'Données projet'!$A$166,$DL$205^A32,IF(A32='Données projet'!$A$166,'Données projet'!$B$166,DO31+DN32-DW31)))</f>
        <v>112.72714285714289</v>
      </c>
      <c r="DP32" s="17">
        <f>DO32*VLOOKUP('Données projet'!$B$14,Paramètres!$A$1:$I$89,3,0)*VLOOKUP('Données projet'!$B$14,Paramètres!$A$1:$I$89,5,0)</f>
        <v>109.02969257142863</v>
      </c>
      <c r="DQ32" s="13">
        <f t="shared" si="43"/>
        <v>29.102254822181546</v>
      </c>
      <c r="DR32" s="20">
        <f t="shared" si="16"/>
        <v>240.57980837720436</v>
      </c>
      <c r="DS32" s="59">
        <f t="shared" si="17"/>
        <v>496.26999838801419</v>
      </c>
      <c r="DT32" s="59">
        <f ca="1">AVERAGE(OFFSET($DS$3,0,0,'Données projet'!$E$14+1,1))-AVERAGE(OFFSET($H$3,0,0,'Données projet'!$E$14+1,1))</f>
        <v>649.03508893149228</v>
      </c>
      <c r="DU32" s="59">
        <f t="shared" si="44"/>
        <v>297.94672581383213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3.887142857142857</v>
      </c>
      <c r="EJ32" s="12">
        <f>IF('Données projet'!$A$192&gt;35,EJ31+EI32-ER31,IF(A32&lt;'Données projet'!$A$192,$EG$205^A32,IF(A32='Données projet'!$A$192,'Données projet'!$B$192,EJ31+EI32-ER31)))</f>
        <v>112.72714285714289</v>
      </c>
      <c r="EK32" s="17">
        <f>EJ32*VLOOKUP('Données projet'!$B$15,Paramètres!$A$1:$I$89,3,0)*VLOOKUP('Données projet'!$B$15,Paramètres!$A$1:$I$89,5,0)</f>
        <v>121.3394965714286</v>
      </c>
      <c r="EL32" s="13">
        <f t="shared" si="45"/>
        <v>31.987212747920864</v>
      </c>
      <c r="EM32" s="20">
        <f t="shared" si="19"/>
        <v>267.04401873120031</v>
      </c>
      <c r="EN32" s="59">
        <f t="shared" si="20"/>
        <v>522.7342087420102</v>
      </c>
      <c r="EO32" s="59">
        <f ca="1">AVERAGE(OFFSET($EN$3,0,0,'Données projet'!$E$15+1,1))-AVERAGE(OFFSET($H$3,0,0,'Données projet'!$E$15+1,1))</f>
        <v>713.57333631602273</v>
      </c>
      <c r="EP32" s="59">
        <f t="shared" si="46"/>
        <v>325.30302392555359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11.5</v>
      </c>
      <c r="FE32" s="12">
        <f>IF('Données projet'!$A$218&gt;35,FE31+FD32-FM31,IF(A32&lt;'Données projet'!$A$218,$FB$205^A32,IF(A32='Données projet'!$A$218,'Données projet'!$B$218,FE31+FD32-FM31)))</f>
        <v>131.99999999999994</v>
      </c>
      <c r="FF32" s="17">
        <f>FE32*VLOOKUP('Données projet'!$B$16,Paramètres!$A$1:$I$89,3,0)*VLOOKUP('Données projet'!$B$16,Paramètres!$A$1:$I$89,5,0)</f>
        <v>102.95999999999997</v>
      </c>
      <c r="FG32" s="13">
        <f t="shared" si="47"/>
        <v>27.665975080374633</v>
      </c>
      <c r="FH32" s="20">
        <f t="shared" si="22"/>
        <v>227.50690659831903</v>
      </c>
      <c r="FI32" s="59">
        <f t="shared" si="23"/>
        <v>483.19709660912883</v>
      </c>
      <c r="FJ32" s="59">
        <f ca="1">AVERAGE(OFFSET($FI$3,0,0,'Données projet'!$E$16+1,1))-AVERAGE(OFFSET($H$3,0,0,'Données projet'!$E$16+1,1))</f>
        <v>302.04287561738482</v>
      </c>
      <c r="FK32" s="59">
        <f t="shared" si="48"/>
        <v>296.09828774694802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8.4350961598332557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8.4350961598332557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3.8113157894736847</v>
      </c>
      <c r="FZ32" s="12">
        <f>IF('Données projet'!$A$244&gt;35,FZ31+FY32-GH31,IF(A32&lt;'Données projet'!$A$244,$FW$205^A32,IF(A32='Données projet'!$A$244,'Données projet'!$B$244,FZ31+FY32-GH31)))</f>
        <v>110.52815789473679</v>
      </c>
      <c r="GA32" s="17">
        <f>FZ32*VLOOKUP('Données projet'!$B$17,Paramètres!$A$1:$I$89,3,0)*VLOOKUP('Données projet'!$B$17,Paramètres!$A$1:$I$89,5,0)</f>
        <v>93.108920210526293</v>
      </c>
      <c r="GB32" s="13">
        <f t="shared" si="49"/>
        <v>25.313533299335088</v>
      </c>
      <c r="GC32" s="20">
        <f t="shared" si="25"/>
        <v>206.25243986300856</v>
      </c>
      <c r="GD32" s="59">
        <f t="shared" si="26"/>
        <v>461.94262987381842</v>
      </c>
      <c r="GE32" s="59">
        <f ca="1">AVERAGE(OFFSET($GD$3,0,0,'Données projet'!$E$17+1,1))-AVERAGE(OFFSET($H$3,0,0,'Données projet'!$E$17+1,1))</f>
        <v>385.41819366740276</v>
      </c>
      <c r="GF32" s="59">
        <f t="shared" si="50"/>
        <v>262.4625391252718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60.067021518099651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3.3000000000000003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12.100000000000001</v>
      </c>
      <c r="H33" s="67">
        <f t="shared" si="1"/>
        <v>208.26666666666665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3.887142857142857</v>
      </c>
      <c r="N33" s="13">
        <f>IF('Données projet'!$A$36&gt;35,N32+M33-V32,IF(A33&lt;'Données projet'!$A$36,$K$205^A33,IF(A33='Données projet'!$A$36,'Données projet'!$B$36,N32+M33-V32)))</f>
        <v>116.61428571428576</v>
      </c>
      <c r="O33" s="13">
        <f>N33*VLOOKUP('Données projet'!$B$9,Paramètres!$A$1:$I$89,3,0)*VLOOKUP('Données projet'!$B$9,Paramètres!$A$1:$I$89,5,0)</f>
        <v>105.51260571428575</v>
      </c>
      <c r="P33" s="13">
        <f t="shared" si="33"/>
        <v>28.271170326518615</v>
      </c>
      <c r="Q33" s="20">
        <f t="shared" si="2"/>
        <v>233.00674327106756</v>
      </c>
      <c r="R33" s="59">
        <f t="shared" si="0"/>
        <v>490.55097706020865</v>
      </c>
      <c r="S33" s="59">
        <f ca="1">AVERAGE(OFFSET($R$3,0,0,'Données projet'!$E$9+1,1))-AVERAGE(OFFSET($H$3,0,0,'Données projet'!$E$9+1,1))</f>
        <v>612.09138396952153</v>
      </c>
      <c r="T33" s="59">
        <f t="shared" si="34"/>
        <v>282.284310393542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118.24688571428577</v>
      </c>
      <c r="AK33" s="13">
        <f t="shared" si="35"/>
        <v>31.265764612722538</v>
      </c>
      <c r="AL33" s="20">
        <f t="shared" si="4"/>
        <v>260.40119931953944</v>
      </c>
      <c r="AM33" s="59">
        <f t="shared" si="5"/>
        <v>517.9454331086805</v>
      </c>
      <c r="AN33" s="59">
        <f ca="1">AVERAGE(OFFSET($AM$3,0,0,'Données projet'!$E$10+1,1))-AVERAGE(OFFSET($H$3,0,0,'Données projet'!$E$10+1,1))</f>
        <v>676.7112666359476</v>
      </c>
      <c r="AO33" s="59">
        <f t="shared" si="36"/>
        <v>309.67876644201385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116.4277028571429</v>
      </c>
      <c r="BF33" s="13">
        <f t="shared" si="37"/>
        <v>30.840359863889084</v>
      </c>
      <c r="BG33" s="20">
        <f t="shared" si="7"/>
        <v>256.49187590579737</v>
      </c>
      <c r="BH33" s="59">
        <f t="shared" si="8"/>
        <v>514.03610969493843</v>
      </c>
      <c r="BI33" s="59">
        <f ca="1">AVERAGE(OFFSET($BH$3,0,0,'Données projet'!$E$11+1,1))-AVERAGE(OFFSET($H$3,0,0,'Données projet'!$E$11+1,1))</f>
        <v>667.4887768032404</v>
      </c>
      <c r="BJ33" s="59">
        <f t="shared" si="38"/>
        <v>305.76944302827178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110.97015428571433</v>
      </c>
      <c r="CA33" s="13">
        <f t="shared" si="39"/>
        <v>29.559443544512504</v>
      </c>
      <c r="CB33" s="20">
        <f t="shared" si="10"/>
        <v>244.75571622097837</v>
      </c>
      <c r="CC33" s="59">
        <f t="shared" si="11"/>
        <v>502.29995001011946</v>
      </c>
      <c r="CD33" s="59">
        <f ca="1">AVERAGE(OFFSET($CC$3,0,0,'Données projet'!$E$12+1,1))-AVERAGE(OFFSET($H$3,0,0,'Données projet'!$E$12+1,1))</f>
        <v>639.80378676828764</v>
      </c>
      <c r="CE33" s="59">
        <f t="shared" si="40"/>
        <v>294.03328334345281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11.8</v>
      </c>
      <c r="CS33" s="12">
        <f t="array" ref="CS33">INDEX(CR:CR,MIN(IF(ISNUMBER(CR33:CR229),ROW(CR33:CR229),"")))</f>
        <v>11.8</v>
      </c>
      <c r="CT33" s="12">
        <f>IF('Données projet'!$A$140&gt;35,CT32+CS33-DB32,IF(A33&lt;'Données projet'!$A$140,$CQ$205^A33,IF(A33='Données projet'!$A$140,'Données projet'!$B$140,CT32+CS33-DB32)))</f>
        <v>145.99999999999997</v>
      </c>
      <c r="CU33" s="17">
        <f>CT33*VLOOKUP('Données projet'!$B$13,Paramètres!$A$1:$I$89,3,0)*VLOOKUP('Données projet'!$B$13,Paramètres!$A$1:$I$89,5,0)</f>
        <v>127.54559999999999</v>
      </c>
      <c r="CV33" s="13">
        <f t="shared" si="41"/>
        <v>33.428591950384806</v>
      </c>
      <c r="CW33" s="20">
        <f t="shared" si="13"/>
        <v>280.36338431358689</v>
      </c>
      <c r="CX33" s="59">
        <f t="shared" si="14"/>
        <v>537.90761810272795</v>
      </c>
      <c r="CY33" s="59">
        <f ca="1">AVERAGE(OFFSET($CX$3,0,0,'Données projet'!$E$13+1,1))-AVERAGE(OFFSET($H$3,0,0,'Données projet'!$E$13+1,1))</f>
        <v>340.64710509454375</v>
      </c>
      <c r="CZ33" s="59">
        <f t="shared" si="42"/>
        <v>329.6409514360613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3.887142857142857</v>
      </c>
      <c r="DO33" s="12">
        <f>IF('Données projet'!$A$166&gt;35,DO32+DN33-DW32,IF(A33&lt;'Données projet'!$A$166,$DL$205^A33,IF(A33='Données projet'!$A$166,'Données projet'!$B$166,DO32+DN33-DW32)))</f>
        <v>116.61428571428576</v>
      </c>
      <c r="DP33" s="17">
        <f>DO33*VLOOKUP('Données projet'!$B$14,Paramètres!$A$1:$I$89,3,0)*VLOOKUP('Données projet'!$B$14,Paramètres!$A$1:$I$89,5,0)</f>
        <v>112.78933714285719</v>
      </c>
      <c r="DQ33" s="13">
        <f t="shared" si="43"/>
        <v>29.987213301941502</v>
      </c>
      <c r="DR33" s="20">
        <f t="shared" si="16"/>
        <v>248.66915869135769</v>
      </c>
      <c r="DS33" s="59">
        <f t="shared" si="17"/>
        <v>506.21339248049878</v>
      </c>
      <c r="DT33" s="59">
        <f ca="1">AVERAGE(OFFSET($DS$3,0,0,'Données projet'!$E$14+1,1))-AVERAGE(OFFSET($H$3,0,0,'Données projet'!$E$14+1,1))</f>
        <v>649.03508893149228</v>
      </c>
      <c r="DU33" s="59">
        <f t="shared" si="44"/>
        <v>297.94672581383213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3.887142857142857</v>
      </c>
      <c r="EJ33" s="12">
        <f>IF('Données projet'!$A$192&gt;35,EJ32+EI33-ER32,IF(A33&lt;'Données projet'!$A$192,$EG$205^A33,IF(A33='Données projet'!$A$192,'Données projet'!$B$192,EJ32+EI33-ER32)))</f>
        <v>116.61428571428576</v>
      </c>
      <c r="EK33" s="17">
        <f>EJ33*VLOOKUP('Données projet'!$B$15,Paramètres!$A$1:$I$89,3,0)*VLOOKUP('Données projet'!$B$15,Paramètres!$A$1:$I$89,5,0)</f>
        <v>125.52361714285718</v>
      </c>
      <c r="EL33" s="13">
        <f t="shared" si="45"/>
        <v>32.959898724939478</v>
      </c>
      <c r="EM33" s="20">
        <f t="shared" si="19"/>
        <v>276.02545680307912</v>
      </c>
      <c r="EN33" s="59">
        <f t="shared" si="20"/>
        <v>533.56969059222024</v>
      </c>
      <c r="EO33" s="59">
        <f ca="1">AVERAGE(OFFSET($EN$3,0,0,'Données projet'!$E$15+1,1))-AVERAGE(OFFSET($H$3,0,0,'Données projet'!$E$15+1,1))</f>
        <v>713.57333631602273</v>
      </c>
      <c r="EP33" s="59">
        <f t="shared" si="46"/>
        <v>325.30302392555359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11.5</v>
      </c>
      <c r="FE33" s="12">
        <f>IF('Données projet'!$A$218&gt;35,FE32+FD33-FM32,IF(A33&lt;'Données projet'!$A$218,$FB$205^A33,IF(A33='Données projet'!$A$218,'Données projet'!$B$218,FE32+FD33-FM32)))</f>
        <v>143.49999999999994</v>
      </c>
      <c r="FF33" s="17">
        <f>FE33*VLOOKUP('Données projet'!$B$16,Paramètres!$A$1:$I$89,3,0)*VLOOKUP('Données projet'!$B$16,Paramètres!$A$1:$I$89,5,0)</f>
        <v>111.92999999999996</v>
      </c>
      <c r="FG33" s="13">
        <f t="shared" si="47"/>
        <v>29.785246291563833</v>
      </c>
      <c r="FH33" s="20">
        <f t="shared" si="22"/>
        <v>246.82072062447358</v>
      </c>
      <c r="FI33" s="59">
        <f t="shared" si="23"/>
        <v>504.36495441361467</v>
      </c>
      <c r="FJ33" s="59">
        <f ca="1">AVERAGE(OFFSET($FI$3,0,0,'Données projet'!$E$16+1,1))-AVERAGE(OFFSET($H$3,0,0,'Données projet'!$E$16+1,1))</f>
        <v>302.04287561738482</v>
      </c>
      <c r="FK33" s="59">
        <f t="shared" si="48"/>
        <v>296.09828774694802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8.2044380117601872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8.2044380117601872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3.8113157894736847</v>
      </c>
      <c r="FZ33" s="12">
        <f>IF('Données projet'!$A$244&gt;35,FZ32+FY33-GH32,IF(A33&lt;'Données projet'!$A$244,$FW$205^A33,IF(A33='Données projet'!$A$244,'Données projet'!$B$244,FZ32+FY33-GH32)))</f>
        <v>114.33947368421047</v>
      </c>
      <c r="GA33" s="17">
        <f>FZ33*VLOOKUP('Données projet'!$B$17,Paramètres!$A$1:$I$89,3,0)*VLOOKUP('Données projet'!$B$17,Paramètres!$A$1:$I$89,5,0)</f>
        <v>96.319572631578922</v>
      </c>
      <c r="GB33" s="13">
        <f t="shared" si="49"/>
        <v>26.083282106869351</v>
      </c>
      <c r="GC33" s="20">
        <f t="shared" si="25"/>
        <v>213.18497200279739</v>
      </c>
      <c r="GD33" s="59">
        <f t="shared" si="26"/>
        <v>470.72920579193845</v>
      </c>
      <c r="GE33" s="59">
        <f ca="1">AVERAGE(OFFSET($GD$3,0,0,'Données projet'!$E$17+1,1))-AVERAGE(OFFSET($H$3,0,0,'Données projet'!$E$17+1,1))</f>
        <v>385.41819366740276</v>
      </c>
      <c r="GF33" s="59">
        <f t="shared" si="50"/>
        <v>262.4625391252718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60.239336487947554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3.3000000000000003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12.100000000000001</v>
      </c>
      <c r="H34" s="67">
        <f t="shared" si="1"/>
        <v>208.26666666666665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3.887142857142857</v>
      </c>
      <c r="N34" s="13">
        <f>IF('Données projet'!$A$36&gt;35,N33+M34-V33,IF(A34&lt;'Données projet'!$A$36,$K$205^A34,IF(A34='Données projet'!$A$36,'Données projet'!$B$36,N33+M34-V33)))</f>
        <v>120.50142857142862</v>
      </c>
      <c r="O34" s="13">
        <f>N34*VLOOKUP('Données projet'!$B$9,Paramètres!$A$1:$I$89,3,0)*VLOOKUP('Données projet'!$B$9,Paramètres!$A$1:$I$89,5,0)</f>
        <v>109.02969257142863</v>
      </c>
      <c r="P34" s="13">
        <f t="shared" si="33"/>
        <v>29.102254822181546</v>
      </c>
      <c r="Q34" s="20">
        <f t="shared" si="2"/>
        <v>240.57980837720436</v>
      </c>
      <c r="R34" s="59">
        <f t="shared" si="0"/>
        <v>498.74490303099725</v>
      </c>
      <c r="S34" s="59">
        <f ca="1">AVERAGE(OFFSET($R$3,0,0,'Données projet'!$E$9+1,1))-AVERAGE(OFFSET($H$3,0,0,'Données projet'!$E$9+1,1))</f>
        <v>612.09138396952153</v>
      </c>
      <c r="T34" s="59">
        <f t="shared" si="34"/>
        <v>282.284310393542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122.18844857142862</v>
      </c>
      <c r="AK34" s="13">
        <f t="shared" si="35"/>
        <v>32.184880868419519</v>
      </c>
      <c r="AL34" s="20">
        <f t="shared" si="4"/>
        <v>268.86688210773553</v>
      </c>
      <c r="AM34" s="59">
        <f t="shared" si="5"/>
        <v>527.03197676152843</v>
      </c>
      <c r="AN34" s="59">
        <f ca="1">AVERAGE(OFFSET($AM$3,0,0,'Données projet'!$E$10+1,1))-AVERAGE(OFFSET($H$3,0,0,'Données projet'!$E$10+1,1))</f>
        <v>676.7112666359476</v>
      </c>
      <c r="AO34" s="59">
        <f t="shared" si="36"/>
        <v>309.67876644201385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120.30862628571434</v>
      </c>
      <c r="BF34" s="13">
        <f t="shared" si="37"/>
        <v>31.746970542807571</v>
      </c>
      <c r="BG34" s="20">
        <f t="shared" si="7"/>
        <v>264.8301644763423</v>
      </c>
      <c r="BH34" s="59">
        <f t="shared" si="8"/>
        <v>522.9952591301352</v>
      </c>
      <c r="BI34" s="59">
        <f ca="1">AVERAGE(OFFSET($BH$3,0,0,'Données projet'!$E$11+1,1))-AVERAGE(OFFSET($H$3,0,0,'Données projet'!$E$11+1,1))</f>
        <v>667.4887768032404</v>
      </c>
      <c r="BJ34" s="59">
        <f t="shared" si="38"/>
        <v>305.76944302827178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114.66915942857148</v>
      </c>
      <c r="CA34" s="13">
        <f t="shared" si="39"/>
        <v>30.42839926677442</v>
      </c>
      <c r="CB34" s="20">
        <f t="shared" si="10"/>
        <v>252.71158139439407</v>
      </c>
      <c r="CC34" s="59">
        <f t="shared" si="11"/>
        <v>510.87667604818694</v>
      </c>
      <c r="CD34" s="59">
        <f ca="1">AVERAGE(OFFSET($CC$3,0,0,'Données projet'!$E$12+1,1))-AVERAGE(OFFSET($H$3,0,0,'Données projet'!$E$12+1,1))</f>
        <v>639.80378676828764</v>
      </c>
      <c r="CE34" s="59">
        <f t="shared" si="40"/>
        <v>294.03328334345281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128.79999999999998</v>
      </c>
      <c r="CU34" s="17">
        <f>CT34*VLOOKUP('Données projet'!$B$13,Paramètres!$A$1:$I$89,3,0)*VLOOKUP('Données projet'!$B$13,Paramètres!$A$1:$I$89,5,0)</f>
        <v>112.51968000000001</v>
      </c>
      <c r="CV34" s="13">
        <f t="shared" si="41"/>
        <v>29.923856072189899</v>
      </c>
      <c r="CW34" s="20">
        <f t="shared" si="13"/>
        <v>248.08915865906408</v>
      </c>
      <c r="CX34" s="59">
        <f t="shared" si="14"/>
        <v>506.25425331285697</v>
      </c>
      <c r="CY34" s="59">
        <f ca="1">AVERAGE(OFFSET($CX$3,0,0,'Données projet'!$E$13+1,1))-AVERAGE(OFFSET($H$3,0,0,'Données projet'!$E$13+1,1))</f>
        <v>340.64710509454375</v>
      </c>
      <c r="CZ34" s="59">
        <f t="shared" si="42"/>
        <v>329.6409514360613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3.887142857142857</v>
      </c>
      <c r="DO34" s="12">
        <f>IF('Données projet'!$A$166&gt;35,DO33+DN34-DW33,IF(A34&lt;'Données projet'!$A$166,$DL$205^A34,IF(A34='Données projet'!$A$166,'Données projet'!$B$166,DO33+DN34-DW33)))</f>
        <v>120.50142857142862</v>
      </c>
      <c r="DP34" s="17">
        <f>DO34*VLOOKUP('Données projet'!$B$14,Paramètres!$A$1:$I$89,3,0)*VLOOKUP('Données projet'!$B$14,Paramètres!$A$1:$I$89,5,0)</f>
        <v>116.54898171428576</v>
      </c>
      <c r="DQ34" s="13">
        <f t="shared" si="43"/>
        <v>30.868744124880426</v>
      </c>
      <c r="DR34" s="20">
        <f t="shared" si="16"/>
        <v>256.75253916988112</v>
      </c>
      <c r="DS34" s="59">
        <f t="shared" si="17"/>
        <v>514.91763382367401</v>
      </c>
      <c r="DT34" s="59">
        <f ca="1">AVERAGE(OFFSET($DS$3,0,0,'Données projet'!$E$14+1,1))-AVERAGE(OFFSET($H$3,0,0,'Données projet'!$E$14+1,1))</f>
        <v>649.03508893149228</v>
      </c>
      <c r="DU34" s="59">
        <f t="shared" si="44"/>
        <v>297.94672581383213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3.887142857142857</v>
      </c>
      <c r="EJ34" s="12">
        <f>IF('Données projet'!$A$192&gt;35,EJ33+EI34-ER33,IF(A34&lt;'Données projet'!$A$192,$EG$205^A34,IF(A34='Données projet'!$A$192,'Données projet'!$B$192,EJ33+EI34-ER33)))</f>
        <v>120.50142857142862</v>
      </c>
      <c r="EK34" s="17">
        <f>EJ34*VLOOKUP('Données projet'!$B$15,Paramètres!$A$1:$I$89,3,0)*VLOOKUP('Données projet'!$B$15,Paramètres!$A$1:$I$89,5,0)</f>
        <v>129.70773771428577</v>
      </c>
      <c r="EL34" s="13">
        <f t="shared" si="45"/>
        <v>33.928817255461865</v>
      </c>
      <c r="EM34" s="20">
        <f t="shared" si="19"/>
        <v>285.00033323897713</v>
      </c>
      <c r="EN34" s="59">
        <f t="shared" si="20"/>
        <v>543.16542789277003</v>
      </c>
      <c r="EO34" s="59">
        <f ca="1">AVERAGE(OFFSET($EN$3,0,0,'Données projet'!$E$15+1,1))-AVERAGE(OFFSET($H$3,0,0,'Données projet'!$E$15+1,1))</f>
        <v>713.57333631602273</v>
      </c>
      <c r="EP34" s="59">
        <f t="shared" si="46"/>
        <v>325.30302392555359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>
        <f>VLOOKUP(A34,'Données projet'!$A$217:$I$237,2,0)</f>
        <v>155</v>
      </c>
      <c r="FC34" s="12">
        <f>VLOOKUP(A34,'Données projet'!$A$217:$I$237,9,0)</f>
        <v>11.5</v>
      </c>
      <c r="FD34" s="12">
        <f t="array" ref="FD34">INDEX(FC:FC,MIN(IF(ISNUMBER(FC34:FC230),ROW(FC34:FC230),"")))</f>
        <v>11.5</v>
      </c>
      <c r="FE34" s="12">
        <f>IF('Données projet'!$A$218&gt;35,FE33+FD34-FM33,IF(A34&lt;'Données projet'!$A$218,$FB$205^A34,IF(A34='Données projet'!$A$218,'Données projet'!$B$218,FE33+FD34-FM33)))</f>
        <v>154.99999999999994</v>
      </c>
      <c r="FF34" s="17">
        <f>FE34*VLOOKUP('Données projet'!$B$16,Paramètres!$A$1:$I$89,3,0)*VLOOKUP('Données projet'!$B$16,Paramètres!$A$1:$I$89,5,0)</f>
        <v>120.89999999999996</v>
      </c>
      <c r="FG34" s="13">
        <f t="shared" si="47"/>
        <v>31.884818143351602</v>
      </c>
      <c r="FH34" s="20">
        <f t="shared" si="22"/>
        <v>266.10022493300397</v>
      </c>
      <c r="FI34" s="59">
        <f t="shared" si="23"/>
        <v>524.26531958679686</v>
      </c>
      <c r="FJ34" s="59">
        <f ca="1">AVERAGE(OFFSET($FI$3,0,0,'Données projet'!$E$16+1,1))-AVERAGE(OFFSET($H$3,0,0,'Données projet'!$E$16+1,1))</f>
        <v>302.04287561738482</v>
      </c>
      <c r="FK34" s="59">
        <f t="shared" si="48"/>
        <v>296.09828774694802</v>
      </c>
      <c r="FL34" s="15">
        <f>IF(ISNA(VLOOKUP(A34,'Données projet'!$A$217:$I$237,3,0)),0,VLOOKUP(A34,'Données projet'!$A$217:$I$237,3,0))</f>
        <v>4</v>
      </c>
      <c r="FM34" s="15">
        <f>IF(ISNA(VLOOKUP(A34,'Données projet'!$A$217:$I$237,4,0)),0,VLOOKUP(A34,'Données projet'!$A$217:$I$237,4,0))</f>
        <v>36</v>
      </c>
      <c r="FN34" s="16">
        <f>IF(ISNA(VLOOKUP(A34,'Données projet'!$A$217:$I$237,5,0)),0%,VLOOKUP(A34,'Données projet'!$A$217:$I$237,5,0)*VLOOKUP('Données projet'!$B$16,Paramètres!$A$1:$I$89,7,0))</f>
        <v>0.25800000000000001</v>
      </c>
      <c r="FO34" s="16">
        <f>IF(ISNA(VLOOKUP(A34,'Données projet'!$A$217:$I$237,6,0)),0%,VLOOKUP(A34,'Données projet'!$A$217:$I$237,6,0)*VLOOKUP('Données projet'!$B$16,Paramètres!$A$1:$I$89,7,0))</f>
        <v>8.6000000000000007E-2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8.0087349303795925</v>
      </c>
      <c r="FR34" s="21">
        <f>EXP(-LN(2)/25)*FR33+(1-EXP(-LN(2)/25))/(LN(2)/25)*Calculateur!FM34*Calculateur!FO34*VLOOKUP('Données projet'!$B$16,Paramètres!$A$1:$I$89,3,0)*0.475*44/12</f>
        <v>10.639154386006442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18.647889316386035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3.8113157894736847</v>
      </c>
      <c r="FZ34" s="12">
        <f>IF('Données projet'!$A$244&gt;35,FZ33+FY34-GH33,IF(A34&lt;'Données projet'!$A$244,$FW$205^A34,IF(A34='Données projet'!$A$244,'Données projet'!$B$244,FZ33+FY34-GH33)))</f>
        <v>118.15078947368416</v>
      </c>
      <c r="GA34" s="17">
        <f>FZ34*VLOOKUP('Données projet'!$B$17,Paramètres!$A$1:$I$89,3,0)*VLOOKUP('Données projet'!$B$17,Paramètres!$A$1:$I$89,5,0)</f>
        <v>99.53022505263155</v>
      </c>
      <c r="GB34" s="13">
        <f t="shared" si="49"/>
        <v>26.850049492324516</v>
      </c>
      <c r="GC34" s="20">
        <f t="shared" si="25"/>
        <v>220.11231149913181</v>
      </c>
      <c r="GD34" s="59">
        <f t="shared" si="26"/>
        <v>478.2774061529247</v>
      </c>
      <c r="GE34" s="59">
        <f ca="1">AVERAGE(OFFSET($GD$3,0,0,'Données projet'!$E$17+1,1))-AVERAGE(OFFSET($H$3,0,0,'Données projet'!$E$17+1,1))</f>
        <v>385.41819366740276</v>
      </c>
      <c r="GF34" s="59">
        <f t="shared" si="50"/>
        <v>262.4625391252718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60.408662178307154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3.3000000000000003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12.100000000000001</v>
      </c>
      <c r="H35" s="67">
        <f t="shared" si="1"/>
        <v>208.26666666666665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3.887142857142857</v>
      </c>
      <c r="N35" s="13">
        <f>IF('Données projet'!$A$36&gt;35,N34+M35-V34,IF(A35&lt;'Données projet'!$A$36,$K$205^A35,IF(A35='Données projet'!$A$36,'Données projet'!$B$36,N34+M35-V34)))</f>
        <v>124.38857142857148</v>
      </c>
      <c r="O35" s="13">
        <f>N35*VLOOKUP('Données projet'!$B$9,Paramètres!$A$1:$I$89,3,0)*VLOOKUP('Données projet'!$B$9,Paramètres!$A$1:$I$89,5,0)</f>
        <v>112.54677942857147</v>
      </c>
      <c r="P35" s="13">
        <f t="shared" si="33"/>
        <v>29.930224010130704</v>
      </c>
      <c r="Q35" s="20">
        <f t="shared" ref="Q35:Q66" si="53">(O35+P35)*0.475*44/12</f>
        <v>248.14744765573963</v>
      </c>
      <c r="R35" s="59">
        <f t="shared" si="0"/>
        <v>506.92263262621964</v>
      </c>
      <c r="S35" s="59">
        <f ca="1">AVERAGE(OFFSET($R$3,0,0,'Données projet'!$E$9+1,1))-AVERAGE(OFFSET($H$3,0,0,'Données projet'!$E$9+1,1))</f>
        <v>612.09138396952153</v>
      </c>
      <c r="T35" s="59">
        <f t="shared" si="34"/>
        <v>282.284310393542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126.13001142857149</v>
      </c>
      <c r="AK35" s="13">
        <f t="shared" si="35"/>
        <v>33.100551830676153</v>
      </c>
      <c r="AL35" s="20">
        <f t="shared" si="4"/>
        <v>277.32656434318966</v>
      </c>
      <c r="AM35" s="59">
        <f t="shared" si="5"/>
        <v>536.10174931366964</v>
      </c>
      <c r="AN35" s="59">
        <f ca="1">AVERAGE(OFFSET($AM$3,0,0,'Données projet'!$E$10+1,1))-AVERAGE(OFFSET($H$3,0,0,'Données projet'!$E$10+1,1))</f>
        <v>676.7112666359476</v>
      </c>
      <c r="AO35" s="59">
        <f t="shared" si="36"/>
        <v>309.67876644201385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124.18954971428579</v>
      </c>
      <c r="BF35" s="13">
        <f t="shared" si="37"/>
        <v>32.65018280525188</v>
      </c>
      <c r="BG35" s="20">
        <f t="shared" si="7"/>
        <v>273.16253413819476</v>
      </c>
      <c r="BH35" s="59">
        <f t="shared" si="8"/>
        <v>531.93771910867486</v>
      </c>
      <c r="BI35" s="59">
        <f ca="1">AVERAGE(OFFSET($BH$3,0,0,'Données projet'!$E$11+1,1))-AVERAGE(OFFSET($H$3,0,0,'Données projet'!$E$11+1,1))</f>
        <v>667.4887768032404</v>
      </c>
      <c r="BJ35" s="59">
        <f t="shared" si="38"/>
        <v>305.76944302827178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118.36816457142861</v>
      </c>
      <c r="CA35" s="13">
        <f t="shared" si="39"/>
        <v>31.294097721600011</v>
      </c>
      <c r="CB35" s="20">
        <f t="shared" si="10"/>
        <v>260.6617734936915</v>
      </c>
      <c r="CC35" s="59">
        <f t="shared" si="11"/>
        <v>519.43695846417154</v>
      </c>
      <c r="CD35" s="59">
        <f ca="1">AVERAGE(OFFSET($CC$3,0,0,'Données projet'!$E$12+1,1))-AVERAGE(OFFSET($H$3,0,0,'Données projet'!$E$12+1,1))</f>
        <v>639.80378676828764</v>
      </c>
      <c r="CE35" s="59">
        <f t="shared" si="40"/>
        <v>294.03328334345281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121.95456</v>
      </c>
      <c r="CV35" s="13">
        <f t="shared" si="41"/>
        <v>32.130438767300902</v>
      </c>
      <c r="CW35" s="20">
        <f t="shared" si="13"/>
        <v>268.36470618638242</v>
      </c>
      <c r="CX35" s="59">
        <f t="shared" si="14"/>
        <v>527.1398911568624</v>
      </c>
      <c r="CY35" s="59">
        <f ca="1">AVERAGE(OFFSET($CX$3,0,0,'Données projet'!$E$13+1,1))-AVERAGE(OFFSET($H$3,0,0,'Données projet'!$E$13+1,1))</f>
        <v>340.64710509454375</v>
      </c>
      <c r="CZ35" s="59">
        <f t="shared" si="42"/>
        <v>329.6409514360613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3.887142857142857</v>
      </c>
      <c r="DO35" s="12">
        <f>IF('Données projet'!$A$166&gt;35,DO34+DN35-DW34,IF(A35&lt;'Données projet'!$A$166,$DL$205^A35,IF(A35='Données projet'!$A$166,'Données projet'!$B$166,DO34+DN35-DW34)))</f>
        <v>124.38857142857148</v>
      </c>
      <c r="DP35" s="17">
        <f>DO35*VLOOKUP('Données projet'!$B$14,Paramètres!$A$1:$I$89,3,0)*VLOOKUP('Données projet'!$B$14,Paramètres!$A$1:$I$89,5,0)</f>
        <v>120.30862628571434</v>
      </c>
      <c r="DQ35" s="13">
        <f t="shared" si="43"/>
        <v>31.746970542807571</v>
      </c>
      <c r="DR35" s="20">
        <f t="shared" si="16"/>
        <v>264.8301644763423</v>
      </c>
      <c r="DS35" s="59">
        <f t="shared" si="17"/>
        <v>523.6053494468224</v>
      </c>
      <c r="DT35" s="59">
        <f ca="1">AVERAGE(OFFSET($DS$3,0,0,'Données projet'!$E$14+1,1))-AVERAGE(OFFSET($H$3,0,0,'Données projet'!$E$14+1,1))</f>
        <v>649.03508893149228</v>
      </c>
      <c r="DU35" s="59">
        <f t="shared" si="44"/>
        <v>297.94672581383213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3.887142857142857</v>
      </c>
      <c r="EJ35" s="12">
        <f>IF('Données projet'!$A$192&gt;35,EJ34+EI35-ER34,IF(A35&lt;'Données projet'!$A$192,$EG$205^A35,IF(A35='Données projet'!$A$192,'Données projet'!$B$192,EJ34+EI35-ER34)))</f>
        <v>124.38857142857148</v>
      </c>
      <c r="EK35" s="17">
        <f>EJ35*VLOOKUP('Données projet'!$B$15,Paramètres!$A$1:$I$89,3,0)*VLOOKUP('Données projet'!$B$15,Paramètres!$A$1:$I$89,5,0)</f>
        <v>133.89185828571433</v>
      </c>
      <c r="EL35" s="13">
        <f t="shared" si="45"/>
        <v>34.89410380946687</v>
      </c>
      <c r="EM35" s="20">
        <f t="shared" si="19"/>
        <v>293.96888398244056</v>
      </c>
      <c r="EN35" s="59">
        <f t="shared" si="20"/>
        <v>552.74406895292054</v>
      </c>
      <c r="EO35" s="59">
        <f ca="1">AVERAGE(OFFSET($EN$3,0,0,'Données projet'!$E$15+1,1))-AVERAGE(OFFSET($H$3,0,0,'Données projet'!$E$15+1,1))</f>
        <v>713.57333631602273</v>
      </c>
      <c r="EP35" s="59">
        <f t="shared" si="46"/>
        <v>325.30302392555359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11.5</v>
      </c>
      <c r="FE35" s="12">
        <f>IF('Données projet'!$A$218&gt;35,FE34+FD35-FM34,IF(A35&lt;'Données projet'!$A$218,$FB$205^A35,IF(A35='Données projet'!$A$218,'Données projet'!$B$218,FE34+FD35-FM34)))</f>
        <v>130.49999999999994</v>
      </c>
      <c r="FF35" s="17">
        <f>FE35*VLOOKUP('Données projet'!$B$16,Paramètres!$A$1:$I$89,3,0)*VLOOKUP('Données projet'!$B$16,Paramètres!$A$1:$I$89,5,0)</f>
        <v>101.78999999999996</v>
      </c>
      <c r="FG35" s="13">
        <f t="shared" si="47"/>
        <v>27.38799903683508</v>
      </c>
      <c r="FH35" s="20">
        <f t="shared" si="22"/>
        <v>224.98501498915437</v>
      </c>
      <c r="FI35" s="59">
        <f t="shared" si="23"/>
        <v>483.76019995963441</v>
      </c>
      <c r="FJ35" s="59">
        <f ca="1">AVERAGE(OFFSET($FI$3,0,0,'Données projet'!$E$16+1,1))-AVERAGE(OFFSET($H$3,0,0,'Données projet'!$E$16+1,1))</f>
        <v>302.04287561738482</v>
      </c>
      <c r="FK35" s="59">
        <f t="shared" si="48"/>
        <v>296.09828774694802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7.851688523240818</v>
      </c>
      <c r="FR35" s="21">
        <f>EXP(-LN(2)/25)*FR34+(1-EXP(-LN(2)/25))/(LN(2)/25)*Calculateur!FM35*Calculateur!FO35*VLOOKUP('Données projet'!$B$16,Paramètres!$A$1:$I$89,3,0)*0.475*44/12</f>
        <v>10.348226149832284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18.199914673073103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3.8113157894736847</v>
      </c>
      <c r="FZ35" s="12">
        <f>IF('Données projet'!$A$244&gt;35,FZ34+FY35-GH34,IF(A35&lt;'Données projet'!$A$244,$FW$205^A35,IF(A35='Données projet'!$A$244,'Données projet'!$B$244,FZ34+FY35-GH34)))</f>
        <v>121.96210526315784</v>
      </c>
      <c r="GA35" s="17">
        <f>FZ35*VLOOKUP('Données projet'!$B$17,Paramètres!$A$1:$I$89,3,0)*VLOOKUP('Données projet'!$B$17,Paramètres!$A$1:$I$89,5,0)</f>
        <v>102.74087747368418</v>
      </c>
      <c r="GB35" s="13">
        <f t="shared" si="49"/>
        <v>27.613942661784687</v>
      </c>
      <c r="GC35" s="20">
        <f t="shared" si="25"/>
        <v>227.03464506927492</v>
      </c>
      <c r="GD35" s="59">
        <f t="shared" si="26"/>
        <v>485.80983003975496</v>
      </c>
      <c r="GE35" s="59">
        <f ca="1">AVERAGE(OFFSET($GD$3,0,0,'Données projet'!$E$17+1,1))-AVERAGE(OFFSET($H$3,0,0,'Données projet'!$E$17+1,1))</f>
        <v>385.41819366740276</v>
      </c>
      <c r="GF35" s="59">
        <f t="shared" si="50"/>
        <v>262.4625391252718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60.575050446494558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3.3000000000000003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12.100000000000001</v>
      </c>
      <c r="H36" s="67">
        <f t="shared" si="1"/>
        <v>208.26666666666665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3.887142857142857</v>
      </c>
      <c r="N36" s="13">
        <f>IF('Données projet'!$A$36&gt;35,N35+M36-V35,IF(A36&lt;'Données projet'!$A$36,$K$205^A36,IF(A36='Données projet'!$A$36,'Données projet'!$B$36,N35+M36-V35)))</f>
        <v>128.27571428571434</v>
      </c>
      <c r="O36" s="13">
        <f>N36*VLOOKUP('Données projet'!$B$9,Paramètres!$A$1:$I$89,3,0)*VLOOKUP('Données projet'!$B$9,Paramètres!$A$1:$I$89,5,0)</f>
        <v>116.06386628571434</v>
      </c>
      <c r="P36" s="13">
        <f t="shared" si="33"/>
        <v>30.755186414072718</v>
      </c>
      <c r="Q36" s="20">
        <f t="shared" si="53"/>
        <v>255.70985011879577</v>
      </c>
      <c r="R36" s="59">
        <f t="shared" si="0"/>
        <v>515.084541702926</v>
      </c>
      <c r="S36" s="59">
        <f ca="1">AVERAGE(OFFSET($R$3,0,0,'Données projet'!$E$9+1,1))-AVERAGE(OFFSET($H$3,0,0,'Données projet'!$E$9+1,1))</f>
        <v>612.09138396952153</v>
      </c>
      <c r="T36" s="59">
        <f t="shared" si="34"/>
        <v>282.284310393542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130.07157428571435</v>
      </c>
      <c r="AK36" s="13">
        <f t="shared" si="35"/>
        <v>34.012897518459816</v>
      </c>
      <c r="AL36" s="20">
        <f t="shared" si="4"/>
        <v>285.78045505893664</v>
      </c>
      <c r="AM36" s="59">
        <f t="shared" si="5"/>
        <v>545.15514664306693</v>
      </c>
      <c r="AN36" s="59">
        <f ca="1">AVERAGE(OFFSET($AM$3,0,0,'Données projet'!$E$10+1,1))-AVERAGE(OFFSET($H$3,0,0,'Données projet'!$E$10+1,1))</f>
        <v>676.7112666359476</v>
      </c>
      <c r="AO36" s="59">
        <f t="shared" si="36"/>
        <v>309.67876644201385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128.0704731428572</v>
      </c>
      <c r="BF36" s="13">
        <f t="shared" si="37"/>
        <v>33.550115037200726</v>
      </c>
      <c r="BG36" s="20">
        <f t="shared" si="7"/>
        <v>281.48919108026752</v>
      </c>
      <c r="BH36" s="59">
        <f t="shared" si="8"/>
        <v>540.86388266439781</v>
      </c>
      <c r="BI36" s="59">
        <f ca="1">AVERAGE(OFFSET($BH$3,0,0,'Données projet'!$E$11+1,1))-AVERAGE(OFFSET($H$3,0,0,'Données projet'!$E$11+1,1))</f>
        <v>667.4887768032404</v>
      </c>
      <c r="BJ36" s="59">
        <f t="shared" si="38"/>
        <v>305.76944302827178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122.06716971428578</v>
      </c>
      <c r="CA36" s="13">
        <f t="shared" si="39"/>
        <v>32.156652377952369</v>
      </c>
      <c r="CB36" s="20">
        <f t="shared" si="10"/>
        <v>268.60649014398143</v>
      </c>
      <c r="CC36" s="59">
        <f t="shared" si="11"/>
        <v>527.98118172811166</v>
      </c>
      <c r="CD36" s="59">
        <f ca="1">AVERAGE(OFFSET($CC$3,0,0,'Données projet'!$E$12+1,1))-AVERAGE(OFFSET($H$3,0,0,'Données projet'!$E$12+1,1))</f>
        <v>639.80378676828764</v>
      </c>
      <c r="CE36" s="59">
        <f t="shared" si="40"/>
        <v>294.03328334345281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150.4</v>
      </c>
      <c r="CU36" s="17">
        <f>CT36*VLOOKUP('Données projet'!$B$13,Paramètres!$A$1:$I$89,3,0)*VLOOKUP('Données projet'!$B$13,Paramètres!$A$1:$I$89,5,0)</f>
        <v>131.38944000000004</v>
      </c>
      <c r="CV36" s="13">
        <f t="shared" si="41"/>
        <v>34.317219199328761</v>
      </c>
      <c r="CW36" s="20">
        <f t="shared" si="13"/>
        <v>288.60576477216426</v>
      </c>
      <c r="CX36" s="59">
        <f t="shared" si="14"/>
        <v>547.98045635629455</v>
      </c>
      <c r="CY36" s="59">
        <f ca="1">AVERAGE(OFFSET($CX$3,0,0,'Données projet'!$E$13+1,1))-AVERAGE(OFFSET($H$3,0,0,'Données projet'!$E$13+1,1))</f>
        <v>340.64710509454375</v>
      </c>
      <c r="CZ36" s="59">
        <f t="shared" si="42"/>
        <v>329.6409514360613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3.887142857142857</v>
      </c>
      <c r="DO36" s="12">
        <f>IF('Données projet'!$A$166&gt;35,DO35+DN36-DW35,IF(A36&lt;'Données projet'!$A$166,$DL$205^A36,IF(A36='Données projet'!$A$166,'Données projet'!$B$166,DO35+DN36-DW35)))</f>
        <v>128.27571428571434</v>
      </c>
      <c r="DP36" s="17">
        <f>DO36*VLOOKUP('Données projet'!$B$14,Paramètres!$A$1:$I$89,3,0)*VLOOKUP('Données projet'!$B$14,Paramètres!$A$1:$I$89,5,0)</f>
        <v>124.06827085714291</v>
      </c>
      <c r="DQ36" s="13">
        <f t="shared" si="43"/>
        <v>32.622007666753092</v>
      </c>
      <c r="DR36" s="20">
        <f t="shared" si="16"/>
        <v>272.9022350957855</v>
      </c>
      <c r="DS36" s="59">
        <f t="shared" si="17"/>
        <v>532.27692667991573</v>
      </c>
      <c r="DT36" s="59">
        <f ca="1">AVERAGE(OFFSET($DS$3,0,0,'Données projet'!$E$14+1,1))-AVERAGE(OFFSET($H$3,0,0,'Données projet'!$E$14+1,1))</f>
        <v>649.03508893149228</v>
      </c>
      <c r="DU36" s="59">
        <f t="shared" si="44"/>
        <v>297.94672581383213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3.887142857142857</v>
      </c>
      <c r="EJ36" s="12">
        <f>IF('Données projet'!$A$192&gt;35,EJ35+EI36-ER35,IF(A36&lt;'Données projet'!$A$192,$EG$205^A36,IF(A36='Données projet'!$A$192,'Données projet'!$B$192,EJ35+EI36-ER35)))</f>
        <v>128.27571428571434</v>
      </c>
      <c r="EK36" s="17">
        <f>EJ36*VLOOKUP('Données projet'!$B$15,Paramètres!$A$1:$I$89,3,0)*VLOOKUP('Données projet'!$B$15,Paramètres!$A$1:$I$89,5,0)</f>
        <v>138.0759788571429</v>
      </c>
      <c r="EL36" s="13">
        <f t="shared" si="45"/>
        <v>35.855884909144457</v>
      </c>
      <c r="EM36" s="20">
        <f t="shared" si="19"/>
        <v>302.93132939295043</v>
      </c>
      <c r="EN36" s="59">
        <f t="shared" si="20"/>
        <v>562.30602097708061</v>
      </c>
      <c r="EO36" s="59">
        <f ca="1">AVERAGE(OFFSET($EN$3,0,0,'Données projet'!$E$15+1,1))-AVERAGE(OFFSET($H$3,0,0,'Données projet'!$E$15+1,1))</f>
        <v>713.57333631602273</v>
      </c>
      <c r="EP36" s="59">
        <f t="shared" si="46"/>
        <v>325.30302392555359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11.5</v>
      </c>
      <c r="FE36" s="12">
        <f>IF('Données projet'!$A$218&gt;35,FE35+FD36-FM35,IF(A36&lt;'Données projet'!$A$218,$FB$205^A36,IF(A36='Données projet'!$A$218,'Données projet'!$B$218,FE35+FD36-FM35)))</f>
        <v>141.99999999999994</v>
      </c>
      <c r="FF36" s="17">
        <f>FE36*VLOOKUP('Données projet'!$B$16,Paramètres!$A$1:$I$89,3,0)*VLOOKUP('Données projet'!$B$16,Paramètres!$A$1:$I$89,5,0)</f>
        <v>110.75999999999996</v>
      </c>
      <c r="FG36" s="13">
        <f t="shared" si="47"/>
        <v>29.509974682362923</v>
      </c>
      <c r="FH36" s="20">
        <f t="shared" si="22"/>
        <v>244.30353923844871</v>
      </c>
      <c r="FI36" s="59">
        <f t="shared" si="23"/>
        <v>503.67823082257894</v>
      </c>
      <c r="FJ36" s="59">
        <f ca="1">AVERAGE(OFFSET($FI$3,0,0,'Données projet'!$E$16+1,1))-AVERAGE(OFFSET($H$3,0,0,'Données projet'!$E$16+1,1))</f>
        <v>302.04287561738482</v>
      </c>
      <c r="FK36" s="59">
        <f t="shared" si="48"/>
        <v>296.09828774694802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7.6977217003571843</v>
      </c>
      <c r="FR36" s="21">
        <f>EXP(-LN(2)/25)*FR35+(1-EXP(-LN(2)/25))/(LN(2)/25)*Calculateur!FM36*Calculateur!FO36*VLOOKUP('Données projet'!$B$16,Paramètres!$A$1:$I$89,3,0)*0.475*44/12</f>
        <v>10.065253361575557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17.762975061932742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3.8113157894736847</v>
      </c>
      <c r="FZ36" s="12">
        <f>IF('Données projet'!$A$244&gt;35,FZ35+FY36-GH35,IF(A36&lt;'Données projet'!$A$244,$FW$205^A36,IF(A36='Données projet'!$A$244,'Données projet'!$B$244,FZ35+FY36-GH35)))</f>
        <v>125.77342105263152</v>
      </c>
      <c r="GA36" s="17">
        <f>FZ36*VLOOKUP('Données projet'!$B$17,Paramètres!$A$1:$I$89,3,0)*VLOOKUP('Données projet'!$B$17,Paramètres!$A$1:$I$89,5,0)</f>
        <v>105.95152989473681</v>
      </c>
      <c r="GB36" s="13">
        <f t="shared" si="49"/>
        <v>28.375061740374683</v>
      </c>
      <c r="GC36" s="20">
        <f t="shared" si="25"/>
        <v>233.95214709781916</v>
      </c>
      <c r="GD36" s="59">
        <f t="shared" si="26"/>
        <v>493.32683868194943</v>
      </c>
      <c r="GE36" s="59">
        <f ca="1">AVERAGE(OFFSET($GD$3,0,0,'Données projet'!$E$17+1,1))-AVERAGE(OFFSET($H$3,0,0,'Données projet'!$E$17+1,1))</f>
        <v>385.41819366740276</v>
      </c>
      <c r="GF36" s="59">
        <f t="shared" si="50"/>
        <v>262.4625391252718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60.738552250217339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3.3000000000000003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12.100000000000001</v>
      </c>
      <c r="H37" s="67">
        <f t="shared" si="1"/>
        <v>208.26666666666665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3.887142857142857</v>
      </c>
      <c r="N37" s="13">
        <f>IF('Données projet'!$A$36&gt;35,N36+M37-V36,IF(A37&lt;'Données projet'!$A$36,$K$205^A37,IF(A37='Données projet'!$A$36,'Données projet'!$B$36,N36+M37-V36)))</f>
        <v>132.16285714285721</v>
      </c>
      <c r="O37" s="13">
        <f>N37*VLOOKUP('Données projet'!$B$9,Paramètres!$A$1:$I$89,3,0)*VLOOKUP('Données projet'!$B$9,Paramètres!$A$1:$I$89,5,0)</f>
        <v>119.58095314285718</v>
      </c>
      <c r="P37" s="13">
        <f t="shared" si="33"/>
        <v>31.577243606763055</v>
      </c>
      <c r="Q37" s="20">
        <f t="shared" si="53"/>
        <v>263.26719267225525</v>
      </c>
      <c r="R37" s="59">
        <f t="shared" si="0"/>
        <v>523.23099077058487</v>
      </c>
      <c r="S37" s="59">
        <f ca="1">AVERAGE(OFFSET($R$3,0,0,'Données projet'!$E$9+1,1))-AVERAGE(OFFSET($H$3,0,0,'Données projet'!$E$9+1,1))</f>
        <v>612.09138396952153</v>
      </c>
      <c r="T37" s="59">
        <f t="shared" si="34"/>
        <v>282.284310393542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134.0131371428572</v>
      </c>
      <c r="AK37" s="13">
        <f t="shared" si="35"/>
        <v>34.92203026351433</v>
      </c>
      <c r="AL37" s="20">
        <f t="shared" si="4"/>
        <v>294.2287498994304</v>
      </c>
      <c r="AM37" s="59">
        <f t="shared" si="5"/>
        <v>554.19254799776002</v>
      </c>
      <c r="AN37" s="59">
        <f ca="1">AVERAGE(OFFSET($AM$3,0,0,'Données projet'!$E$10+1,1))-AVERAGE(OFFSET($H$3,0,0,'Données projet'!$E$10+1,1))</f>
        <v>676.7112666359476</v>
      </c>
      <c r="AO37" s="59">
        <f t="shared" si="36"/>
        <v>309.67876644201385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131.95139657142863</v>
      </c>
      <c r="BF37" s="13">
        <f t="shared" si="37"/>
        <v>34.446878042002389</v>
      </c>
      <c r="BG37" s="20">
        <f t="shared" si="7"/>
        <v>289.81032828505903</v>
      </c>
      <c r="BH37" s="59">
        <f t="shared" si="8"/>
        <v>549.77412638338865</v>
      </c>
      <c r="BI37" s="59">
        <f ca="1">AVERAGE(OFFSET($BH$3,0,0,'Données projet'!$E$11+1,1))-AVERAGE(OFFSET($H$3,0,0,'Données projet'!$E$11+1,1))</f>
        <v>667.4887768032404</v>
      </c>
      <c r="BJ37" s="59">
        <f t="shared" si="38"/>
        <v>305.76944302827178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125.76617485714293</v>
      </c>
      <c r="CA37" s="13">
        <f t="shared" si="39"/>
        <v>33.016169437099272</v>
      </c>
      <c r="CB37" s="20">
        <f t="shared" si="10"/>
        <v>276.54591631247177</v>
      </c>
      <c r="CC37" s="59">
        <f t="shared" si="11"/>
        <v>536.50971441080139</v>
      </c>
      <c r="CD37" s="59">
        <f ca="1">AVERAGE(OFFSET($CC$3,0,0,'Données projet'!$E$12+1,1))-AVERAGE(OFFSET($H$3,0,0,'Données projet'!$E$12+1,1))</f>
        <v>639.80378676828764</v>
      </c>
      <c r="CE37" s="59">
        <f t="shared" si="40"/>
        <v>294.03328334345281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161.20000000000002</v>
      </c>
      <c r="CU37" s="17">
        <f>CT37*VLOOKUP('Données projet'!$B$13,Paramètres!$A$1:$I$89,3,0)*VLOOKUP('Données projet'!$B$13,Paramètres!$A$1:$I$89,5,0)</f>
        <v>140.82432000000003</v>
      </c>
      <c r="CV37" s="13">
        <f t="shared" si="41"/>
        <v>36.485781060837802</v>
      </c>
      <c r="CW37" s="20">
        <f t="shared" si="13"/>
        <v>308.81509268095925</v>
      </c>
      <c r="CX37" s="59">
        <f t="shared" si="14"/>
        <v>568.77889077928887</v>
      </c>
      <c r="CY37" s="59">
        <f ca="1">AVERAGE(OFFSET($CX$3,0,0,'Données projet'!$E$13+1,1))-AVERAGE(OFFSET($H$3,0,0,'Données projet'!$E$13+1,1))</f>
        <v>340.64710509454375</v>
      </c>
      <c r="CZ37" s="59">
        <f t="shared" si="42"/>
        <v>329.6409514360613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3.887142857142857</v>
      </c>
      <c r="DO37" s="12">
        <f>IF('Données projet'!$A$166&gt;35,DO36+DN37-DW36,IF(A37&lt;'Données projet'!$A$166,$DL$205^A37,IF(A37='Données projet'!$A$166,'Données projet'!$B$166,DO36+DN37-DW36)))</f>
        <v>132.16285714285721</v>
      </c>
      <c r="DP37" s="17">
        <f>DO37*VLOOKUP('Données projet'!$B$14,Paramètres!$A$1:$I$89,3,0)*VLOOKUP('Données projet'!$B$14,Paramètres!$A$1:$I$89,5,0)</f>
        <v>127.8279154285715</v>
      </c>
      <c r="DQ37" s="13">
        <f t="shared" si="43"/>
        <v>33.493963234877462</v>
      </c>
      <c r="DR37" s="20">
        <f t="shared" si="16"/>
        <v>280.96893867217358</v>
      </c>
      <c r="DS37" s="59">
        <f t="shared" si="17"/>
        <v>540.9327367705032</v>
      </c>
      <c r="DT37" s="59">
        <f ca="1">AVERAGE(OFFSET($DS$3,0,0,'Données projet'!$E$14+1,1))-AVERAGE(OFFSET($H$3,0,0,'Données projet'!$E$14+1,1))</f>
        <v>649.03508893149228</v>
      </c>
      <c r="DU37" s="59">
        <f t="shared" si="44"/>
        <v>297.94672581383213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3.887142857142857</v>
      </c>
      <c r="EJ37" s="12">
        <f>IF('Données projet'!$A$192&gt;35,EJ36+EI37-ER36,IF(A37&lt;'Données projet'!$A$192,$EG$205^A37,IF(A37='Données projet'!$A$192,'Données projet'!$B$192,EJ36+EI37-ER36)))</f>
        <v>132.16285714285721</v>
      </c>
      <c r="EK37" s="17">
        <f>EJ37*VLOOKUP('Données projet'!$B$15,Paramètres!$A$1:$I$89,3,0)*VLOOKUP('Données projet'!$B$15,Paramètres!$A$1:$I$89,5,0)</f>
        <v>142.26009942857149</v>
      </c>
      <c r="EL37" s="13">
        <f t="shared" si="45"/>
        <v>36.814278972929188</v>
      </c>
      <c r="EM37" s="20">
        <f t="shared" si="19"/>
        <v>311.88787571594702</v>
      </c>
      <c r="EN37" s="59">
        <f t="shared" si="20"/>
        <v>571.85167381427664</v>
      </c>
      <c r="EO37" s="59">
        <f ca="1">AVERAGE(OFFSET($EN$3,0,0,'Données projet'!$E$15+1,1))-AVERAGE(OFFSET($H$3,0,0,'Données projet'!$E$15+1,1))</f>
        <v>713.57333631602273</v>
      </c>
      <c r="EP37" s="59">
        <f t="shared" si="46"/>
        <v>325.30302392555359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11.5</v>
      </c>
      <c r="FE37" s="12">
        <f>IF('Données projet'!$A$218&gt;35,FE36+FD37-FM36,IF(A37&lt;'Données projet'!$A$218,$FB$205^A37,IF(A37='Données projet'!$A$218,'Données projet'!$B$218,FE36+FD37-FM36)))</f>
        <v>153.49999999999994</v>
      </c>
      <c r="FF37" s="17">
        <f>FE37*VLOOKUP('Données projet'!$B$16,Paramètres!$A$1:$I$89,3,0)*VLOOKUP('Données projet'!$B$16,Paramètres!$A$1:$I$89,5,0)</f>
        <v>119.72999999999996</v>
      </c>
      <c r="FG37" s="13">
        <f t="shared" si="47"/>
        <v>31.612017974790529</v>
      </c>
      <c r="FH37" s="20">
        <f t="shared" si="22"/>
        <v>263.58734797276003</v>
      </c>
      <c r="FI37" s="59">
        <f t="shared" si="23"/>
        <v>523.55114607108965</v>
      </c>
      <c r="FJ37" s="59">
        <f ca="1">AVERAGE(OFFSET($FI$3,0,0,'Données projet'!$E$16+1,1))-AVERAGE(OFFSET($H$3,0,0,'Données projet'!$E$16+1,1))</f>
        <v>302.04287561738482</v>
      </c>
      <c r="FK37" s="59">
        <f t="shared" si="48"/>
        <v>296.09828774694802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7.5467740729598098</v>
      </c>
      <c r="FR37" s="21">
        <f>EXP(-LN(2)/25)*FR36+(1-EXP(-LN(2)/25))/(LN(2)/25)*Calculateur!FM37*Calculateur!FO37*VLOOKUP('Données projet'!$B$16,Paramètres!$A$1:$I$89,3,0)*0.475*44/12</f>
        <v>9.7900184790946039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17.336792552054412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3.8113157894736847</v>
      </c>
      <c r="FZ37" s="12">
        <f>IF('Données projet'!$A$244&gt;35,FZ36+FY37-GH36,IF(A37&lt;'Données projet'!$A$244,$FW$205^A37,IF(A37='Données projet'!$A$244,'Données projet'!$B$244,FZ36+FY37-GH36)))</f>
        <v>129.5847368421052</v>
      </c>
      <c r="GA37" s="17">
        <f>FZ37*VLOOKUP('Données projet'!$B$17,Paramètres!$A$1:$I$89,3,0)*VLOOKUP('Données projet'!$B$17,Paramètres!$A$1:$I$89,5,0)</f>
        <v>109.16218231578944</v>
      </c>
      <c r="GB37" s="13">
        <f t="shared" si="49"/>
        <v>29.133500440197817</v>
      </c>
      <c r="GC37" s="20">
        <f t="shared" si="25"/>
        <v>240.86498080001115</v>
      </c>
      <c r="GD37" s="59">
        <f t="shared" si="26"/>
        <v>500.82877889834077</v>
      </c>
      <c r="GE37" s="59">
        <f ca="1">AVERAGE(OFFSET($GD$3,0,0,'Données projet'!$E$17+1,1))-AVERAGE(OFFSET($H$3,0,0,'Données projet'!$E$17+1,1))</f>
        <v>385.41819366740276</v>
      </c>
      <c r="GF37" s="59">
        <f t="shared" si="50"/>
        <v>262.4625391252718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60.899217663180806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3.3000000000000003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12.100000000000001</v>
      </c>
      <c r="H38" s="67">
        <f t="shared" si="1"/>
        <v>208.26666666666665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3.887142857142857</v>
      </c>
      <c r="N38" s="13">
        <f>IF('Données projet'!$A$36&gt;35,N37+M38-V37,IF(A38&lt;'Données projet'!$A$36,$K$205^A38,IF(A38='Données projet'!$A$36,'Données projet'!$B$36,N37+M38-V37)))</f>
        <v>136.05000000000007</v>
      </c>
      <c r="O38" s="13">
        <f>N38*VLOOKUP('Données projet'!$B$9,Paramètres!$A$1:$I$89,3,0)*VLOOKUP('Données projet'!$B$9,Paramètres!$A$1:$I$89,5,0)</f>
        <v>123.09804000000005</v>
      </c>
      <c r="P38" s="13">
        <f t="shared" si="33"/>
        <v>32.396490846405321</v>
      </c>
      <c r="Q38" s="20">
        <f t="shared" si="53"/>
        <v>270.81964122415599</v>
      </c>
      <c r="R38" s="59">
        <f t="shared" si="0"/>
        <v>531.3623261557085</v>
      </c>
      <c r="S38" s="59">
        <f ca="1">AVERAGE(OFFSET($R$3,0,0,'Données projet'!$E$9+1,1))-AVERAGE(OFFSET($H$3,0,0,'Données projet'!$E$9+1,1))</f>
        <v>612.09138396952153</v>
      </c>
      <c r="T38" s="59">
        <f t="shared" si="34"/>
        <v>282.284310393542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137.95470000000009</v>
      </c>
      <c r="AK38" s="13">
        <f t="shared" si="35"/>
        <v>35.828055414169384</v>
      </c>
      <c r="AL38" s="20">
        <f t="shared" si="4"/>
        <v>302.67163234634512</v>
      </c>
      <c r="AM38" s="59">
        <f t="shared" si="5"/>
        <v>563.21431727789763</v>
      </c>
      <c r="AN38" s="59">
        <f ca="1">AVERAGE(OFFSET($AM$3,0,0,'Données projet'!$E$10+1,1))-AVERAGE(OFFSET($H$3,0,0,'Données projet'!$E$10+1,1))</f>
        <v>676.7112666359476</v>
      </c>
      <c r="AO38" s="59">
        <f t="shared" si="36"/>
        <v>309.67876644201385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135.83232000000007</v>
      </c>
      <c r="BF38" s="13">
        <f t="shared" si="37"/>
        <v>35.340575734607867</v>
      </c>
      <c r="BG38" s="20">
        <f t="shared" si="7"/>
        <v>298.12612673777545</v>
      </c>
      <c r="BH38" s="59">
        <f t="shared" si="8"/>
        <v>558.66881166932797</v>
      </c>
      <c r="BI38" s="59">
        <f ca="1">AVERAGE(OFFSET($BH$3,0,0,'Données projet'!$E$11+1,1))-AVERAGE(OFFSET($H$3,0,0,'Données projet'!$E$11+1,1))</f>
        <v>667.4887768032404</v>
      </c>
      <c r="BJ38" s="59">
        <f t="shared" si="38"/>
        <v>305.76944302827178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129.46518000000006</v>
      </c>
      <c r="CA38" s="13">
        <f t="shared" si="39"/>
        <v>33.872748498012392</v>
      </c>
      <c r="CB38" s="20">
        <f t="shared" si="10"/>
        <v>284.48022546737167</v>
      </c>
      <c r="CC38" s="59">
        <f t="shared" si="11"/>
        <v>545.02291039892418</v>
      </c>
      <c r="CD38" s="59">
        <f ca="1">AVERAGE(OFFSET($CC$3,0,0,'Données projet'!$E$12+1,1))-AVERAGE(OFFSET($H$3,0,0,'Données projet'!$E$12+1,1))</f>
        <v>639.80378676828764</v>
      </c>
      <c r="CE38" s="59">
        <f t="shared" si="40"/>
        <v>294.03328334345281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172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172.00000000000003</v>
      </c>
      <c r="CU38" s="17">
        <f>CT38*VLOOKUP('Données projet'!$B$13,Paramètres!$A$1:$I$89,3,0)*VLOOKUP('Données projet'!$B$13,Paramètres!$A$1:$I$89,5,0)</f>
        <v>150.25920000000005</v>
      </c>
      <c r="CV38" s="13">
        <f t="shared" si="41"/>
        <v>38.637483830798729</v>
      </c>
      <c r="CW38" s="20">
        <f t="shared" si="13"/>
        <v>328.99505767197456</v>
      </c>
      <c r="CX38" s="59">
        <f t="shared" si="14"/>
        <v>589.53774260352702</v>
      </c>
      <c r="CY38" s="59">
        <f ca="1">AVERAGE(OFFSET($CX$3,0,0,'Données projet'!$E$13+1,1))-AVERAGE(OFFSET($H$3,0,0,'Données projet'!$E$13+1,1))</f>
        <v>340.64710509454375</v>
      </c>
      <c r="CZ38" s="59">
        <f t="shared" si="42"/>
        <v>329.6409514360613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3.887142857142857</v>
      </c>
      <c r="DO38" s="12">
        <f>IF('Données projet'!$A$166&gt;35,DO37+DN38-DW37,IF(A38&lt;'Données projet'!$A$166,$DL$205^A38,IF(A38='Données projet'!$A$166,'Données projet'!$B$166,DO37+DN38-DW37)))</f>
        <v>136.05000000000007</v>
      </c>
      <c r="DP38" s="17">
        <f>DO38*VLOOKUP('Données projet'!$B$14,Paramètres!$A$1:$I$89,3,0)*VLOOKUP('Données projet'!$B$14,Paramètres!$A$1:$I$89,5,0)</f>
        <v>131.58756000000008</v>
      </c>
      <c r="DQ38" s="13">
        <f t="shared" si="43"/>
        <v>34.362938287499752</v>
      </c>
      <c r="DR38" s="20">
        <f t="shared" si="16"/>
        <v>289.0304511840622</v>
      </c>
      <c r="DS38" s="59">
        <f t="shared" si="17"/>
        <v>549.57313611561472</v>
      </c>
      <c r="DT38" s="59">
        <f ca="1">AVERAGE(OFFSET($DS$3,0,0,'Données projet'!$E$14+1,1))-AVERAGE(OFFSET($H$3,0,0,'Données projet'!$E$14+1,1))</f>
        <v>649.03508893149228</v>
      </c>
      <c r="DU38" s="59">
        <f t="shared" si="44"/>
        <v>297.94672581383213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3.887142857142857</v>
      </c>
      <c r="EJ38" s="12">
        <f>IF('Données projet'!$A$192&gt;35,EJ37+EI38-ER37,IF(A38&lt;'Données projet'!$A$192,$EG$205^A38,IF(A38='Données projet'!$A$192,'Données projet'!$B$192,EJ37+EI38-ER37)))</f>
        <v>136.05000000000007</v>
      </c>
      <c r="EK38" s="17">
        <f>EJ38*VLOOKUP('Données projet'!$B$15,Paramètres!$A$1:$I$89,3,0)*VLOOKUP('Données projet'!$B$15,Paramètres!$A$1:$I$89,5,0)</f>
        <v>146.44422000000006</v>
      </c>
      <c r="EL38" s="13">
        <f t="shared" si="45"/>
        <v>37.769397057445374</v>
      </c>
      <c r="EM38" s="20">
        <f t="shared" si="19"/>
        <v>320.83871637505081</v>
      </c>
      <c r="EN38" s="59">
        <f t="shared" si="20"/>
        <v>581.38140130660327</v>
      </c>
      <c r="EO38" s="59">
        <f ca="1">AVERAGE(OFFSET($EN$3,0,0,'Données projet'!$E$15+1,1))-AVERAGE(OFFSET($H$3,0,0,'Données projet'!$E$15+1,1))</f>
        <v>713.57333631602273</v>
      </c>
      <c r="EP38" s="59">
        <f t="shared" si="46"/>
        <v>325.30302392555359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11.5</v>
      </c>
      <c r="FE38" s="12">
        <f>IF('Données projet'!$A$218&gt;35,FE37+FD38-FM37,IF(A38&lt;'Données projet'!$A$218,$FB$205^A38,IF(A38='Données projet'!$A$218,'Données projet'!$B$218,FE37+FD38-FM37)))</f>
        <v>164.99999999999994</v>
      </c>
      <c r="FF38" s="17">
        <f>FE38*VLOOKUP('Données projet'!$B$16,Paramètres!$A$1:$I$89,3,0)*VLOOKUP('Données projet'!$B$16,Paramètres!$A$1:$I$89,5,0)</f>
        <v>128.69999999999996</v>
      </c>
      <c r="FG38" s="13">
        <f t="shared" si="47"/>
        <v>33.695792019186115</v>
      </c>
      <c r="FH38" s="20">
        <f t="shared" si="22"/>
        <v>282.83933776674911</v>
      </c>
      <c r="FI38" s="59">
        <f t="shared" si="23"/>
        <v>543.38202269830163</v>
      </c>
      <c r="FJ38" s="59">
        <f ca="1">AVERAGE(OFFSET($FI$3,0,0,'Données projet'!$E$16+1,1))-AVERAGE(OFFSET($H$3,0,0,'Données projet'!$E$16+1,1))</f>
        <v>302.04287561738482</v>
      </c>
      <c r="FK38" s="59">
        <f t="shared" si="48"/>
        <v>296.09828774694802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7.3987864364667359</v>
      </c>
      <c r="FR38" s="21">
        <f>EXP(-LN(2)/25)*FR37+(1-EXP(-LN(2)/25))/(LN(2)/25)*Calculateur!FM38*Calculateur!FO38*VLOOKUP('Données projet'!$B$16,Paramètres!$A$1:$I$89,3,0)*0.475*44/12</f>
        <v>9.5223099089490653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16.921096345415801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3.8113157894736847</v>
      </c>
      <c r="FZ38" s="12">
        <f>IF('Données projet'!$A$244&gt;35,FZ37+FY38-GH37,IF(A38&lt;'Données projet'!$A$244,$FW$205^A38,IF(A38='Données projet'!$A$244,'Données projet'!$B$244,FZ37+FY38-GH37)))</f>
        <v>133.3960526315789</v>
      </c>
      <c r="GA38" s="17">
        <f>FZ38*VLOOKUP('Données projet'!$B$17,Paramètres!$A$1:$I$89,3,0)*VLOOKUP('Données projet'!$B$17,Paramètres!$A$1:$I$89,5,0)</f>
        <v>112.37283473684207</v>
      </c>
      <c r="GB38" s="13">
        <f t="shared" si="49"/>
        <v>29.889346647484818</v>
      </c>
      <c r="GC38" s="20">
        <f t="shared" si="25"/>
        <v>247.77329924436927</v>
      </c>
      <c r="GD38" s="59">
        <f t="shared" si="26"/>
        <v>508.31598417592181</v>
      </c>
      <c r="GE38" s="59">
        <f ca="1">AVERAGE(OFFSET($GD$3,0,0,'Données projet'!$E$17+1,1))-AVERAGE(OFFSET($H$3,0,0,'Données projet'!$E$17+1,1))</f>
        <v>385.41819366740276</v>
      </c>
      <c r="GF38" s="59">
        <f t="shared" si="50"/>
        <v>262.4625391252718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61.057095890423412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3.3000000000000003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12.100000000000001</v>
      </c>
      <c r="H39" s="67">
        <f t="shared" si="1"/>
        <v>208.26666666666665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3.887142857142857</v>
      </c>
      <c r="N39" s="13">
        <f>IF('Données projet'!$A$36&gt;35,N38+M39-V38,IF(A39&lt;'Données projet'!$A$36,$K$205^A39,IF(A39='Données projet'!$A$36,'Données projet'!$B$36,N38+M39-V38)))</f>
        <v>139.93714285714293</v>
      </c>
      <c r="O39" s="13">
        <f>N39*VLOOKUP('Données projet'!$B$9,Paramètres!$A$1:$I$89,3,0)*VLOOKUP('Données projet'!$B$9,Paramètres!$A$1:$I$89,5,0)</f>
        <v>126.61512685714293</v>
      </c>
      <c r="P39" s="13">
        <f t="shared" si="33"/>
        <v>33.213017638275041</v>
      </c>
      <c r="Q39" s="20">
        <f t="shared" si="53"/>
        <v>278.36735166285297</v>
      </c>
      <c r="R39" s="59">
        <f t="shared" si="0"/>
        <v>539.47888103526907</v>
      </c>
      <c r="S39" s="59">
        <f ca="1">AVERAGE(OFFSET($R$3,0,0,'Données projet'!$E$9+1,1))-AVERAGE(OFFSET($H$3,0,0,'Données projet'!$E$9+1,1))</f>
        <v>612.09138396952153</v>
      </c>
      <c r="T39" s="59">
        <f t="shared" si="34"/>
        <v>282.284310393542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141.89626285714294</v>
      </c>
      <c r="AK39" s="13">
        <f t="shared" si="35"/>
        <v>36.73107195645354</v>
      </c>
      <c r="AL39" s="20">
        <f t="shared" si="4"/>
        <v>311.10927480034724</v>
      </c>
      <c r="AM39" s="59">
        <f t="shared" si="5"/>
        <v>572.22080417276334</v>
      </c>
      <c r="AN39" s="59">
        <f ca="1">AVERAGE(OFFSET($AM$3,0,0,'Données projet'!$E$10+1,1))-AVERAGE(OFFSET($H$3,0,0,'Données projet'!$E$10+1,1))</f>
        <v>676.7112666359476</v>
      </c>
      <c r="AO39" s="59">
        <f t="shared" si="36"/>
        <v>309.67876644201385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139.7132434285715</v>
      </c>
      <c r="BF39" s="13">
        <f t="shared" si="37"/>
        <v>36.231305754233098</v>
      </c>
      <c r="BG39" s="20">
        <f t="shared" si="7"/>
        <v>306.43675649338468</v>
      </c>
      <c r="BH39" s="59">
        <f t="shared" si="8"/>
        <v>567.54828586580072</v>
      </c>
      <c r="BI39" s="59">
        <f ca="1">AVERAGE(OFFSET($BH$3,0,0,'Données projet'!$E$11+1,1))-AVERAGE(OFFSET($H$3,0,0,'Données projet'!$E$11+1,1))</f>
        <v>667.4887768032404</v>
      </c>
      <c r="BJ39" s="59">
        <f t="shared" si="38"/>
        <v>305.76944302827178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133.16418514285721</v>
      </c>
      <c r="CA39" s="13">
        <f t="shared" si="39"/>
        <v>34.726483144583192</v>
      </c>
      <c r="CB39" s="20">
        <f t="shared" si="10"/>
        <v>292.40958060062536</v>
      </c>
      <c r="CC39" s="59">
        <f t="shared" si="11"/>
        <v>553.52110997304135</v>
      </c>
      <c r="CD39" s="59">
        <f ca="1">AVERAGE(OFFSET($CC$3,0,0,'Données projet'!$E$12+1,1))-AVERAGE(OFFSET($H$3,0,0,'Données projet'!$E$12+1,1))</f>
        <v>639.80378676828764</v>
      </c>
      <c r="CE39" s="59">
        <f t="shared" si="40"/>
        <v>294.03328334345281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153.60000000000002</v>
      </c>
      <c r="CU39" s="17">
        <f>CT39*VLOOKUP('Données projet'!$B$13,Paramètres!$A$1:$I$89,3,0)*VLOOKUP('Données projet'!$B$13,Paramètres!$A$1:$I$89,5,0)</f>
        <v>134.18496000000005</v>
      </c>
      <c r="CV39" s="13">
        <f t="shared" si="41"/>
        <v>34.961590270648216</v>
      </c>
      <c r="CW39" s="20">
        <f t="shared" si="13"/>
        <v>294.59690838804573</v>
      </c>
      <c r="CX39" s="59">
        <f t="shared" si="14"/>
        <v>555.70843776046172</v>
      </c>
      <c r="CY39" s="59">
        <f ca="1">AVERAGE(OFFSET($CX$3,0,0,'Données projet'!$E$13+1,1))-AVERAGE(OFFSET($H$3,0,0,'Données projet'!$E$13+1,1))</f>
        <v>340.64710509454375</v>
      </c>
      <c r="CZ39" s="59">
        <f t="shared" si="42"/>
        <v>329.6409514360613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3.887142857142857</v>
      </c>
      <c r="DO39" s="12">
        <f>IF('Données projet'!$A$166&gt;35,DO38+DN39-DW38,IF(A39&lt;'Données projet'!$A$166,$DL$205^A39,IF(A39='Données projet'!$A$166,'Données projet'!$B$166,DO38+DN39-DW38)))</f>
        <v>139.93714285714293</v>
      </c>
      <c r="DP39" s="17">
        <f>DO39*VLOOKUP('Données projet'!$B$14,Paramètres!$A$1:$I$89,3,0)*VLOOKUP('Données projet'!$B$14,Paramètres!$A$1:$I$89,5,0)</f>
        <v>135.34720457142865</v>
      </c>
      <c r="DQ39" s="13">
        <f t="shared" si="43"/>
        <v>35.229027762811612</v>
      </c>
      <c r="DR39" s="20">
        <f t="shared" si="16"/>
        <v>297.08693798213511</v>
      </c>
      <c r="DS39" s="59">
        <f t="shared" si="17"/>
        <v>558.19846735455121</v>
      </c>
      <c r="DT39" s="59">
        <f ca="1">AVERAGE(OFFSET($DS$3,0,0,'Données projet'!$E$14+1,1))-AVERAGE(OFFSET($H$3,0,0,'Données projet'!$E$14+1,1))</f>
        <v>649.03508893149228</v>
      </c>
      <c r="DU39" s="59">
        <f t="shared" si="44"/>
        <v>297.94672581383213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3.887142857142857</v>
      </c>
      <c r="EJ39" s="12">
        <f>IF('Données projet'!$A$192&gt;35,EJ38+EI39-ER38,IF(A39&lt;'Données projet'!$A$192,$EG$205^A39,IF(A39='Données projet'!$A$192,'Données projet'!$B$192,EJ38+EI39-ER38)))</f>
        <v>139.93714285714293</v>
      </c>
      <c r="EK39" s="17">
        <f>EJ39*VLOOKUP('Données projet'!$B$15,Paramètres!$A$1:$I$89,3,0)*VLOOKUP('Données projet'!$B$15,Paramètres!$A$1:$I$89,5,0)</f>
        <v>150.62834057142865</v>
      </c>
      <c r="EL39" s="13">
        <f t="shared" si="45"/>
        <v>38.721343512275389</v>
      </c>
      <c r="EM39" s="20">
        <f t="shared" si="19"/>
        <v>329.78403311245114</v>
      </c>
      <c r="EN39" s="59">
        <f t="shared" si="20"/>
        <v>590.89556248486724</v>
      </c>
      <c r="EO39" s="59">
        <f ca="1">AVERAGE(OFFSET($EN$3,0,0,'Données projet'!$E$15+1,1))-AVERAGE(OFFSET($H$3,0,0,'Données projet'!$E$15+1,1))</f>
        <v>713.57333631602273</v>
      </c>
      <c r="EP39" s="59">
        <f t="shared" si="46"/>
        <v>325.30302392555359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11.5</v>
      </c>
      <c r="FE39" s="12">
        <f>IF('Données projet'!$A$218&gt;35,FE38+FD39-FM38,IF(A39&lt;'Données projet'!$A$218,$FB$205^A39,IF(A39='Données projet'!$A$218,'Données projet'!$B$218,FE38+FD39-FM38)))</f>
        <v>176.49999999999994</v>
      </c>
      <c r="FF39" s="17">
        <f>FE39*VLOOKUP('Données projet'!$B$16,Paramètres!$A$1:$I$89,3,0)*VLOOKUP('Données projet'!$B$16,Paramètres!$A$1:$I$89,5,0)</f>
        <v>137.66999999999996</v>
      </c>
      <c r="FG39" s="13">
        <f t="shared" si="47"/>
        <v>35.762714965854656</v>
      </c>
      <c r="FH39" s="20">
        <f t="shared" si="22"/>
        <v>302.06197856553007</v>
      </c>
      <c r="FI39" s="59">
        <f t="shared" si="23"/>
        <v>563.17350793794617</v>
      </c>
      <c r="FJ39" s="59">
        <f ca="1">AVERAGE(OFFSET($FI$3,0,0,'Données projet'!$E$16+1,1))-AVERAGE(OFFSET($H$3,0,0,'Données projet'!$E$16+1,1))</f>
        <v>302.04287561738482</v>
      </c>
      <c r="FK39" s="59">
        <f t="shared" si="48"/>
        <v>296.09828774694802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7.2537007472617461</v>
      </c>
      <c r="FR39" s="21">
        <f>EXP(-LN(2)/25)*FR38+(1-EXP(-LN(2)/25))/(LN(2)/25)*Calculateur!FM39*Calculateur!FO39*VLOOKUP('Données projet'!$B$16,Paramètres!$A$1:$I$89,3,0)*0.475*44/12</f>
        <v>9.2619218437323383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16.515622590994084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3.8113157894736847</v>
      </c>
      <c r="FZ39" s="12">
        <f>IF('Données projet'!$A$244&gt;35,FZ38+FY39-GH38,IF(A39&lt;'Données projet'!$A$244,$FW$205^A39,IF(A39='Données projet'!$A$244,'Données projet'!$B$244,FZ38+FY39-GH38)))</f>
        <v>137.20736842105259</v>
      </c>
      <c r="GA39" s="17">
        <f>FZ39*VLOOKUP('Données projet'!$B$17,Paramètres!$A$1:$I$89,3,0)*VLOOKUP('Données projet'!$B$17,Paramètres!$A$1:$I$89,5,0)</f>
        <v>115.58348715789471</v>
      </c>
      <c r="GB39" s="13">
        <f t="shared" si="49"/>
        <v>30.642682940753755</v>
      </c>
      <c r="GC39" s="20">
        <f t="shared" si="25"/>
        <v>254.677246255146</v>
      </c>
      <c r="GD39" s="59">
        <f t="shared" si="26"/>
        <v>515.78877562756202</v>
      </c>
      <c r="GE39" s="59">
        <f ca="1">AVERAGE(OFFSET($GD$3,0,0,'Données projet'!$E$17+1,1))-AVERAGE(OFFSET($H$3,0,0,'Données projet'!$E$17+1,1))</f>
        <v>385.41819366740276</v>
      </c>
      <c r="GF39" s="59">
        <f t="shared" si="50"/>
        <v>262.4625391252718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61.212235283386192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3.3000000000000003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12.100000000000001</v>
      </c>
      <c r="H40" s="67">
        <f t="shared" si="1"/>
        <v>208.26666666666665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3.887142857142857</v>
      </c>
      <c r="N40" s="13">
        <f>IF('Données projet'!$A$36&gt;35,N39+M40-V39,IF(A40&lt;'Données projet'!$A$36,$K$205^A40,IF(A40='Données projet'!$A$36,'Données projet'!$B$36,N39+M40-V39)))</f>
        <v>143.82428571428579</v>
      </c>
      <c r="O40" s="13">
        <f>N40*VLOOKUP('Données projet'!$B$9,Paramètres!$A$1:$I$89,3,0)*VLOOKUP('Données projet'!$B$9,Paramètres!$A$1:$I$89,5,0)</f>
        <v>130.13221371428577</v>
      </c>
      <c r="P40" s="13">
        <f t="shared" si="33"/>
        <v>34.026908232186209</v>
      </c>
      <c r="Q40" s="20">
        <f t="shared" si="53"/>
        <v>285.91047072343866</v>
      </c>
      <c r="R40" s="59">
        <f t="shared" si="0"/>
        <v>547.5809763574149</v>
      </c>
      <c r="S40" s="59">
        <f ca="1">AVERAGE(OFFSET($R$3,0,0,'Données projet'!$E$9+1,1))-AVERAGE(OFFSET($H$3,0,0,'Données projet'!$E$9+1,1))</f>
        <v>612.09138396952153</v>
      </c>
      <c r="T40" s="59">
        <f t="shared" si="34"/>
        <v>282.284310393542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145.8378257142858</v>
      </c>
      <c r="AK40" s="13">
        <f t="shared" si="35"/>
        <v>37.631173064254732</v>
      </c>
      <c r="AL40" s="20">
        <f t="shared" si="4"/>
        <v>319.5418395392914</v>
      </c>
      <c r="AM40" s="59">
        <f t="shared" si="5"/>
        <v>581.21234517326764</v>
      </c>
      <c r="AN40" s="59">
        <f ca="1">AVERAGE(OFFSET($AM$3,0,0,'Données projet'!$E$10+1,1))-AVERAGE(OFFSET($H$3,0,0,'Données projet'!$E$10+1,1))</f>
        <v>676.7112666359476</v>
      </c>
      <c r="AO40" s="59">
        <f t="shared" si="36"/>
        <v>309.67876644201385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143.59416685714297</v>
      </c>
      <c r="BF40" s="13">
        <f t="shared" si="37"/>
        <v>37.119160007033912</v>
      </c>
      <c r="BG40" s="20">
        <f t="shared" si="7"/>
        <v>314.74237762177472</v>
      </c>
      <c r="BH40" s="59">
        <f t="shared" si="8"/>
        <v>576.41288325575101</v>
      </c>
      <c r="BI40" s="59">
        <f ca="1">AVERAGE(OFFSET($BH$3,0,0,'Données projet'!$E$11+1,1))-AVERAGE(OFFSET($H$3,0,0,'Données projet'!$E$11+1,1))</f>
        <v>667.4887768032404</v>
      </c>
      <c r="BJ40" s="59">
        <f t="shared" si="38"/>
        <v>305.76944302827178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136.86319028571435</v>
      </c>
      <c r="CA40" s="13">
        <f t="shared" si="39"/>
        <v>35.577461465758702</v>
      </c>
      <c r="CB40" s="20">
        <f t="shared" si="10"/>
        <v>300.33413513381555</v>
      </c>
      <c r="CC40" s="59">
        <f t="shared" si="11"/>
        <v>562.00464076779178</v>
      </c>
      <c r="CD40" s="59">
        <f ca="1">AVERAGE(OFFSET($CC$3,0,0,'Données projet'!$E$12+1,1))-AVERAGE(OFFSET($H$3,0,0,'Données projet'!$E$12+1,1))</f>
        <v>639.80378676828764</v>
      </c>
      <c r="CE40" s="59">
        <f t="shared" si="40"/>
        <v>294.03328334345281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163.20000000000002</v>
      </c>
      <c r="CU40" s="17">
        <f>CT40*VLOOKUP('Données projet'!$B$13,Paramètres!$A$1:$I$89,3,0)*VLOOKUP('Données projet'!$B$13,Paramètres!$A$1:$I$89,5,0)</f>
        <v>142.57152000000005</v>
      </c>
      <c r="CV40" s="13">
        <f t="shared" si="41"/>
        <v>36.885479122455578</v>
      </c>
      <c r="CW40" s="20">
        <f t="shared" si="13"/>
        <v>312.5542734716102</v>
      </c>
      <c r="CX40" s="59">
        <f t="shared" si="14"/>
        <v>574.22477910558644</v>
      </c>
      <c r="CY40" s="59">
        <f ca="1">AVERAGE(OFFSET($CX$3,0,0,'Données projet'!$E$13+1,1))-AVERAGE(OFFSET($H$3,0,0,'Données projet'!$E$13+1,1))</f>
        <v>340.64710509454375</v>
      </c>
      <c r="CZ40" s="59">
        <f t="shared" si="42"/>
        <v>329.6409514360613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3.887142857142857</v>
      </c>
      <c r="DO40" s="12">
        <f>IF('Données projet'!$A$166&gt;35,DO39+DN40-DW39,IF(A40&lt;'Données projet'!$A$166,$DL$205^A40,IF(A40='Données projet'!$A$166,'Données projet'!$B$166,DO39+DN40-DW39)))</f>
        <v>143.82428571428579</v>
      </c>
      <c r="DP40" s="17">
        <f>DO40*VLOOKUP('Données projet'!$B$14,Paramètres!$A$1:$I$89,3,0)*VLOOKUP('Données projet'!$B$14,Paramètres!$A$1:$I$89,5,0)</f>
        <v>139.10684914285721</v>
      </c>
      <c r="DQ40" s="13">
        <f t="shared" si="43"/>
        <v>36.092321024539963</v>
      </c>
      <c r="DR40" s="20">
        <f t="shared" si="16"/>
        <v>305.13855470821676</v>
      </c>
      <c r="DS40" s="59">
        <f t="shared" si="17"/>
        <v>566.80906034219299</v>
      </c>
      <c r="DT40" s="59">
        <f ca="1">AVERAGE(OFFSET($DS$3,0,0,'Données projet'!$E$14+1,1))-AVERAGE(OFFSET($H$3,0,0,'Données projet'!$E$14+1,1))</f>
        <v>649.03508893149228</v>
      </c>
      <c r="DU40" s="59">
        <f t="shared" si="44"/>
        <v>297.94672581383213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3.887142857142857</v>
      </c>
      <c r="EJ40" s="12">
        <f>IF('Données projet'!$A$192&gt;35,EJ39+EI40-ER39,IF(A40&lt;'Données projet'!$A$192,$EG$205^A40,IF(A40='Données projet'!$A$192,'Données projet'!$B$192,EJ39+EI40-ER39)))</f>
        <v>143.82428571428579</v>
      </c>
      <c r="EK40" s="17">
        <f>EJ40*VLOOKUP('Données projet'!$B$15,Paramètres!$A$1:$I$89,3,0)*VLOOKUP('Données projet'!$B$15,Paramètres!$A$1:$I$89,5,0)</f>
        <v>154.81246114285725</v>
      </c>
      <c r="EL40" s="13">
        <f t="shared" si="45"/>
        <v>39.670216559930267</v>
      </c>
      <c r="EM40" s="20">
        <f t="shared" si="19"/>
        <v>338.72399699902149</v>
      </c>
      <c r="EN40" s="59">
        <f t="shared" si="20"/>
        <v>600.39450263299773</v>
      </c>
      <c r="EO40" s="59">
        <f ca="1">AVERAGE(OFFSET($EN$3,0,0,'Données projet'!$E$15+1,1))-AVERAGE(OFFSET($H$3,0,0,'Données projet'!$E$15+1,1))</f>
        <v>713.57333631602273</v>
      </c>
      <c r="EP40" s="59">
        <f t="shared" si="46"/>
        <v>325.30302392555359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>
        <f>VLOOKUP(A40,'Données projet'!$A$217:$I$237,2,0)</f>
        <v>188</v>
      </c>
      <c r="FC40" s="12">
        <f>VLOOKUP(A40,'Données projet'!$A$217:$I$237,9,0)</f>
        <v>11.5</v>
      </c>
      <c r="FD40" s="12">
        <f t="array" ref="FD40">INDEX(FC:FC,MIN(IF(ISNUMBER(FC40:FC236),ROW(FC40:FC236),"")))</f>
        <v>11.5</v>
      </c>
      <c r="FE40" s="12">
        <f>IF('Données projet'!$A$218&gt;35,FE39+FD40-FM39,IF(A40&lt;'Données projet'!$A$218,$FB$205^A40,IF(A40='Données projet'!$A$218,'Données projet'!$B$218,FE39+FD40-FM39)))</f>
        <v>187.99999999999994</v>
      </c>
      <c r="FF40" s="17">
        <f>FE40*VLOOKUP('Données projet'!$B$16,Paramètres!$A$1:$I$89,3,0)*VLOOKUP('Données projet'!$B$16,Paramètres!$A$1:$I$89,5,0)</f>
        <v>146.63999999999996</v>
      </c>
      <c r="FG40" s="13">
        <f t="shared" si="47"/>
        <v>37.814009712703026</v>
      </c>
      <c r="FH40" s="20">
        <f t="shared" si="22"/>
        <v>321.25740024962437</v>
      </c>
      <c r="FI40" s="59">
        <f t="shared" si="23"/>
        <v>582.9279058836006</v>
      </c>
      <c r="FJ40" s="59">
        <f ca="1">AVERAGE(OFFSET($FI$3,0,0,'Données projet'!$E$16+1,1))-AVERAGE(OFFSET($H$3,0,0,'Données projet'!$E$16+1,1))</f>
        <v>302.04287561738482</v>
      </c>
      <c r="FK40" s="59">
        <f t="shared" si="48"/>
        <v>296.09828774694802</v>
      </c>
      <c r="FL40" s="15">
        <f>IF(ISNA(VLOOKUP(A40,'Données projet'!$A$217:$I$237,3,0)),0,VLOOKUP(A40,'Données projet'!$A$217:$I$237,3,0))</f>
        <v>5</v>
      </c>
      <c r="FM40" s="15">
        <f>IF(ISNA(VLOOKUP(A40,'Données projet'!$A$217:$I$237,4,0)),0,VLOOKUP(A40,'Données projet'!$A$217:$I$237,4,0))</f>
        <v>36</v>
      </c>
      <c r="FN40" s="16">
        <f>IF(ISNA(VLOOKUP(A40,'Données projet'!$A$217:$I$237,5,0)),0%,VLOOKUP(A40,'Données projet'!$A$217:$I$237,5,0)*VLOOKUP('Données projet'!$B$16,Paramètres!$A$1:$I$89,7,0))</f>
        <v>0.25800000000000001</v>
      </c>
      <c r="FO40" s="16">
        <f>IF(ISNA(VLOOKUP(A40,'Données projet'!$A$217:$I$237,6,0)),0%,VLOOKUP(A40,'Données projet'!$A$217:$I$237,6,0)*VLOOKUP('Données projet'!$B$16,Paramètres!$A$1:$I$89,7,0))</f>
        <v>8.6000000000000007E-2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15.120195030308127</v>
      </c>
      <c r="FR40" s="21">
        <f>EXP(-LN(2)/25)*FR39+(1-EXP(-LN(2)/25))/(LN(2)/25)*Calculateur!FM40*Calculateur!FO40*VLOOKUP('Données projet'!$B$16,Paramètres!$A$1:$I$89,3,0)*0.475*44/12</f>
        <v>11.667721266982657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26.787916297290785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3.8113157894736847</v>
      </c>
      <c r="FZ40" s="12">
        <f>IF('Données projet'!$A$244&gt;35,FZ39+FY40-GH39,IF(A40&lt;'Données projet'!$A$244,$FW$205^A40,IF(A40='Données projet'!$A$244,'Données projet'!$B$244,FZ39+FY40-GH39)))</f>
        <v>141.01868421052629</v>
      </c>
      <c r="GA40" s="17">
        <f>FZ40*VLOOKUP('Données projet'!$B$17,Paramètres!$A$1:$I$89,3,0)*VLOOKUP('Données projet'!$B$17,Paramètres!$A$1:$I$89,5,0)</f>
        <v>118.79413957894737</v>
      </c>
      <c r="GB40" s="13">
        <f t="shared" si="49"/>
        <v>31.393587049778187</v>
      </c>
      <c r="GC40" s="20">
        <f t="shared" si="25"/>
        <v>261.57695721169699</v>
      </c>
      <c r="GD40" s="59">
        <f t="shared" si="26"/>
        <v>523.24746284567323</v>
      </c>
      <c r="GE40" s="59">
        <f ca="1">AVERAGE(OFFSET($GD$3,0,0,'Données projet'!$E$17+1,1))-AVERAGE(OFFSET($H$3,0,0,'Données projet'!$E$17+1,1))</f>
        <v>385.41819366740276</v>
      </c>
      <c r="GF40" s="59">
        <f t="shared" si="50"/>
        <v>262.4625391252718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61.364683354720796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3.3000000000000003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12.100000000000001</v>
      </c>
      <c r="H41" s="67">
        <f t="shared" si="1"/>
        <v>208.26666666666665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3.887142857142857</v>
      </c>
      <c r="N41" s="13">
        <f>IF('Données projet'!$A$36&gt;35,N40+M41-V40,IF(A41&lt;'Données projet'!$A$36,$K$205^A41,IF(A41='Données projet'!$A$36,'Données projet'!$B$36,N40+M41-V40)))</f>
        <v>147.71142857142866</v>
      </c>
      <c r="O41" s="13">
        <f>N41*VLOOKUP('Données projet'!$B$9,Paramètres!$A$1:$I$89,3,0)*VLOOKUP('Données projet'!$B$9,Paramètres!$A$1:$I$89,5,0)</f>
        <v>133.64930057142865</v>
      </c>
      <c r="P41" s="13">
        <f t="shared" si="33"/>
        <v>34.8382420646657</v>
      </c>
      <c r="Q41" s="20">
        <f t="shared" si="53"/>
        <v>293.44913675786432</v>
      </c>
      <c r="R41" s="59">
        <f t="shared" si="0"/>
        <v>555.66892166494642</v>
      </c>
      <c r="S41" s="59">
        <f ca="1">AVERAGE(OFFSET($R$3,0,0,'Données projet'!$E$9+1,1))-AVERAGE(OFFSET($H$3,0,0,'Données projet'!$E$9+1,1))</f>
        <v>612.09138396952153</v>
      </c>
      <c r="T41" s="59">
        <f t="shared" si="34"/>
        <v>282.284310393542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149.77938857142865</v>
      </c>
      <c r="AK41" s="13">
        <f t="shared" si="35"/>
        <v>38.528446588331214</v>
      </c>
      <c r="AL41" s="20">
        <f t="shared" si="4"/>
        <v>327.96947956991511</v>
      </c>
      <c r="AM41" s="59">
        <f t="shared" si="5"/>
        <v>590.18926447699721</v>
      </c>
      <c r="AN41" s="59">
        <f ca="1">AVERAGE(OFFSET($AM$3,0,0,'Données projet'!$E$10+1,1))-AVERAGE(OFFSET($H$3,0,0,'Données projet'!$E$10+1,1))</f>
        <v>676.7112666359476</v>
      </c>
      <c r="AO41" s="59">
        <f t="shared" si="36"/>
        <v>309.67876644201385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147.47509028571437</v>
      </c>
      <c r="BF41" s="13">
        <f t="shared" si="37"/>
        <v>38.004225148463313</v>
      </c>
      <c r="BG41" s="20">
        <f t="shared" si="7"/>
        <v>323.04314104785948</v>
      </c>
      <c r="BH41" s="59">
        <f t="shared" si="8"/>
        <v>585.26292595494158</v>
      </c>
      <c r="BI41" s="59">
        <f ca="1">AVERAGE(OFFSET($BH$3,0,0,'Données projet'!$E$11+1,1))-AVERAGE(OFFSET($H$3,0,0,'Données projet'!$E$11+1,1))</f>
        <v>667.4887768032404</v>
      </c>
      <c r="BJ41" s="59">
        <f t="shared" si="38"/>
        <v>305.76944302827178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140.56219542857153</v>
      </c>
      <c r="CA41" s="13">
        <f t="shared" si="39"/>
        <v>36.425766517864517</v>
      </c>
      <c r="CB41" s="20">
        <f t="shared" si="10"/>
        <v>308.2540337233761</v>
      </c>
      <c r="CC41" s="59">
        <f t="shared" si="11"/>
        <v>570.47381863045825</v>
      </c>
      <c r="CD41" s="59">
        <f ca="1">AVERAGE(OFFSET($CC$3,0,0,'Données projet'!$E$12+1,1))-AVERAGE(OFFSET($H$3,0,0,'Données projet'!$E$12+1,1))</f>
        <v>639.80378676828764</v>
      </c>
      <c r="CE41" s="59">
        <f t="shared" si="40"/>
        <v>294.03328334345281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172.8</v>
      </c>
      <c r="CU41" s="17">
        <f>CT41*VLOOKUP('Données projet'!$B$13,Paramètres!$A$1:$I$89,3,0)*VLOOKUP('Données projet'!$B$13,Paramètres!$A$1:$I$89,5,0)</f>
        <v>150.95808000000002</v>
      </c>
      <c r="CV41" s="13">
        <f t="shared" si="41"/>
        <v>38.796231993724774</v>
      </c>
      <c r="CW41" s="20">
        <f t="shared" si="13"/>
        <v>330.48876005573732</v>
      </c>
      <c r="CX41" s="59">
        <f t="shared" si="14"/>
        <v>592.70854496281936</v>
      </c>
      <c r="CY41" s="59">
        <f ca="1">AVERAGE(OFFSET($CX$3,0,0,'Données projet'!$E$13+1,1))-AVERAGE(OFFSET($H$3,0,0,'Données projet'!$E$13+1,1))</f>
        <v>340.64710509454375</v>
      </c>
      <c r="CZ41" s="59">
        <f t="shared" si="42"/>
        <v>329.6409514360613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3.887142857142857</v>
      </c>
      <c r="DO41" s="12">
        <f>IF('Données projet'!$A$166&gt;35,DO40+DN41-DW40,IF(A41&lt;'Données projet'!$A$166,$DL$205^A41,IF(A41='Données projet'!$A$166,'Données projet'!$B$166,DO40+DN41-DW40)))</f>
        <v>147.71142857142866</v>
      </c>
      <c r="DP41" s="17">
        <f>DO41*VLOOKUP('Données projet'!$B$14,Paramètres!$A$1:$I$89,3,0)*VLOOKUP('Données projet'!$B$14,Paramètres!$A$1:$I$89,5,0)</f>
        <v>142.86649371428578</v>
      </c>
      <c r="DQ41" s="13">
        <f t="shared" si="43"/>
        <v>36.952902330960896</v>
      </c>
      <c r="DR41" s="20">
        <f t="shared" si="16"/>
        <v>313.18544811213798</v>
      </c>
      <c r="DS41" s="59">
        <f t="shared" si="17"/>
        <v>575.40523301922008</v>
      </c>
      <c r="DT41" s="59">
        <f ca="1">AVERAGE(OFFSET($DS$3,0,0,'Données projet'!$E$14+1,1))-AVERAGE(OFFSET($H$3,0,0,'Données projet'!$E$14+1,1))</f>
        <v>649.03508893149228</v>
      </c>
      <c r="DU41" s="59">
        <f t="shared" si="44"/>
        <v>297.94672581383213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3.887142857142857</v>
      </c>
      <c r="EJ41" s="12">
        <f>IF('Données projet'!$A$192&gt;35,EJ40+EI41-ER40,IF(A41&lt;'Données projet'!$A$192,$EG$205^A41,IF(A41='Données projet'!$A$192,'Données projet'!$B$192,EJ40+EI41-ER40)))</f>
        <v>147.71142857142866</v>
      </c>
      <c r="EK41" s="17">
        <f>EJ41*VLOOKUP('Données projet'!$B$15,Paramètres!$A$1:$I$89,3,0)*VLOOKUP('Données projet'!$B$15,Paramètres!$A$1:$I$89,5,0)</f>
        <v>158.99658171428578</v>
      </c>
      <c r="EL41" s="13">
        <f t="shared" si="45"/>
        <v>40.616108811357734</v>
      </c>
      <c r="EM41" s="20">
        <f t="shared" si="19"/>
        <v>347.65876933216242</v>
      </c>
      <c r="EN41" s="59">
        <f t="shared" si="20"/>
        <v>609.87855423924452</v>
      </c>
      <c r="EO41" s="59">
        <f ca="1">AVERAGE(OFFSET($EN$3,0,0,'Données projet'!$E$15+1,1))-AVERAGE(OFFSET($H$3,0,0,'Données projet'!$E$15+1,1))</f>
        <v>713.57333631602273</v>
      </c>
      <c r="EP41" s="59">
        <f t="shared" si="46"/>
        <v>325.30302392555359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11.142857142857142</v>
      </c>
      <c r="FE41" s="12">
        <f>IF('Données projet'!$A$218&gt;35,FE40+FD41-FM40,IF(A41&lt;'Données projet'!$A$218,$FB$205^A41,IF(A41='Données projet'!$A$218,'Données projet'!$B$218,FE40+FD41-FM40)))</f>
        <v>163.14285714285708</v>
      </c>
      <c r="FF41" s="17">
        <f>FE41*VLOOKUP('Données projet'!$B$16,Paramètres!$A$1:$I$89,3,0)*VLOOKUP('Données projet'!$B$16,Paramètres!$A$1:$I$89,5,0)</f>
        <v>127.25142857142853</v>
      </c>
      <c r="FG41" s="13">
        <f t="shared" si="47"/>
        <v>33.360457439554281</v>
      </c>
      <c r="FH41" s="20">
        <f t="shared" si="22"/>
        <v>279.73236813579501</v>
      </c>
      <c r="FI41" s="59">
        <f t="shared" si="23"/>
        <v>541.95215304287717</v>
      </c>
      <c r="FJ41" s="59">
        <f ca="1">AVERAGE(OFFSET($FI$3,0,0,'Données projet'!$E$16+1,1))-AVERAGE(OFFSET($H$3,0,0,'Données projet'!$E$16+1,1))</f>
        <v>302.04287561738482</v>
      </c>
      <c r="FK41" s="59">
        <f t="shared" si="48"/>
        <v>296.09828774694802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14.823697228172115</v>
      </c>
      <c r="FR41" s="21">
        <f>EXP(-LN(2)/25)*FR40+(1-EXP(-LN(2)/25))/(LN(2)/25)*Calculateur!FM41*Calculateur!FO41*VLOOKUP('Données projet'!$B$16,Paramètres!$A$1:$I$89,3,0)*0.475*44/12</f>
        <v>11.348666815358222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26.172364043530337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>
        <f>VLOOKUP(A41,'Données projet'!$A$243:$I$263,2,0)</f>
        <v>144.83000000000001</v>
      </c>
      <c r="FX41" s="12">
        <f>VLOOKUP(A41,'Données projet'!$A$243:$I$263,9,0)</f>
        <v>3.8113157894736847</v>
      </c>
      <c r="FY41" s="12">
        <f t="array" ref="FY41">INDEX(FX:FX,MIN(IF(ISNUMBER(FX41:FX237),ROW(FX41:FX237),"")))</f>
        <v>3.8113157894736847</v>
      </c>
      <c r="FZ41" s="12">
        <f>IF('Données projet'!$A$244&gt;35,FZ40+FY41-GH40,IF(A41&lt;'Données projet'!$A$244,$FW$205^A41,IF(A41='Données projet'!$A$244,'Données projet'!$B$244,FZ40+FY41-GH40)))</f>
        <v>144.82999999999998</v>
      </c>
      <c r="GA41" s="17">
        <f>FZ41*VLOOKUP('Données projet'!$B$17,Paramètres!$A$1:$I$89,3,0)*VLOOKUP('Données projet'!$B$17,Paramètres!$A$1:$I$89,5,0)</f>
        <v>122.00479199999999</v>
      </c>
      <c r="GB41" s="13">
        <f t="shared" si="49"/>
        <v>32.142132263541754</v>
      </c>
      <c r="GC41" s="20">
        <f t="shared" si="25"/>
        <v>268.47255975900185</v>
      </c>
      <c r="GD41" s="59">
        <f t="shared" si="26"/>
        <v>530.69234466608395</v>
      </c>
      <c r="GE41" s="59">
        <f ca="1">AVERAGE(OFFSET($GD$3,0,0,'Données projet'!$E$17+1,1))-AVERAGE(OFFSET($H$3,0,0,'Données projet'!$E$17+1,1))</f>
        <v>385.41819366740276</v>
      </c>
      <c r="GF41" s="59">
        <f t="shared" si="50"/>
        <v>262.4625391252718</v>
      </c>
      <c r="GG41" s="15">
        <f>IF(ISNA(VLOOKUP(A41,'Données projet'!$A$243:$I$263,3,0)),0,VLOOKUP(A41,'Données projet'!$A$243:$I$263,3,0))</f>
        <v>1</v>
      </c>
      <c r="GH41" s="15">
        <f>IF(ISNA(VLOOKUP(A41,'Données projet'!$A$243:$I$263,4,0)),0,VLOOKUP(A41,'Données projet'!$A$243:$I$263,4,0))</f>
        <v>69.08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61.514486792840572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3.3000000000000003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12.100000000000001</v>
      </c>
      <c r="H42" s="67">
        <f t="shared" si="1"/>
        <v>208.26666666666665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3.887142857142857</v>
      </c>
      <c r="N42" s="13">
        <f>IF('Données projet'!$A$36&gt;35,N41+M42-V41,IF(A42&lt;'Données projet'!$A$36,$K$205^A42,IF(A42='Données projet'!$A$36,'Données projet'!$B$36,N41+M42-V41)))</f>
        <v>151.59857142857152</v>
      </c>
      <c r="O42" s="13">
        <f>N42*VLOOKUP('Données projet'!$B$9,Paramètres!$A$1:$I$89,3,0)*VLOOKUP('Données projet'!$B$9,Paramètres!$A$1:$I$89,5,0)</f>
        <v>137.16638742857151</v>
      </c>
      <c r="P42" s="13">
        <f t="shared" si="33"/>
        <v>35.647094153273272</v>
      </c>
      <c r="Q42" s="20">
        <f t="shared" si="53"/>
        <v>300.98348042171295</v>
      </c>
      <c r="R42" s="59">
        <f t="shared" si="0"/>
        <v>563.743015834517</v>
      </c>
      <c r="S42" s="59">
        <f ca="1">AVERAGE(OFFSET($R$3,0,0,'Données projet'!$E$9+1,1))-AVERAGE(OFFSET($H$3,0,0,'Données projet'!$E$9+1,1))</f>
        <v>612.09138396952153</v>
      </c>
      <c r="T42" s="59">
        <f t="shared" si="34"/>
        <v>282.284310393542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153.72095142857154</v>
      </c>
      <c r="AK42" s="13">
        <f t="shared" si="35"/>
        <v>39.422975492399672</v>
      </c>
      <c r="AL42" s="20">
        <f t="shared" si="4"/>
        <v>336.39233938735816</v>
      </c>
      <c r="AM42" s="59">
        <f t="shared" si="5"/>
        <v>599.1518748001622</v>
      </c>
      <c r="AN42" s="59">
        <f ca="1">AVERAGE(OFFSET($AM$3,0,0,'Données projet'!$E$10+1,1))-AVERAGE(OFFSET($H$3,0,0,'Données projet'!$E$10+1,1))</f>
        <v>676.7112666359476</v>
      </c>
      <c r="AO42" s="59">
        <f t="shared" si="36"/>
        <v>309.67876644201385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151.35601371428581</v>
      </c>
      <c r="BF42" s="13">
        <f t="shared" si="37"/>
        <v>38.886583013426439</v>
      </c>
      <c r="BG42" s="20">
        <f t="shared" si="7"/>
        <v>331.3391893007655</v>
      </c>
      <c r="BH42" s="59">
        <f t="shared" si="8"/>
        <v>594.09872471356948</v>
      </c>
      <c r="BI42" s="59">
        <f ca="1">AVERAGE(OFFSET($BH$3,0,0,'Données projet'!$E$11+1,1))-AVERAGE(OFFSET($H$3,0,0,'Données projet'!$E$11+1,1))</f>
        <v>667.4887768032404</v>
      </c>
      <c r="BJ42" s="59">
        <f t="shared" si="38"/>
        <v>305.76944302827178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144.26120057142867</v>
      </c>
      <c r="CA42" s="13">
        <f t="shared" si="39"/>
        <v>37.271476736893916</v>
      </c>
      <c r="CB42" s="20">
        <f t="shared" si="10"/>
        <v>316.16941297866185</v>
      </c>
      <c r="CC42" s="59">
        <f t="shared" si="11"/>
        <v>578.92894839146584</v>
      </c>
      <c r="CD42" s="59">
        <f ca="1">AVERAGE(OFFSET($CC$3,0,0,'Données projet'!$E$12+1,1))-AVERAGE(OFFSET($H$3,0,0,'Données projet'!$E$12+1,1))</f>
        <v>639.80378676828764</v>
      </c>
      <c r="CE42" s="59">
        <f t="shared" si="40"/>
        <v>294.03328334345281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182.4</v>
      </c>
      <c r="CU42" s="17">
        <f>CT42*VLOOKUP('Données projet'!$B$13,Paramètres!$A$1:$I$89,3,0)*VLOOKUP('Données projet'!$B$13,Paramètres!$A$1:$I$89,5,0)</f>
        <v>159.34464000000003</v>
      </c>
      <c r="CV42" s="13">
        <f t="shared" si="41"/>
        <v>40.694661837553809</v>
      </c>
      <c r="CW42" s="20">
        <f t="shared" si="13"/>
        <v>348.4017840337396</v>
      </c>
      <c r="CX42" s="59">
        <f t="shared" si="14"/>
        <v>611.16131944654364</v>
      </c>
      <c r="CY42" s="59">
        <f ca="1">AVERAGE(OFFSET($CX$3,0,0,'Données projet'!$E$13+1,1))-AVERAGE(OFFSET($H$3,0,0,'Données projet'!$E$13+1,1))</f>
        <v>340.64710509454375</v>
      </c>
      <c r="CZ42" s="59">
        <f t="shared" si="42"/>
        <v>329.6409514360613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3.887142857142857</v>
      </c>
      <c r="DO42" s="12">
        <f>IF('Données projet'!$A$166&gt;35,DO41+DN42-DW41,IF(A42&lt;'Données projet'!$A$166,$DL$205^A42,IF(A42='Données projet'!$A$166,'Données projet'!$B$166,DO41+DN42-DW41)))</f>
        <v>151.59857142857152</v>
      </c>
      <c r="DP42" s="17">
        <f>DO42*VLOOKUP('Données projet'!$B$14,Paramètres!$A$1:$I$89,3,0)*VLOOKUP('Données projet'!$B$14,Paramètres!$A$1:$I$89,5,0)</f>
        <v>146.62613828571438</v>
      </c>
      <c r="DQ42" s="13">
        <f t="shared" si="43"/>
        <v>37.810851253154773</v>
      </c>
      <c r="DR42" s="20">
        <f t="shared" si="16"/>
        <v>321.22775678019707</v>
      </c>
      <c r="DS42" s="59">
        <f t="shared" si="17"/>
        <v>583.98729219300117</v>
      </c>
      <c r="DT42" s="59">
        <f ca="1">AVERAGE(OFFSET($DS$3,0,0,'Données projet'!$E$14+1,1))-AVERAGE(OFFSET($H$3,0,0,'Données projet'!$E$14+1,1))</f>
        <v>649.03508893149228</v>
      </c>
      <c r="DU42" s="59">
        <f t="shared" si="44"/>
        <v>297.94672581383213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3.887142857142857</v>
      </c>
      <c r="EJ42" s="12">
        <f>IF('Données projet'!$A$192&gt;35,EJ41+EI42-ER41,IF(A42&lt;'Données projet'!$A$192,$EG$205^A42,IF(A42='Données projet'!$A$192,'Données projet'!$B$192,EJ41+EI42-ER41)))</f>
        <v>151.59857142857152</v>
      </c>
      <c r="EK42" s="17">
        <f>EJ42*VLOOKUP('Données projet'!$B$15,Paramètres!$A$1:$I$89,3,0)*VLOOKUP('Données projet'!$B$15,Paramètres!$A$1:$I$89,5,0)</f>
        <v>163.18070228571437</v>
      </c>
      <c r="EL42" s="13">
        <f t="shared" si="45"/>
        <v>41.559107725659999</v>
      </c>
      <c r="EM42" s="20">
        <f t="shared" si="19"/>
        <v>356.58850243647703</v>
      </c>
      <c r="EN42" s="59">
        <f t="shared" si="20"/>
        <v>619.34803784928113</v>
      </c>
      <c r="EO42" s="59">
        <f ca="1">AVERAGE(OFFSET($EN$3,0,0,'Données projet'!$E$15+1,1))-AVERAGE(OFFSET($H$3,0,0,'Données projet'!$E$15+1,1))</f>
        <v>713.57333631602273</v>
      </c>
      <c r="EP42" s="59">
        <f t="shared" si="46"/>
        <v>325.30302392555359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11.142857142857142</v>
      </c>
      <c r="FE42" s="12">
        <f>IF('Données projet'!$A$218&gt;35,FE41+FD42-FM41,IF(A42&lt;'Données projet'!$A$218,$FB$205^A42,IF(A42='Données projet'!$A$218,'Données projet'!$B$218,FE41+FD42-FM41)))</f>
        <v>174.28571428571422</v>
      </c>
      <c r="FF42" s="17">
        <f>FE42*VLOOKUP('Données projet'!$B$16,Paramètres!$A$1:$I$89,3,0)*VLOOKUP('Données projet'!$B$16,Paramètres!$A$1:$I$89,5,0)</f>
        <v>135.94285714285709</v>
      </c>
      <c r="FG42" s="13">
        <f t="shared" si="47"/>
        <v>35.365986273808367</v>
      </c>
      <c r="FH42" s="20">
        <f t="shared" si="22"/>
        <v>298.36290228402567</v>
      </c>
      <c r="FI42" s="59">
        <f t="shared" si="23"/>
        <v>561.12243769682971</v>
      </c>
      <c r="FJ42" s="59">
        <f ca="1">AVERAGE(OFFSET($FI$3,0,0,'Données projet'!$E$16+1,1))-AVERAGE(OFFSET($H$3,0,0,'Données projet'!$E$16+1,1))</f>
        <v>302.04287561738482</v>
      </c>
      <c r="FK42" s="59">
        <f t="shared" si="48"/>
        <v>296.09828774694802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14.533013567090189</v>
      </c>
      <c r="FR42" s="21">
        <f>EXP(-LN(2)/25)*FR41+(1-EXP(-LN(2)/25))/(LN(2)/25)*Calculateur!FM42*Calculateur!FO42*VLOOKUP('Données projet'!$B$16,Paramètres!$A$1:$I$89,3,0)*0.475*44/12</f>
        <v>11.038336924491801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25.571350491581988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8.9585714285714282</v>
      </c>
      <c r="FZ42" s="12">
        <f>IF('Données projet'!$A$244&gt;35,FZ41+FY42-GH41,IF(A42&lt;'Données projet'!$A$244,$FW$205^A42,IF(A42='Données projet'!$A$244,'Données projet'!$B$244,FZ41+FY42-GH41)))</f>
        <v>84.708571428571403</v>
      </c>
      <c r="GA42" s="17">
        <f>FZ42*VLOOKUP('Données projet'!$B$17,Paramètres!$A$1:$I$89,3,0)*VLOOKUP('Données projet'!$B$17,Paramètres!$A$1:$I$89,5,0)</f>
        <v>71.358500571428564</v>
      </c>
      <c r="GB42" s="13">
        <f t="shared" si="49"/>
        <v>20.010442816020877</v>
      </c>
      <c r="GC42" s="20">
        <f t="shared" si="25"/>
        <v>159.13424306647443</v>
      </c>
      <c r="GD42" s="59">
        <f t="shared" si="26"/>
        <v>421.89377847927847</v>
      </c>
      <c r="GE42" s="59">
        <f ca="1">AVERAGE(OFFSET($GD$3,0,0,'Données projet'!$E$17+1,1))-AVERAGE(OFFSET($H$3,0,0,'Données projet'!$E$17+1,1))</f>
        <v>385.41819366740276</v>
      </c>
      <c r="GF42" s="59">
        <f t="shared" si="50"/>
        <v>262.4625391252718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61.661691476219289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3.3000000000000003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12.100000000000001</v>
      </c>
      <c r="H43" s="67">
        <f t="shared" si="1"/>
        <v>208.26666666666665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3.887142857142857</v>
      </c>
      <c r="N43" s="13">
        <f>IF('Données projet'!$A$36&gt;35,N42+M43-V42,IF(A43&lt;'Données projet'!$A$36,$K$205^A43,IF(A43='Données projet'!$A$36,'Données projet'!$B$36,N42+M43-V42)))</f>
        <v>155.48571428571438</v>
      </c>
      <c r="O43" s="13">
        <f>N43*VLOOKUP('Données projet'!$B$9,Paramètres!$A$1:$I$89,3,0)*VLOOKUP('Données projet'!$B$9,Paramètres!$A$1:$I$89,5,0)</f>
        <v>140.68347428571437</v>
      </c>
      <c r="P43" s="13">
        <f t="shared" si="33"/>
        <v>36.453535449340755</v>
      </c>
      <c r="Q43" s="20">
        <f t="shared" si="53"/>
        <v>308.51362528855435</v>
      </c>
      <c r="R43" s="59">
        <f t="shared" si="0"/>
        <v>571.80354774250748</v>
      </c>
      <c r="S43" s="59">
        <f ca="1">AVERAGE(OFFSET($R$3,0,0,'Données projet'!$E$9+1,1))-AVERAGE(OFFSET($H$3,0,0,'Données projet'!$E$9+1,1))</f>
        <v>612.09138396952153</v>
      </c>
      <c r="T43" s="59">
        <f t="shared" si="34"/>
        <v>282.284310393542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157.66251428571439</v>
      </c>
      <c r="AK43" s="13">
        <f t="shared" si="35"/>
        <v>40.314838243237894</v>
      </c>
      <c r="AL43" s="20">
        <f t="shared" si="4"/>
        <v>344.81055565459184</v>
      </c>
      <c r="AM43" s="59">
        <f t="shared" si="5"/>
        <v>608.10047810854496</v>
      </c>
      <c r="AN43" s="59">
        <f ca="1">AVERAGE(OFFSET($AM$3,0,0,'Données projet'!$E$10+1,1))-AVERAGE(OFFSET($H$3,0,0,'Données projet'!$E$10+1,1))</f>
        <v>676.7112666359476</v>
      </c>
      <c r="AO43" s="59">
        <f t="shared" si="36"/>
        <v>309.67876644201385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155.23693714285724</v>
      </c>
      <c r="BF43" s="13">
        <f t="shared" si="37"/>
        <v>39.766311001075159</v>
      </c>
      <c r="BG43" s="20">
        <f t="shared" si="7"/>
        <v>339.6306571840156</v>
      </c>
      <c r="BH43" s="59">
        <f t="shared" si="8"/>
        <v>602.92057963796879</v>
      </c>
      <c r="BI43" s="59">
        <f ca="1">AVERAGE(OFFSET($BH$3,0,0,'Données projet'!$E$11+1,1))-AVERAGE(OFFSET($H$3,0,0,'Données projet'!$E$11+1,1))</f>
        <v>667.4887768032404</v>
      </c>
      <c r="BJ43" s="59">
        <f t="shared" si="38"/>
        <v>305.76944302827178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147.96020571428582</v>
      </c>
      <c r="CA43" s="13">
        <f t="shared" si="39"/>
        <v>38.11466630732037</v>
      </c>
      <c r="CB43" s="20">
        <f t="shared" si="10"/>
        <v>324.08040210429743</v>
      </c>
      <c r="CC43" s="59">
        <f t="shared" si="11"/>
        <v>587.37032455825056</v>
      </c>
      <c r="CD43" s="59">
        <f ca="1">AVERAGE(OFFSET($CC$3,0,0,'Données projet'!$E$12+1,1))-AVERAGE(OFFSET($H$3,0,0,'Données projet'!$E$12+1,1))</f>
        <v>639.80378676828764</v>
      </c>
      <c r="CE43" s="59">
        <f t="shared" si="40"/>
        <v>294.03328334345281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192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192</v>
      </c>
      <c r="CU43" s="17">
        <f>CT43*VLOOKUP('Données projet'!$B$13,Paramètres!$A$1:$I$89,3,0)*VLOOKUP('Données projet'!$B$13,Paramètres!$A$1:$I$89,5,0)</f>
        <v>167.73120000000003</v>
      </c>
      <c r="CV43" s="13">
        <f t="shared" si="41"/>
        <v>42.581491199832655</v>
      </c>
      <c r="CW43" s="20">
        <f t="shared" si="13"/>
        <v>366.29460383970854</v>
      </c>
      <c r="CX43" s="59">
        <f t="shared" si="14"/>
        <v>629.58452629366161</v>
      </c>
      <c r="CY43" s="59">
        <f ca="1">AVERAGE(OFFSET($CX$3,0,0,'Données projet'!$E$13+1,1))-AVERAGE(OFFSET($H$3,0,0,'Données projet'!$E$13+1,1))</f>
        <v>340.64710509454375</v>
      </c>
      <c r="CZ43" s="59">
        <f t="shared" si="42"/>
        <v>329.6409514360613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3.887142857142857</v>
      </c>
      <c r="DO43" s="12">
        <f>IF('Données projet'!$A$166&gt;35,DO42+DN43-DW42,IF(A43&lt;'Données projet'!$A$166,$DL$205^A43,IF(A43='Données projet'!$A$166,'Données projet'!$B$166,DO42+DN43-DW42)))</f>
        <v>155.48571428571438</v>
      </c>
      <c r="DP43" s="17">
        <f>DO43*VLOOKUP('Données projet'!$B$14,Paramètres!$A$1:$I$89,3,0)*VLOOKUP('Données projet'!$B$14,Paramètres!$A$1:$I$89,5,0)</f>
        <v>150.38578285714294</v>
      </c>
      <c r="DQ43" s="13">
        <f t="shared" si="43"/>
        <v>38.666243049156442</v>
      </c>
      <c r="DR43" s="20">
        <f t="shared" si="16"/>
        <v>329.26561178680475</v>
      </c>
      <c r="DS43" s="59">
        <f t="shared" si="17"/>
        <v>592.55553424075788</v>
      </c>
      <c r="DT43" s="59">
        <f ca="1">AVERAGE(OFFSET($DS$3,0,0,'Données projet'!$E$14+1,1))-AVERAGE(OFFSET($H$3,0,0,'Données projet'!$E$14+1,1))</f>
        <v>649.03508893149228</v>
      </c>
      <c r="DU43" s="59">
        <f t="shared" si="44"/>
        <v>297.94672581383213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3.887142857142857</v>
      </c>
      <c r="EJ43" s="12">
        <f>IF('Données projet'!$A$192&gt;35,EJ42+EI43-ER42,IF(A43&lt;'Données projet'!$A$192,$EG$205^A43,IF(A43='Données projet'!$A$192,'Données projet'!$B$192,EJ42+EI43-ER42)))</f>
        <v>155.48571428571438</v>
      </c>
      <c r="EK43" s="17">
        <f>EJ43*VLOOKUP('Données projet'!$B$15,Paramètres!$A$1:$I$89,3,0)*VLOOKUP('Données projet'!$B$15,Paramètres!$A$1:$I$89,5,0)</f>
        <v>167.36482285714294</v>
      </c>
      <c r="EL43" s="13">
        <f t="shared" si="45"/>
        <v>42.499296021333798</v>
      </c>
      <c r="EM43" s="20">
        <f t="shared" si="19"/>
        <v>365.51334038001369</v>
      </c>
      <c r="EN43" s="59">
        <f t="shared" si="20"/>
        <v>628.80326283396676</v>
      </c>
      <c r="EO43" s="59">
        <f ca="1">AVERAGE(OFFSET($EN$3,0,0,'Données projet'!$E$15+1,1))-AVERAGE(OFFSET($H$3,0,0,'Données projet'!$E$15+1,1))</f>
        <v>713.57333631602273</v>
      </c>
      <c r="EP43" s="59">
        <f t="shared" si="46"/>
        <v>325.30302392555359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11.142857142857142</v>
      </c>
      <c r="FE43" s="12">
        <f>IF('Données projet'!$A$218&gt;35,FE42+FD43-FM42,IF(A43&lt;'Données projet'!$A$218,$FB$205^A43,IF(A43='Données projet'!$A$218,'Données projet'!$B$218,FE42+FD43-FM42)))</f>
        <v>185.42857142857136</v>
      </c>
      <c r="FF43" s="17">
        <f>FE43*VLOOKUP('Données projet'!$B$16,Paramètres!$A$1:$I$89,3,0)*VLOOKUP('Données projet'!$B$16,Paramètres!$A$1:$I$89,5,0)</f>
        <v>144.63428571428565</v>
      </c>
      <c r="FG43" s="13">
        <f t="shared" si="47"/>
        <v>37.356634728420524</v>
      </c>
      <c r="FH43" s="20">
        <f t="shared" si="22"/>
        <v>316.96751977104657</v>
      </c>
      <c r="FI43" s="59">
        <f t="shared" si="23"/>
        <v>580.25744222499975</v>
      </c>
      <c r="FJ43" s="59">
        <f ca="1">AVERAGE(OFFSET($FI$3,0,0,'Données projet'!$E$16+1,1))-AVERAGE(OFFSET($H$3,0,0,'Données projet'!$E$16+1,1))</f>
        <v>302.04287561738482</v>
      </c>
      <c r="FK43" s="59">
        <f t="shared" si="48"/>
        <v>296.09828774694802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14.248030035302552</v>
      </c>
      <c r="FR43" s="21">
        <f>EXP(-LN(2)/25)*FR42+(1-EXP(-LN(2)/25))/(LN(2)/25)*Calculateur!FM43*Calculateur!FO43*VLOOKUP('Données projet'!$B$16,Paramètres!$A$1:$I$89,3,0)*0.475*44/12</f>
        <v>10.736493020810663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24.984523056113215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8.9585714285714282</v>
      </c>
      <c r="FZ43" s="12">
        <f>IF('Données projet'!$A$244&gt;35,FZ42+FY43-GH42,IF(A43&lt;'Données projet'!$A$244,$FW$205^A43,IF(A43='Données projet'!$A$244,'Données projet'!$B$244,FZ42+FY43-GH42)))</f>
        <v>93.667142857142835</v>
      </c>
      <c r="GA43" s="17">
        <f>FZ43*VLOOKUP('Données projet'!$B$17,Paramètres!$A$1:$I$89,3,0)*VLOOKUP('Données projet'!$B$17,Paramètres!$A$1:$I$89,5,0)</f>
        <v>78.905201142857138</v>
      </c>
      <c r="GB43" s="13">
        <f t="shared" si="49"/>
        <v>21.869285821611935</v>
      </c>
      <c r="GC43" s="20">
        <f t="shared" si="25"/>
        <v>175.51556479645032</v>
      </c>
      <c r="GD43" s="59">
        <f t="shared" si="26"/>
        <v>438.80548725040342</v>
      </c>
      <c r="GE43" s="59">
        <f ca="1">AVERAGE(OFFSET($GD$3,0,0,'Données projet'!$E$17+1,1))-AVERAGE(OFFSET($H$3,0,0,'Données projet'!$E$17+1,1))</f>
        <v>385.41819366740276</v>
      </c>
      <c r="GF43" s="59">
        <f t="shared" si="50"/>
        <v>262.4625391252718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61.806342487441754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3.3000000000000003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12.100000000000001</v>
      </c>
      <c r="H44" s="67">
        <f t="shared" si="1"/>
        <v>208.26666666666665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3.887142857142857</v>
      </c>
      <c r="N44" s="13">
        <f>IF('Données projet'!$A$36&gt;35,N43+M44-V43,IF(A44&lt;'Données projet'!$A$36,$K$205^A44,IF(A44='Données projet'!$A$36,'Données projet'!$B$36,N43+M44-V43)))</f>
        <v>159.37285714285724</v>
      </c>
      <c r="O44" s="13">
        <f>N44*VLOOKUP('Données projet'!$B$9,Paramètres!$A$1:$I$89,3,0)*VLOOKUP('Données projet'!$B$9,Paramètres!$A$1:$I$89,5,0)</f>
        <v>144.20056114285723</v>
      </c>
      <c r="P44" s="13">
        <f t="shared" si="33"/>
        <v>37.257633154444321</v>
      </c>
      <c r="Q44" s="20">
        <f t="shared" si="53"/>
        <v>316.03968840113345</v>
      </c>
      <c r="R44" s="59">
        <f t="shared" si="0"/>
        <v>579.85079686683935</v>
      </c>
      <c r="S44" s="59">
        <f ca="1">AVERAGE(OFFSET($R$3,0,0,'Données projet'!$E$9+1,1))-AVERAGE(OFFSET($H$3,0,0,'Données projet'!$E$9+1,1))</f>
        <v>612.09138396952153</v>
      </c>
      <c r="T44" s="59">
        <f t="shared" si="34"/>
        <v>282.284310393542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161.60407714285725</v>
      </c>
      <c r="AK44" s="13">
        <f t="shared" si="35"/>
        <v>41.204109160679089</v>
      </c>
      <c r="AL44" s="20">
        <f t="shared" si="4"/>
        <v>353.2242578119924</v>
      </c>
      <c r="AM44" s="59">
        <f t="shared" si="5"/>
        <v>617.03536627769836</v>
      </c>
      <c r="AN44" s="59">
        <f ca="1">AVERAGE(OFFSET($AM$3,0,0,'Données projet'!$E$10+1,1))-AVERAGE(OFFSET($H$3,0,0,'Données projet'!$E$10+1,1))</f>
        <v>676.7112666359476</v>
      </c>
      <c r="AO44" s="59">
        <f t="shared" si="36"/>
        <v>309.67876644201385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159.11786057142868</v>
      </c>
      <c r="BF44" s="13">
        <f t="shared" si="37"/>
        <v>40.643482420040463</v>
      </c>
      <c r="BG44" s="20">
        <f t="shared" si="7"/>
        <v>347.91767237680875</v>
      </c>
      <c r="BH44" s="59">
        <f t="shared" si="8"/>
        <v>611.72878084251465</v>
      </c>
      <c r="BI44" s="59">
        <f ca="1">AVERAGE(OFFSET($BH$3,0,0,'Données projet'!$E$11+1,1))-AVERAGE(OFFSET($H$3,0,0,'Données projet'!$E$11+1,1))</f>
        <v>667.4887768032404</v>
      </c>
      <c r="BJ44" s="59">
        <f t="shared" si="38"/>
        <v>305.76944302827178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151.65921085714294</v>
      </c>
      <c r="CA44" s="13">
        <f t="shared" si="39"/>
        <v>38.955405492991275</v>
      </c>
      <c r="CB44" s="20">
        <f t="shared" si="10"/>
        <v>331.98712347648376</v>
      </c>
      <c r="CC44" s="59">
        <f t="shared" si="11"/>
        <v>595.79823194218966</v>
      </c>
      <c r="CD44" s="59">
        <f ca="1">AVERAGE(OFFSET($CC$3,0,0,'Données projet'!$E$12+1,1))-AVERAGE(OFFSET($H$3,0,0,'Données projet'!$E$12+1,1))</f>
        <v>639.80378676828764</v>
      </c>
      <c r="CE44" s="59">
        <f t="shared" si="40"/>
        <v>294.03328334345281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172.2</v>
      </c>
      <c r="CU44" s="17">
        <f>CT44*VLOOKUP('Données projet'!$B$13,Paramètres!$A$1:$I$89,3,0)*VLOOKUP('Données projet'!$B$13,Paramètres!$A$1:$I$89,5,0)</f>
        <v>150.43392</v>
      </c>
      <c r="CV44" s="13">
        <f t="shared" si="41"/>
        <v>38.677178913707927</v>
      </c>
      <c r="CW44" s="20">
        <f t="shared" si="13"/>
        <v>329.36849727470798</v>
      </c>
      <c r="CX44" s="59">
        <f t="shared" si="14"/>
        <v>593.17960574041399</v>
      </c>
      <c r="CY44" s="59">
        <f ca="1">AVERAGE(OFFSET($CX$3,0,0,'Données projet'!$E$13+1,1))-AVERAGE(OFFSET($H$3,0,0,'Données projet'!$E$13+1,1))</f>
        <v>340.64710509454375</v>
      </c>
      <c r="CZ44" s="59">
        <f t="shared" si="42"/>
        <v>329.6409514360613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3.887142857142857</v>
      </c>
      <c r="DO44" s="12">
        <f>IF('Données projet'!$A$166&gt;35,DO43+DN44-DW43,IF(A44&lt;'Données projet'!$A$166,$DL$205^A44,IF(A44='Données projet'!$A$166,'Données projet'!$B$166,DO43+DN44-DW43)))</f>
        <v>159.37285714285724</v>
      </c>
      <c r="DP44" s="17">
        <f>DO44*VLOOKUP('Données projet'!$B$14,Paramètres!$A$1:$I$89,3,0)*VLOOKUP('Données projet'!$B$14,Paramètres!$A$1:$I$89,5,0)</f>
        <v>154.14542742857151</v>
      </c>
      <c r="DQ44" s="13">
        <f t="shared" si="43"/>
        <v>39.519148999637181</v>
      </c>
      <c r="DR44" s="20">
        <f t="shared" si="16"/>
        <v>337.29913727913015</v>
      </c>
      <c r="DS44" s="59">
        <f t="shared" si="17"/>
        <v>601.11024574483611</v>
      </c>
      <c r="DT44" s="59">
        <f ca="1">AVERAGE(OFFSET($DS$3,0,0,'Données projet'!$E$14+1,1))-AVERAGE(OFFSET($H$3,0,0,'Données projet'!$E$14+1,1))</f>
        <v>649.03508893149228</v>
      </c>
      <c r="DU44" s="59">
        <f t="shared" si="44"/>
        <v>297.94672581383213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3.887142857142857</v>
      </c>
      <c r="EJ44" s="12">
        <f>IF('Données projet'!$A$192&gt;35,EJ43+EI44-ER43,IF(A44&lt;'Données projet'!$A$192,$EG$205^A44,IF(A44='Données projet'!$A$192,'Données projet'!$B$192,EJ43+EI44-ER43)))</f>
        <v>159.37285714285724</v>
      </c>
      <c r="EK44" s="17">
        <f>EJ44*VLOOKUP('Données projet'!$B$15,Paramètres!$A$1:$I$89,3,0)*VLOOKUP('Données projet'!$B$15,Paramètres!$A$1:$I$89,5,0)</f>
        <v>171.54894342857153</v>
      </c>
      <c r="EL44" s="13">
        <f t="shared" si="45"/>
        <v>43.436752045229305</v>
      </c>
      <c r="EM44" s="20">
        <f t="shared" si="19"/>
        <v>374.43341961686974</v>
      </c>
      <c r="EN44" s="59">
        <f t="shared" si="20"/>
        <v>638.2445280825757</v>
      </c>
      <c r="EO44" s="59">
        <f ca="1">AVERAGE(OFFSET($EN$3,0,0,'Données projet'!$E$15+1,1))-AVERAGE(OFFSET($H$3,0,0,'Données projet'!$E$15+1,1))</f>
        <v>713.57333631602273</v>
      </c>
      <c r="EP44" s="59">
        <f t="shared" si="46"/>
        <v>325.30302392555359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11.142857142857142</v>
      </c>
      <c r="FE44" s="12">
        <f>IF('Données projet'!$A$218&gt;35,FE43+FD44-FM43,IF(A44&lt;'Données projet'!$A$218,$FB$205^A44,IF(A44='Données projet'!$A$218,'Données projet'!$B$218,FE43+FD44-FM43)))</f>
        <v>196.5714285714285</v>
      </c>
      <c r="FF44" s="17">
        <f>FE44*VLOOKUP('Données projet'!$B$16,Paramètres!$A$1:$I$89,3,0)*VLOOKUP('Données projet'!$B$16,Paramètres!$A$1:$I$89,5,0)</f>
        <v>153.32571428571424</v>
      </c>
      <c r="FG44" s="13">
        <f t="shared" si="47"/>
        <v>39.333398837614155</v>
      </c>
      <c r="FH44" s="20">
        <f t="shared" si="22"/>
        <v>335.5479553564636</v>
      </c>
      <c r="FI44" s="59">
        <f t="shared" si="23"/>
        <v>599.35906382216956</v>
      </c>
      <c r="FJ44" s="59">
        <f ca="1">AVERAGE(OFFSET($FI$3,0,0,'Données projet'!$E$16+1,1))-AVERAGE(OFFSET($H$3,0,0,'Données projet'!$E$16+1,1))</f>
        <v>302.04287561738482</v>
      </c>
      <c r="FK44" s="59">
        <f t="shared" si="48"/>
        <v>296.09828774694802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13.96863485675048</v>
      </c>
      <c r="FR44" s="21">
        <f>EXP(-LN(2)/25)*FR43+(1-EXP(-LN(2)/25))/(LN(2)/25)*Calculateur!FM44*Calculateur!FO44*VLOOKUP('Données projet'!$B$16,Paramètres!$A$1:$I$89,3,0)*0.475*44/12</f>
        <v>10.442903054548966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24.411537911299448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8.9585714285714282</v>
      </c>
      <c r="FZ44" s="12">
        <f>IF('Données projet'!$A$244&gt;35,FZ43+FY44-GH43,IF(A44&lt;'Données projet'!$A$244,$FW$205^A44,IF(A44='Données projet'!$A$244,'Données projet'!$B$244,FZ43+FY44-GH43)))</f>
        <v>102.62571428571427</v>
      </c>
      <c r="GA44" s="17">
        <f>FZ44*VLOOKUP('Données projet'!$B$17,Paramètres!$A$1:$I$89,3,0)*VLOOKUP('Données projet'!$B$17,Paramètres!$A$1:$I$89,5,0)</f>
        <v>86.451901714285711</v>
      </c>
      <c r="GB44" s="13">
        <f t="shared" si="49"/>
        <v>23.707516319057149</v>
      </c>
      <c r="GC44" s="20">
        <f t="shared" si="25"/>
        <v>191.86098640807214</v>
      </c>
      <c r="GD44" s="59">
        <f t="shared" si="26"/>
        <v>455.67209487377806</v>
      </c>
      <c r="GE44" s="59">
        <f ca="1">AVERAGE(OFFSET($GD$3,0,0,'Données projet'!$E$17+1,1))-AVERAGE(OFFSET($H$3,0,0,'Données projet'!$E$17+1,1))</f>
        <v>385.41819366740276</v>
      </c>
      <c r="GF44" s="59">
        <f t="shared" si="50"/>
        <v>262.4625391252718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61.948484127010715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3.3000000000000003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12.100000000000001</v>
      </c>
      <c r="H45" s="67">
        <f t="shared" si="1"/>
        <v>208.26666666666665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163.26</v>
      </c>
      <c r="L45" s="12">
        <f>VLOOKUP(A45,'Données projet'!$A$35:$I$55,9,0)</f>
        <v>3.887142857142857</v>
      </c>
      <c r="M45" s="12">
        <f t="array" ref="M45">INDEX(L:L,MIN(IF(ISNUMBER(L45:L241),ROW(L45:L241),"")))</f>
        <v>3.887142857142857</v>
      </c>
      <c r="N45" s="13">
        <f>IF('Données projet'!$A$36&gt;35,N44+M45-V44,IF(A45&lt;'Données projet'!$A$36,$K$205^A45,IF(A45='Données projet'!$A$36,'Données projet'!$B$36,N44+M45-V44)))</f>
        <v>163.2600000000001</v>
      </c>
      <c r="O45" s="13">
        <f>N45*VLOOKUP('Données projet'!$B$9,Paramètres!$A$1:$I$89,3,0)*VLOOKUP('Données projet'!$B$9,Paramètres!$A$1:$I$89,5,0)</f>
        <v>147.71764800000008</v>
      </c>
      <c r="P45" s="13">
        <f t="shared" si="33"/>
        <v>38.059451005131997</v>
      </c>
      <c r="Q45" s="20">
        <f t="shared" si="53"/>
        <v>323.56178076727167</v>
      </c>
      <c r="R45" s="59">
        <f t="shared" si="0"/>
        <v>587.88503383262389</v>
      </c>
      <c r="S45" s="59">
        <f ca="1">AVERAGE(OFFSET($R$3,0,0,'Données projet'!$E$9+1,1))-AVERAGE(OFFSET($H$3,0,0,'Données projet'!$E$9+1,1))</f>
        <v>612.09138396952153</v>
      </c>
      <c r="T45" s="59">
        <f t="shared" si="34"/>
        <v>282.284310393542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0.129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5.575369807727423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5.575369807727423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165.54564000000011</v>
      </c>
      <c r="AK45" s="13">
        <f t="shared" si="35"/>
        <v>42.090858732498674</v>
      </c>
      <c r="AL45" s="20">
        <f t="shared" si="4"/>
        <v>361.6335686257687</v>
      </c>
      <c r="AM45" s="59">
        <f t="shared" si="5"/>
        <v>625.95682169112092</v>
      </c>
      <c r="AN45" s="59">
        <f ca="1">AVERAGE(OFFSET($AM$3,0,0,'Données projet'!$E$10+1,1))-AVERAGE(OFFSET($H$3,0,0,'Données projet'!$E$10+1,1))</f>
        <v>676.7112666359476</v>
      </c>
      <c r="AO45" s="59">
        <f t="shared" si="36"/>
        <v>309.67876644201385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6.2482592672807336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6.2482592672807336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162.99878400000011</v>
      </c>
      <c r="BF45" s="13">
        <f t="shared" si="37"/>
        <v>41.518166799034908</v>
      </c>
      <c r="BG45" s="20">
        <f t="shared" si="7"/>
        <v>356.200355974986</v>
      </c>
      <c r="BH45" s="59">
        <f t="shared" si="8"/>
        <v>620.52360904033821</v>
      </c>
      <c r="BI45" s="59">
        <f ca="1">AVERAGE(OFFSET($BH$3,0,0,'Données projet'!$E$11+1,1))-AVERAGE(OFFSET($H$3,0,0,'Données projet'!$E$11+1,1))</f>
        <v>667.4887768032404</v>
      </c>
      <c r="BJ45" s="59">
        <f t="shared" si="38"/>
        <v>305.76944302827178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6.1521322016302618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6.1521322016302618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155.35821600000008</v>
      </c>
      <c r="CA45" s="13">
        <f t="shared" si="39"/>
        <v>39.793760934829947</v>
      </c>
      <c r="CB45" s="20">
        <f t="shared" si="10"/>
        <v>339.88969316149564</v>
      </c>
      <c r="CC45" s="59">
        <f t="shared" si="11"/>
        <v>604.21294622684786</v>
      </c>
      <c r="CD45" s="59">
        <f ca="1">AVERAGE(OFFSET($CC$3,0,0,'Données projet'!$E$12+1,1))-AVERAGE(OFFSET($H$3,0,0,'Données projet'!$E$12+1,1))</f>
        <v>639.80378676828764</v>
      </c>
      <c r="CE45" s="59">
        <f t="shared" si="40"/>
        <v>294.03328334345281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0.129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5.8637510046788428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5.8637510046788428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180.39999999999998</v>
      </c>
      <c r="CU45" s="17">
        <f>CT45*VLOOKUP('Données projet'!$B$13,Paramètres!$A$1:$I$89,3,0)*VLOOKUP('Données projet'!$B$13,Paramètres!$A$1:$I$89,5,0)</f>
        <v>157.59744000000001</v>
      </c>
      <c r="CV45" s="13">
        <f t="shared" si="41"/>
        <v>40.300135037830529</v>
      </c>
      <c r="CW45" s="20">
        <f t="shared" si="13"/>
        <v>344.67160985755481</v>
      </c>
      <c r="CX45" s="59">
        <f t="shared" si="14"/>
        <v>608.99486292290703</v>
      </c>
      <c r="CY45" s="59">
        <f ca="1">AVERAGE(OFFSET($CX$3,0,0,'Données projet'!$E$13+1,1))-AVERAGE(OFFSET($H$3,0,0,'Données projet'!$E$13+1,1))</f>
        <v>340.64710509454375</v>
      </c>
      <c r="CZ45" s="59">
        <f t="shared" si="42"/>
        <v>329.6409514360613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163.26</v>
      </c>
      <c r="DM45" s="12">
        <f>VLOOKUP(A45,'Données projet'!$A$165:$I$185,9,0)</f>
        <v>3.887142857142857</v>
      </c>
      <c r="DN45" s="12">
        <f t="array" ref="DN45">INDEX(DM:DM,MIN(IF(ISNUMBER(DM45:DM241),ROW(DM45:DM241),"")))</f>
        <v>3.887142857142857</v>
      </c>
      <c r="DO45" s="12">
        <f>IF('Données projet'!$A$166&gt;35,DO44+DN45-DW44,IF(A45&lt;'Données projet'!$A$166,$DL$205^A45,IF(A45='Données projet'!$A$166,'Données projet'!$B$166,DO44+DN45-DW44)))</f>
        <v>163.2600000000001</v>
      </c>
      <c r="DP45" s="17">
        <f>DO45*VLOOKUP('Données projet'!$B$14,Paramètres!$A$1:$I$89,3,0)*VLOOKUP('Données projet'!$B$14,Paramètres!$A$1:$I$89,5,0)</f>
        <v>157.9050720000001</v>
      </c>
      <c r="DQ45" s="13">
        <f t="shared" si="43"/>
        <v>40.369636709915028</v>
      </c>
      <c r="DR45" s="20">
        <f t="shared" si="16"/>
        <v>345.32845100310215</v>
      </c>
      <c r="DS45" s="59">
        <f t="shared" si="17"/>
        <v>609.65170406845436</v>
      </c>
      <c r="DT45" s="59">
        <f ca="1">AVERAGE(OFFSET($DS$3,0,0,'Données projet'!$E$14+1,1))-AVERAGE(OFFSET($H$3,0,0,'Données projet'!$E$14+1,1))</f>
        <v>649.03508893149228</v>
      </c>
      <c r="DU45" s="59">
        <f t="shared" si="44"/>
        <v>297.94672581383213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43.21</v>
      </c>
      <c r="DX45" s="16">
        <f>IF(ISNA(VLOOKUP(A45,'Données projet'!$A$165:$I$185,5,0)),0%,VLOOKUP(A45,'Données projet'!$A$165:$I$185,5,0)*VLOOKUP('Données projet'!$B$14,Paramètres!$A$1:$I$89,7,0))</f>
        <v>0.129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5.9598780703293146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5.9598780703293146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163.26</v>
      </c>
      <c r="EH45" s="12">
        <f>VLOOKUP(A45,'Données projet'!$A$191:$I$211,9,0)</f>
        <v>3.887142857142857</v>
      </c>
      <c r="EI45" s="12">
        <f t="array" ref="EI45">INDEX(EH:EH,MIN(IF(ISNUMBER(EH45:EH241),ROW(EH45:EH241),"")))</f>
        <v>3.887142857142857</v>
      </c>
      <c r="EJ45" s="12">
        <f>IF('Données projet'!$A$192&gt;35,EJ44+EI45-ER44,IF(A45&lt;'Données projet'!$A$192,$EG$205^A45,IF(A45='Données projet'!$A$192,'Données projet'!$B$192,EJ44+EI45-ER44)))</f>
        <v>163.2600000000001</v>
      </c>
      <c r="EK45" s="17">
        <f>EJ45*VLOOKUP('Données projet'!$B$15,Paramètres!$A$1:$I$89,3,0)*VLOOKUP('Données projet'!$B$15,Paramètres!$A$1:$I$89,5,0)</f>
        <v>175.7330640000001</v>
      </c>
      <c r="EL45" s="13">
        <f t="shared" si="45"/>
        <v>44.371550104499022</v>
      </c>
      <c r="EM45" s="20">
        <f t="shared" si="19"/>
        <v>383.34886956533597</v>
      </c>
      <c r="EN45" s="59">
        <f t="shared" si="20"/>
        <v>647.67212263068814</v>
      </c>
      <c r="EO45" s="59">
        <f ca="1">AVERAGE(OFFSET($EN$3,0,0,'Données projet'!$E$15+1,1))-AVERAGE(OFFSET($H$3,0,0,'Données projet'!$E$15+1,1))</f>
        <v>713.57333631602273</v>
      </c>
      <c r="EP45" s="59">
        <f t="shared" si="46"/>
        <v>325.30302392555359</v>
      </c>
      <c r="EQ45" s="15">
        <f>IF(ISNA(VLOOKUP(A45,'Données projet'!$A$191:$I$211,3,0)),0,VLOOKUP(A45,'Données projet'!$A$191:$I$211,3,0))</f>
        <v>1</v>
      </c>
      <c r="ER45" s="15">
        <f>IF(ISNA(VLOOKUP(A45,'Données projet'!$A$191:$I$211,4,0)),0,VLOOKUP(A45,'Données projet'!$A$191:$I$211,4,0))</f>
        <v>43.21</v>
      </c>
      <c r="ES45" s="16">
        <f>IF(ISNA(VLOOKUP(A45,'Données projet'!$A$191:$I$211,5,0)),0%,VLOOKUP(A45,'Données projet'!$A$191:$I$211,5,0)*VLOOKUP('Données projet'!$B$15,Paramètres!$A$1:$I$89,7,0))</f>
        <v>0.129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6.6327675298826243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6.6327675298826243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11.142857142857142</v>
      </c>
      <c r="FE45" s="12">
        <f>IF('Données projet'!$A$218&gt;35,FE44+FD45-FM44,IF(A45&lt;'Données projet'!$A$218,$FB$205^A45,IF(A45='Données projet'!$A$218,'Données projet'!$B$218,FE44+FD45-FM44)))</f>
        <v>207.71428571428564</v>
      </c>
      <c r="FF45" s="17">
        <f>FE45*VLOOKUP('Données projet'!$B$16,Paramètres!$A$1:$I$89,3,0)*VLOOKUP('Données projet'!$B$16,Paramètres!$A$1:$I$89,5,0)</f>
        <v>162.0171428571428</v>
      </c>
      <c r="FG45" s="13">
        <f t="shared" si="47"/>
        <v>41.29715533509664</v>
      </c>
      <c r="FH45" s="20">
        <f t="shared" si="22"/>
        <v>354.10573601815037</v>
      </c>
      <c r="FI45" s="59">
        <f t="shared" si="23"/>
        <v>618.42898908350253</v>
      </c>
      <c r="FJ45" s="59">
        <f ca="1">AVERAGE(OFFSET($FI$3,0,0,'Données projet'!$E$16+1,1))-AVERAGE(OFFSET($H$3,0,0,'Données projet'!$E$16+1,1))</f>
        <v>302.04287561738482</v>
      </c>
      <c r="FK45" s="59">
        <f t="shared" si="48"/>
        <v>296.09828774694802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13.694718447235584</v>
      </c>
      <c r="FR45" s="21">
        <f>EXP(-LN(2)/25)*FR44+(1-EXP(-LN(2)/25))/(LN(2)/25)*Calculateur!FM45*Calculateur!FO45*VLOOKUP('Données projet'!$B$16,Paramètres!$A$1:$I$89,3,0)*0.475*44/12</f>
        <v>10.15734132135392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23.852059768589505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8.9585714285714282</v>
      </c>
      <c r="FZ45" s="12">
        <f>IF('Données projet'!$A$244&gt;35,FZ44+FY45-GH44,IF(A45&lt;'Données projet'!$A$244,$FW$205^A45,IF(A45='Données projet'!$A$244,'Données projet'!$B$244,FZ44+FY45-GH44)))</f>
        <v>111.5842857142857</v>
      </c>
      <c r="GA45" s="17">
        <f>FZ45*VLOOKUP('Données projet'!$B$17,Paramètres!$A$1:$I$89,3,0)*VLOOKUP('Données projet'!$B$17,Paramètres!$A$1:$I$89,5,0)</f>
        <v>93.998602285714284</v>
      </c>
      <c r="GB45" s="13">
        <f t="shared" si="49"/>
        <v>25.527138240982005</v>
      </c>
      <c r="GC45" s="20">
        <f t="shared" si="25"/>
        <v>208.17399808399605</v>
      </c>
      <c r="GD45" s="59">
        <f t="shared" si="26"/>
        <v>472.49725114934824</v>
      </c>
      <c r="GE45" s="59">
        <f ca="1">AVERAGE(OFFSET($GD$3,0,0,'Données projet'!$E$17+1,1))-AVERAGE(OFFSET($H$3,0,0,'Données projet'!$E$17+1,1))</f>
        <v>385.41819366740276</v>
      </c>
      <c r="GF45" s="59">
        <f t="shared" si="50"/>
        <v>262.4625391252718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62.088159926914244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3.3000000000000003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12.100000000000001</v>
      </c>
      <c r="H46" s="67">
        <f t="shared" si="1"/>
        <v>208.26666666666665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9.3712500000000034</v>
      </c>
      <c r="N46" s="13">
        <f>IF('Données projet'!$A$36&gt;35,N45+M46-V45,IF(A46&lt;'Données projet'!$A$36,$K$205^A46,IF(A46='Données projet'!$A$36,'Données projet'!$B$36,N45+M46-V45)))</f>
        <v>129.4212500000001</v>
      </c>
      <c r="O46" s="13">
        <f>N46*VLOOKUP('Données projet'!$B$9,Paramètres!$A$1:$I$89,3,0)*VLOOKUP('Données projet'!$B$9,Paramètres!$A$1:$I$89,5,0)</f>
        <v>117.10034700000008</v>
      </c>
      <c r="P46" s="13">
        <f t="shared" si="33"/>
        <v>30.997743089027207</v>
      </c>
      <c r="Q46" s="20">
        <f t="shared" si="53"/>
        <v>257.93750690505584</v>
      </c>
      <c r="R46" s="59">
        <f t="shared" si="0"/>
        <v>522.76402000623432</v>
      </c>
      <c r="S46" s="59">
        <f ca="1">AVERAGE(OFFSET($R$3,0,0,'Données projet'!$E$9+1,1))-AVERAGE(OFFSET($H$3,0,0,'Données projet'!$E$9+1,1))</f>
        <v>612.09138396952153</v>
      </c>
      <c r="T46" s="59">
        <f t="shared" si="34"/>
        <v>282.284310393542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5.4660402064376861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5.4660402064376861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131.23314750000011</v>
      </c>
      <c r="AK46" s="13">
        <f t="shared" si="35"/>
        <v>34.281146756704409</v>
      </c>
      <c r="AL46" s="20">
        <f t="shared" si="4"/>
        <v>288.27072916376034</v>
      </c>
      <c r="AM46" s="59">
        <f t="shared" si="5"/>
        <v>553.09724226493881</v>
      </c>
      <c r="AN46" s="59">
        <f ca="1">AVERAGE(OFFSET($AM$3,0,0,'Données projet'!$E$10+1,1))-AVERAGE(OFFSET($H$3,0,0,'Données projet'!$E$10+1,1))</f>
        <v>676.7112666359476</v>
      </c>
      <c r="AO46" s="59">
        <f t="shared" si="36"/>
        <v>309.67876644201385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6.1257347141112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6.1257347141112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129.21417600000012</v>
      </c>
      <c r="BF46" s="13">
        <f t="shared" si="37"/>
        <v>33.814714452668468</v>
      </c>
      <c r="BG46" s="20">
        <f t="shared" si="7"/>
        <v>283.94198420506444</v>
      </c>
      <c r="BH46" s="59">
        <f t="shared" si="8"/>
        <v>548.76849730624292</v>
      </c>
      <c r="BI46" s="59">
        <f ca="1">AVERAGE(OFFSET($BH$3,0,0,'Données projet'!$E$11+1,1))-AVERAGE(OFFSET($H$3,0,0,'Données projet'!$E$11+1,1))</f>
        <v>667.4887768032404</v>
      </c>
      <c r="BJ46" s="59">
        <f t="shared" si="38"/>
        <v>305.76944302827178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6.0314926415864134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6.0314926415864134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123.15726150000009</v>
      </c>
      <c r="CA46" s="13">
        <f t="shared" si="39"/>
        <v>32.410261982961771</v>
      </c>
      <c r="CB46" s="20">
        <f t="shared" si="10"/>
        <v>270.94677006615854</v>
      </c>
      <c r="CC46" s="59">
        <f t="shared" si="11"/>
        <v>535.77328316733701</v>
      </c>
      <c r="CD46" s="59">
        <f ca="1">AVERAGE(OFFSET($CC$3,0,0,'Données projet'!$E$12+1,1))-AVERAGE(OFFSET($H$3,0,0,'Données projet'!$E$12+1,1))</f>
        <v>639.80378676828764</v>
      </c>
      <c r="CE46" s="59">
        <f t="shared" si="40"/>
        <v>294.03328334345281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5.7487664240120502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5.7487664240120502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188.59999999999997</v>
      </c>
      <c r="CU46" s="17">
        <f>CT46*VLOOKUP('Données projet'!$B$13,Paramètres!$A$1:$I$89,3,0)*VLOOKUP('Données projet'!$B$13,Paramètres!$A$1:$I$89,5,0)</f>
        <v>164.76095999999998</v>
      </c>
      <c r="CV46" s="13">
        <f t="shared" si="41"/>
        <v>41.91452380971991</v>
      </c>
      <c r="CW46" s="20">
        <f t="shared" si="13"/>
        <v>359.9598009685954</v>
      </c>
      <c r="CX46" s="59">
        <f t="shared" si="14"/>
        <v>624.78631406977388</v>
      </c>
      <c r="CY46" s="59">
        <f ca="1">AVERAGE(OFFSET($CX$3,0,0,'Données projet'!$E$13+1,1))-AVERAGE(OFFSET($H$3,0,0,'Données projet'!$E$13+1,1))</f>
        <v>340.64710509454375</v>
      </c>
      <c r="CZ46" s="59">
        <f t="shared" si="42"/>
        <v>329.6409514360613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9.3712500000000034</v>
      </c>
      <c r="DO46" s="12">
        <f>IF('Données projet'!$A$166&gt;35,DO45+DN46-DW45,IF(A46&lt;'Données projet'!$A$166,$DL$205^A46,IF(A46='Données projet'!$A$166,'Données projet'!$B$166,DO45+DN46-DW45)))</f>
        <v>129.4212500000001</v>
      </c>
      <c r="DP46" s="17">
        <f>DO46*VLOOKUP('Données projet'!$B$14,Paramètres!$A$1:$I$89,3,0)*VLOOKUP('Données projet'!$B$14,Paramètres!$A$1:$I$89,5,0)</f>
        <v>125.1762330000001</v>
      </c>
      <c r="DQ46" s="13">
        <f t="shared" si="43"/>
        <v>32.879287385479394</v>
      </c>
      <c r="DR46" s="20">
        <f t="shared" si="16"/>
        <v>275.28003133804344</v>
      </c>
      <c r="DS46" s="59">
        <f t="shared" si="17"/>
        <v>540.10654443922192</v>
      </c>
      <c r="DT46" s="59">
        <f ca="1">AVERAGE(OFFSET($DS$3,0,0,'Données projet'!$E$14+1,1))-AVERAGE(OFFSET($H$3,0,0,'Données projet'!$E$14+1,1))</f>
        <v>649.03508893149228</v>
      </c>
      <c r="DU46" s="59">
        <f t="shared" si="44"/>
        <v>297.94672581383213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5.8430084965368367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5.8430084965368367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9.3712500000000034</v>
      </c>
      <c r="EJ46" s="12">
        <f>IF('Données projet'!$A$192&gt;35,EJ45+EI46-ER45,IF(A46&lt;'Données projet'!$A$192,$EG$205^A46,IF(A46='Données projet'!$A$192,'Données projet'!$B$192,EJ45+EI46-ER45)))</f>
        <v>129.4212500000001</v>
      </c>
      <c r="EK46" s="17">
        <f>EJ46*VLOOKUP('Données projet'!$B$15,Paramètres!$A$1:$I$89,3,0)*VLOOKUP('Données projet'!$B$15,Paramètres!$A$1:$I$89,5,0)</f>
        <v>139.30903350000008</v>
      </c>
      <c r="EL46" s="13">
        <f t="shared" si="45"/>
        <v>36.138669220838089</v>
      </c>
      <c r="EM46" s="20">
        <f t="shared" si="19"/>
        <v>305.57141557212645</v>
      </c>
      <c r="EN46" s="59">
        <f t="shared" si="20"/>
        <v>570.39792867330493</v>
      </c>
      <c r="EO46" s="59">
        <f ca="1">AVERAGE(OFFSET($EN$3,0,0,'Données projet'!$E$15+1,1))-AVERAGE(OFFSET($H$3,0,0,'Données projet'!$E$15+1,1))</f>
        <v>713.57333631602273</v>
      </c>
      <c r="EP46" s="59">
        <f t="shared" si="46"/>
        <v>325.30302392555359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6.5027030042103506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6.5027030042103506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11.142857142857142</v>
      </c>
      <c r="FE46" s="12">
        <f>IF('Données projet'!$A$218&gt;35,FE45+FD46-FM45,IF(A46&lt;'Données projet'!$A$218,$FB$205^A46,IF(A46='Données projet'!$A$218,'Données projet'!$B$218,FE45+FD46-FM45)))</f>
        <v>218.85714285714278</v>
      </c>
      <c r="FF46" s="17">
        <f>FE46*VLOOKUP('Données projet'!$B$16,Paramètres!$A$1:$I$89,3,0)*VLOOKUP('Données projet'!$B$16,Paramètres!$A$1:$I$89,5,0)</f>
        <v>170.70857142857136</v>
      </c>
      <c r="FG46" s="13">
        <f t="shared" si="47"/>
        <v>43.248681576985376</v>
      </c>
      <c r="FH46" s="20">
        <f t="shared" si="22"/>
        <v>372.64221565134466</v>
      </c>
      <c r="FI46" s="59">
        <f t="shared" si="23"/>
        <v>637.46872875252313</v>
      </c>
      <c r="FJ46" s="59">
        <f ca="1">AVERAGE(OFFSET($FI$3,0,0,'Données projet'!$E$16+1,1))-AVERAGE(OFFSET($H$3,0,0,'Données projet'!$E$16+1,1))</f>
        <v>302.04287561738482</v>
      </c>
      <c r="FK46" s="59">
        <f t="shared" si="48"/>
        <v>296.09828774694802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13.426173371438761</v>
      </c>
      <c r="FR46" s="21">
        <f>EXP(-LN(2)/25)*FR45+(1-EXP(-LN(2)/25))/(LN(2)/25)*Calculateur!FM46*Calculateur!FO46*VLOOKUP('Données projet'!$B$16,Paramètres!$A$1:$I$89,3,0)*0.475*44/12</f>
        <v>9.8795882887701314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23.305761660208894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8.9585714285714282</v>
      </c>
      <c r="FZ46" s="12">
        <f>IF('Données projet'!$A$244&gt;35,FZ45+FY46-GH45,IF(A46&lt;'Données projet'!$A$244,$FW$205^A46,IF(A46='Données projet'!$A$244,'Données projet'!$B$244,FZ45+FY46-GH45)))</f>
        <v>120.54285714285713</v>
      </c>
      <c r="GA46" s="17">
        <f>FZ46*VLOOKUP('Données projet'!$B$17,Paramètres!$A$1:$I$89,3,0)*VLOOKUP('Données projet'!$B$17,Paramètres!$A$1:$I$89,5,0)</f>
        <v>101.54530285714286</v>
      </c>
      <c r="GB46" s="13">
        <f t="shared" si="49"/>
        <v>27.329815434376485</v>
      </c>
      <c r="GC46" s="20">
        <f t="shared" si="25"/>
        <v>224.45749769106285</v>
      </c>
      <c r="GD46" s="59">
        <f t="shared" si="26"/>
        <v>489.28401079224136</v>
      </c>
      <c r="GE46" s="59">
        <f ca="1">AVERAGE(OFFSET($GD$3,0,0,'Données projet'!$E$17+1,1))-AVERAGE(OFFSET($H$3,0,0,'Données projet'!$E$17+1,1))</f>
        <v>385.41819366740276</v>
      </c>
      <c r="GF46" s="59">
        <f t="shared" si="50"/>
        <v>262.4625391252718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62.225412663957769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3.3000000000000003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12.100000000000001</v>
      </c>
      <c r="H47" s="67">
        <f t="shared" si="1"/>
        <v>208.26666666666665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9.3712500000000034</v>
      </c>
      <c r="N47" s="13">
        <f>IF('Données projet'!$A$36&gt;35,N46+M47-V46,IF(A47&lt;'Données projet'!$A$36,$K$205^A47,IF(A47='Données projet'!$A$36,'Données projet'!$B$36,N46+M47-V46)))</f>
        <v>138.7925000000001</v>
      </c>
      <c r="O47" s="13">
        <f>N47*VLOOKUP('Données projet'!$B$9,Paramètres!$A$1:$I$89,3,0)*VLOOKUP('Données projet'!$B$9,Paramètres!$A$1:$I$89,5,0)</f>
        <v>125.5794540000001</v>
      </c>
      <c r="P47" s="13">
        <f t="shared" si="33"/>
        <v>32.97285338000448</v>
      </c>
      <c r="Q47" s="20">
        <f t="shared" si="53"/>
        <v>276.14526868684135</v>
      </c>
      <c r="R47" s="59">
        <f t="shared" si="0"/>
        <v>541.4663113873454</v>
      </c>
      <c r="S47" s="59">
        <f ca="1">AVERAGE(OFFSET($R$3,0,0,'Données projet'!$E$9+1,1))-AVERAGE(OFFSET($H$3,0,0,'Données projet'!$E$9+1,1))</f>
        <v>612.09138396952153</v>
      </c>
      <c r="T47" s="59">
        <f t="shared" si="34"/>
        <v>282.284310393542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5.3588544919447685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5.3588544919447685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140.7355950000001</v>
      </c>
      <c r="AK47" s="13">
        <f t="shared" si="35"/>
        <v>36.465468549139587</v>
      </c>
      <c r="AL47" s="20">
        <f t="shared" si="4"/>
        <v>308.62518568141826</v>
      </c>
      <c r="AM47" s="59">
        <f t="shared" si="5"/>
        <v>573.94622838192231</v>
      </c>
      <c r="AN47" s="59">
        <f ca="1">AVERAGE(OFFSET($AM$3,0,0,'Données projet'!$E$10+1,1))-AVERAGE(OFFSET($H$3,0,0,'Données projet'!$E$10+1,1))</f>
        <v>676.7112666359476</v>
      </c>
      <c r="AO47" s="59">
        <f t="shared" si="36"/>
        <v>309.67876644201385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6.0056127926967227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6.0056127926967227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138.5704320000001</v>
      </c>
      <c r="BF47" s="13">
        <f t="shared" si="37"/>
        <v>35.9693161702872</v>
      </c>
      <c r="BG47" s="20">
        <f t="shared" si="7"/>
        <v>303.99006139658371</v>
      </c>
      <c r="BH47" s="59">
        <f t="shared" si="8"/>
        <v>569.31110409708776</v>
      </c>
      <c r="BI47" s="59">
        <f ca="1">AVERAGE(OFFSET($BH$3,0,0,'Données projet'!$E$11+1,1))-AVERAGE(OFFSET($H$3,0,0,'Données projet'!$E$11+1,1))</f>
        <v>667.4887768032404</v>
      </c>
      <c r="BJ47" s="59">
        <f t="shared" si="38"/>
        <v>305.76944302827178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5.9132187497321596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5.9132187497321596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132.0749430000001</v>
      </c>
      <c r="CA47" s="13">
        <f t="shared" si="39"/>
        <v>34.475374974961412</v>
      </c>
      <c r="CB47" s="20">
        <f t="shared" si="10"/>
        <v>290.07513713972457</v>
      </c>
      <c r="CC47" s="59">
        <f t="shared" si="11"/>
        <v>555.39617984022857</v>
      </c>
      <c r="CD47" s="59">
        <f ca="1">AVERAGE(OFFSET($CC$3,0,0,'Données projet'!$E$12+1,1))-AVERAGE(OFFSET($H$3,0,0,'Données projet'!$E$12+1,1))</f>
        <v>639.80378676828764</v>
      </c>
      <c r="CE47" s="59">
        <f t="shared" si="40"/>
        <v>294.03328334345281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5.636036620838464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5.636036620838464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196.79999999999995</v>
      </c>
      <c r="CU47" s="17">
        <f>CT47*VLOOKUP('Données projet'!$B$13,Paramètres!$A$1:$I$89,3,0)*VLOOKUP('Données projet'!$B$13,Paramètres!$A$1:$I$89,5,0)</f>
        <v>171.92447999999999</v>
      </c>
      <c r="CV47" s="13">
        <f t="shared" si="41"/>
        <v>43.520760297647755</v>
      </c>
      <c r="CW47" s="20">
        <f t="shared" si="13"/>
        <v>375.23379351840316</v>
      </c>
      <c r="CX47" s="59">
        <f t="shared" si="14"/>
        <v>640.55483621890721</v>
      </c>
      <c r="CY47" s="59">
        <f ca="1">AVERAGE(OFFSET($CX$3,0,0,'Données projet'!$E$13+1,1))-AVERAGE(OFFSET($H$3,0,0,'Données projet'!$E$13+1,1))</f>
        <v>340.64710509454375</v>
      </c>
      <c r="CZ47" s="59">
        <f t="shared" si="42"/>
        <v>329.6409514360613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9.3712500000000034</v>
      </c>
      <c r="DO47" s="12">
        <f>IF('Données projet'!$A$166&gt;35,DO46+DN47-DW46,IF(A47&lt;'Données projet'!$A$166,$DL$205^A47,IF(A47='Données projet'!$A$166,'Données projet'!$B$166,DO46+DN47-DW46)))</f>
        <v>138.7925000000001</v>
      </c>
      <c r="DP47" s="17">
        <f>DO47*VLOOKUP('Données projet'!$B$14,Paramètres!$A$1:$I$89,3,0)*VLOOKUP('Données projet'!$B$14,Paramètres!$A$1:$I$89,5,0)</f>
        <v>134.24010600000011</v>
      </c>
      <c r="DQ47" s="13">
        <f t="shared" si="43"/>
        <v>34.974285679017981</v>
      </c>
      <c r="DR47" s="20">
        <f t="shared" si="16"/>
        <v>294.71506550762314</v>
      </c>
      <c r="DS47" s="59">
        <f t="shared" si="17"/>
        <v>560.03610820812719</v>
      </c>
      <c r="DT47" s="59">
        <f ca="1">AVERAGE(OFFSET($DS$3,0,0,'Données projet'!$E$14+1,1))-AVERAGE(OFFSET($H$3,0,0,'Données projet'!$E$14+1,1))</f>
        <v>649.03508893149228</v>
      </c>
      <c r="DU47" s="59">
        <f t="shared" si="44"/>
        <v>297.94672581383213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5.728430663803028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5.728430663803028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9.3712500000000034</v>
      </c>
      <c r="EJ47" s="12">
        <f>IF('Données projet'!$A$192&gt;35,EJ46+EI47-ER46,IF(A47&lt;'Données projet'!$A$192,$EG$205^A47,IF(A47='Données projet'!$A$192,'Données projet'!$B$192,EJ46+EI47-ER46)))</f>
        <v>138.7925000000001</v>
      </c>
      <c r="EK47" s="17">
        <f>EJ47*VLOOKUP('Données projet'!$B$15,Paramètres!$A$1:$I$89,3,0)*VLOOKUP('Données projet'!$B$15,Paramètres!$A$1:$I$89,5,0)</f>
        <v>149.3962470000001</v>
      </c>
      <c r="EL47" s="13">
        <f t="shared" si="45"/>
        <v>38.441348395747688</v>
      </c>
      <c r="EM47" s="20">
        <f t="shared" si="19"/>
        <v>327.15047864759407</v>
      </c>
      <c r="EN47" s="59">
        <f t="shared" si="20"/>
        <v>592.47152134809812</v>
      </c>
      <c r="EO47" s="59">
        <f ca="1">AVERAGE(OFFSET($EN$3,0,0,'Données projet'!$E$15+1,1))-AVERAGE(OFFSET($H$3,0,0,'Données projet'!$E$15+1,1))</f>
        <v>713.57333631602273</v>
      </c>
      <c r="EP47" s="59">
        <f t="shared" si="46"/>
        <v>325.30302392555359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6.3751889645549831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6.3751889645549831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>
        <f>VLOOKUP(A47,'Données projet'!$A$217:$I$237,2,0)</f>
        <v>230</v>
      </c>
      <c r="FC47" s="12">
        <f>VLOOKUP(A47,'Données projet'!$A$217:$I$237,9,0)</f>
        <v>11.142857142857142</v>
      </c>
      <c r="FD47" s="12">
        <f t="array" ref="FD47">INDEX(FC:FC,MIN(IF(ISNUMBER(FC47:FC243),ROW(FC47:FC243),"")))</f>
        <v>11.142857142857142</v>
      </c>
      <c r="FE47" s="12">
        <f>IF('Données projet'!$A$218&gt;35,FE46+FD47-FM46,IF(A47&lt;'Données projet'!$A$218,$FB$205^A47,IF(A47='Données projet'!$A$218,'Données projet'!$B$218,FE46+FD47-FM46)))</f>
        <v>229.99999999999991</v>
      </c>
      <c r="FF47" s="17">
        <f>FE47*VLOOKUP('Données projet'!$B$16,Paramètres!$A$1:$I$89,3,0)*VLOOKUP('Données projet'!$B$16,Paramètres!$A$1:$I$89,5,0)</f>
        <v>179.39999999999995</v>
      </c>
      <c r="FG47" s="13">
        <f t="shared" si="47"/>
        <v>45.188671291872232</v>
      </c>
      <c r="FH47" s="20">
        <f t="shared" si="22"/>
        <v>391.15860250001066</v>
      </c>
      <c r="FI47" s="59">
        <f t="shared" si="23"/>
        <v>656.47964520051471</v>
      </c>
      <c r="FJ47" s="59">
        <f ca="1">AVERAGE(OFFSET($FI$3,0,0,'Données projet'!$E$16+1,1))-AVERAGE(OFFSET($H$3,0,0,'Données projet'!$E$16+1,1))</f>
        <v>302.04287561738482</v>
      </c>
      <c r="FK47" s="59">
        <f t="shared" si="48"/>
        <v>296.09828774694802</v>
      </c>
      <c r="FL47" s="15">
        <f>IF(ISNA(VLOOKUP(A47,'Données projet'!$A$217:$I$237,3,0)),0,VLOOKUP(A47,'Données projet'!$A$217:$I$237,3,0))</f>
        <v>6</v>
      </c>
      <c r="FM47" s="15">
        <f>IF(ISNA(VLOOKUP(A47,'Données projet'!$A$217:$I$237,4,0)),0,VLOOKUP(A47,'Données projet'!$A$217:$I$237,4,0))</f>
        <v>43</v>
      </c>
      <c r="FN47" s="16">
        <f>IF(ISNA(VLOOKUP(A47,'Données projet'!$A$217:$I$237,5,0)),0%,VLOOKUP(A47,'Données projet'!$A$217:$I$237,5,0)*VLOOKUP('Données projet'!$B$16,Paramètres!$A$1:$I$89,7,0))</f>
        <v>0.25800000000000001</v>
      </c>
      <c r="FO47" s="16">
        <f>IF(ISNA(VLOOKUP(A47,'Données projet'!$A$217:$I$237,6,0)),0%,VLOOKUP(A47,'Données projet'!$A$217:$I$237,6,0)*VLOOKUP('Données projet'!$B$16,Paramètres!$A$1:$I$89,7,0))</f>
        <v>0.129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22.728883245402059</v>
      </c>
      <c r="FR47" s="21">
        <f>EXP(-LN(2)/25)*FR46+(1-EXP(-LN(2)/25))/(LN(2)/25)*Calculateur!FM47*Calculateur!FO47*VLOOKUP('Données projet'!$B$16,Paramètres!$A$1:$I$89,3,0)*0.475*44/12</f>
        <v>14.373592428077522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37.102475673479582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8.9585714285714282</v>
      </c>
      <c r="FZ47" s="12">
        <f>IF('Données projet'!$A$244&gt;35,FZ46+FY47-GH46,IF(A47&lt;'Données projet'!$A$244,$FW$205^A47,IF(A47='Données projet'!$A$244,'Données projet'!$B$244,FZ46+FY47-GH46)))</f>
        <v>129.50142857142856</v>
      </c>
      <c r="GA47" s="17">
        <f>FZ47*VLOOKUP('Données projet'!$B$17,Paramètres!$A$1:$I$89,3,0)*VLOOKUP('Données projet'!$B$17,Paramètres!$A$1:$I$89,5,0)</f>
        <v>109.09200342857145</v>
      </c>
      <c r="GB47" s="13">
        <f t="shared" si="49"/>
        <v>29.116950405918221</v>
      </c>
      <c r="GC47" s="20">
        <f t="shared" si="25"/>
        <v>240.7139279284028</v>
      </c>
      <c r="GD47" s="59">
        <f t="shared" si="26"/>
        <v>506.03497062890688</v>
      </c>
      <c r="GE47" s="59">
        <f ca="1">AVERAGE(OFFSET($GD$3,0,0,'Données projet'!$E$17+1,1))-AVERAGE(OFFSET($H$3,0,0,'Données projet'!$E$17+1,1))</f>
        <v>385.41819366740276</v>
      </c>
      <c r="GF47" s="59">
        <f t="shared" si="50"/>
        <v>262.4625391252718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62.36028437286474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3.3000000000000003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12.100000000000001</v>
      </c>
      <c r="H48" s="67">
        <f t="shared" si="1"/>
        <v>208.26666666666665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9.3712500000000034</v>
      </c>
      <c r="N48" s="13">
        <f>IF('Données projet'!$A$36&gt;35,N47+M48-V47,IF(A48&lt;'Données projet'!$A$36,$K$205^A48,IF(A48='Données projet'!$A$36,'Données projet'!$B$36,N47+M48-V47)))</f>
        <v>148.16375000000011</v>
      </c>
      <c r="O48" s="13">
        <f>N48*VLOOKUP('Données projet'!$B$9,Paramètres!$A$1:$I$89,3,0)*VLOOKUP('Données projet'!$B$9,Paramètres!$A$1:$I$89,5,0)</f>
        <v>134.05856100000008</v>
      </c>
      <c r="P48" s="13">
        <f t="shared" si="33"/>
        <v>34.932489097291651</v>
      </c>
      <c r="Q48" s="20">
        <f t="shared" si="53"/>
        <v>294.3260789194498</v>
      </c>
      <c r="R48" s="59">
        <f t="shared" si="0"/>
        <v>560.13307223633365</v>
      </c>
      <c r="S48" s="59">
        <f ca="1">AVERAGE(OFFSET($R$3,0,0,'Données projet'!$E$9+1,1))-AVERAGE(OFFSET($H$3,0,0,'Données projet'!$E$9+1,1))</f>
        <v>612.09138396952153</v>
      </c>
      <c r="T48" s="59">
        <f t="shared" si="34"/>
        <v>282.284310393542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5.2537706239362265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5.2537706239362265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150.23804250000012</v>
      </c>
      <c r="AK48" s="13">
        <f t="shared" si="35"/>
        <v>38.632676639775759</v>
      </c>
      <c r="AL48" s="20">
        <f t="shared" si="4"/>
        <v>328.94983583510964</v>
      </c>
      <c r="AM48" s="59">
        <f t="shared" si="5"/>
        <v>594.75682915199354</v>
      </c>
      <c r="AN48" s="59">
        <f ca="1">AVERAGE(OFFSET($AM$3,0,0,'Données projet'!$E$10+1,1))-AVERAGE(OFFSET($H$3,0,0,'Données projet'!$E$10+1,1))</f>
        <v>676.7112666359476</v>
      </c>
      <c r="AO48" s="59">
        <f t="shared" si="36"/>
        <v>309.67876644201385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5.8878463888940464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5.8878463888940464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147.9266880000001</v>
      </c>
      <c r="BF48" s="13">
        <f t="shared" si="37"/>
        <v>38.107037036641913</v>
      </c>
      <c r="BG48" s="20">
        <f t="shared" si="7"/>
        <v>324.00873777215151</v>
      </c>
      <c r="BH48" s="59">
        <f t="shared" si="8"/>
        <v>589.81573108903535</v>
      </c>
      <c r="BI48" s="59">
        <f ca="1">AVERAGE(OFFSET($BH$3,0,0,'Données projet'!$E$11+1,1))-AVERAGE(OFFSET($H$3,0,0,'Données projet'!$E$11+1,1))</f>
        <v>667.4887768032404</v>
      </c>
      <c r="BJ48" s="59">
        <f t="shared" si="38"/>
        <v>305.76944302827178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5.7972641367572164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5.7972641367572164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140.99262450000012</v>
      </c>
      <c r="CA48" s="13">
        <f t="shared" si="39"/>
        <v>36.524308241039392</v>
      </c>
      <c r="CB48" s="20">
        <f t="shared" si="10"/>
        <v>309.17532452397717</v>
      </c>
      <c r="CC48" s="59">
        <f t="shared" si="11"/>
        <v>574.98231784086101</v>
      </c>
      <c r="CD48" s="59">
        <f ca="1">AVERAGE(OFFSET($CC$3,0,0,'Données projet'!$E$12+1,1))-AVERAGE(OFFSET($H$3,0,0,'Données projet'!$E$12+1,1))</f>
        <v>639.80378676828764</v>
      </c>
      <c r="CE48" s="59">
        <f t="shared" si="40"/>
        <v>294.03328334345281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5.525517380346721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5.525517380346721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205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204.99999999999994</v>
      </c>
      <c r="CU48" s="17">
        <f>CT48*VLOOKUP('Données projet'!$B$13,Paramètres!$A$1:$I$89,3,0)*VLOOKUP('Données projet'!$B$13,Paramètres!$A$1:$I$89,5,0)</f>
        <v>179.08799999999997</v>
      </c>
      <c r="CV48" s="13">
        <f t="shared" si="41"/>
        <v>45.119223023956835</v>
      </c>
      <c r="CW48" s="20">
        <f t="shared" si="13"/>
        <v>390.49424676672476</v>
      </c>
      <c r="CX48" s="59">
        <f t="shared" si="14"/>
        <v>656.3012400836086</v>
      </c>
      <c r="CY48" s="59">
        <f ca="1">AVERAGE(OFFSET($CX$3,0,0,'Données projet'!$E$13+1,1))-AVERAGE(OFFSET($H$3,0,0,'Données projet'!$E$13+1,1))</f>
        <v>340.64710509454375</v>
      </c>
      <c r="CZ48" s="59">
        <f t="shared" si="42"/>
        <v>329.6409514360613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0.159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3.3781547546128294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3.3781547546128294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9.3712500000000034</v>
      </c>
      <c r="DO48" s="12">
        <f>IF('Données projet'!$A$166&gt;35,DO47+DN48-DW47,IF(A48&lt;'Données projet'!$A$166,$DL$205^A48,IF(A48='Données projet'!$A$166,'Données projet'!$B$166,DO47+DN48-DW47)))</f>
        <v>148.16375000000011</v>
      </c>
      <c r="DP48" s="17">
        <f>DO48*VLOOKUP('Données projet'!$B$14,Paramètres!$A$1:$I$89,3,0)*VLOOKUP('Données projet'!$B$14,Paramètres!$A$1:$I$89,5,0)</f>
        <v>143.30397900000011</v>
      </c>
      <c r="DQ48" s="13">
        <f t="shared" si="43"/>
        <v>37.052870101583345</v>
      </c>
      <c r="DR48" s="20">
        <f t="shared" si="16"/>
        <v>314.12151218525787</v>
      </c>
      <c r="DS48" s="59">
        <f t="shared" si="17"/>
        <v>579.92850550214166</v>
      </c>
      <c r="DT48" s="59">
        <f ca="1">AVERAGE(OFFSET($DS$3,0,0,'Données projet'!$E$14+1,1))-AVERAGE(OFFSET($H$3,0,0,'Données projet'!$E$14+1,1))</f>
        <v>649.03508893149228</v>
      </c>
      <c r="DU48" s="59">
        <f t="shared" si="44"/>
        <v>297.94672581383213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5.6160996324835519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5.6160996324835519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9.3712500000000034</v>
      </c>
      <c r="EJ48" s="12">
        <f>IF('Données projet'!$A$192&gt;35,EJ47+EI48-ER47,IF(A48&lt;'Données projet'!$A$192,$EG$205^A48,IF(A48='Données projet'!$A$192,'Données projet'!$B$192,EJ47+EI48-ER47)))</f>
        <v>148.16375000000011</v>
      </c>
      <c r="EK48" s="17">
        <f>EJ48*VLOOKUP('Données projet'!$B$15,Paramètres!$A$1:$I$89,3,0)*VLOOKUP('Données projet'!$B$15,Paramètres!$A$1:$I$89,5,0)</f>
        <v>159.48346050000009</v>
      </c>
      <c r="EL48" s="13">
        <f t="shared" si="45"/>
        <v>40.725986563661593</v>
      </c>
      <c r="EM48" s="20">
        <f t="shared" si="19"/>
        <v>348.69812030254405</v>
      </c>
      <c r="EN48" s="59">
        <f t="shared" si="20"/>
        <v>614.5051136194279</v>
      </c>
      <c r="EO48" s="59">
        <f ca="1">AVERAGE(OFFSET($EN$3,0,0,'Données projet'!$E$15+1,1))-AVERAGE(OFFSET($H$3,0,0,'Données projet'!$E$15+1,1))</f>
        <v>713.57333631602273</v>
      </c>
      <c r="EP48" s="59">
        <f t="shared" si="46"/>
        <v>325.30302392555359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6.2501753974413727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6.2501753974413727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10.375</v>
      </c>
      <c r="FE48" s="12">
        <f>IF('Données projet'!$A$218&gt;35,FE47+FD48-FM47,IF(A48&lt;'Données projet'!$A$218,$FB$205^A48,IF(A48='Données projet'!$A$218,'Données projet'!$B$218,FE47+FD48-FM47)))</f>
        <v>197.37499999999991</v>
      </c>
      <c r="FF48" s="17">
        <f>FE48*VLOOKUP('Données projet'!$B$16,Paramètres!$A$1:$I$89,3,0)*VLOOKUP('Données projet'!$B$16,Paramètres!$A$1:$I$89,5,0)</f>
        <v>153.95249999999993</v>
      </c>
      <c r="FG48" s="13">
        <f t="shared" si="47"/>
        <v>39.475441267837361</v>
      </c>
      <c r="FH48" s="20">
        <f t="shared" si="22"/>
        <v>336.88699770814992</v>
      </c>
      <c r="FI48" s="59">
        <f t="shared" si="23"/>
        <v>602.69399102503371</v>
      </c>
      <c r="FJ48" s="59">
        <f ca="1">AVERAGE(OFFSET($FI$3,0,0,'Données projet'!$E$16+1,1))-AVERAGE(OFFSET($H$3,0,0,'Données projet'!$E$16+1,1))</f>
        <v>302.04287561738482</v>
      </c>
      <c r="FK48" s="59">
        <f t="shared" si="48"/>
        <v>296.09828774694802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22.283183708209624</v>
      </c>
      <c r="FR48" s="21">
        <f>EXP(-LN(2)/25)*FR47+(1-EXP(-LN(2)/25))/(LN(2)/25)*Calculateur!FM48*Calculateur!FO48*VLOOKUP('Données projet'!$B$16,Paramètres!$A$1:$I$89,3,0)*0.475*44/12</f>
        <v>13.980545787257368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36.26372949546699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138.46</v>
      </c>
      <c r="FX48" s="12">
        <f>VLOOKUP(A48,'Données projet'!$A$243:$I$263,9,0)</f>
        <v>8.9585714285714282</v>
      </c>
      <c r="FY48" s="12">
        <f t="array" ref="FY48">INDEX(FX:FX,MIN(IF(ISNUMBER(FX48:FX244),ROW(FX48:FX244),"")))</f>
        <v>8.9585714285714282</v>
      </c>
      <c r="FZ48" s="12">
        <f>IF('Données projet'!$A$244&gt;35,FZ47+FY48-GH47,IF(A48&lt;'Données projet'!$A$244,$FW$205^A48,IF(A48='Données projet'!$A$244,'Données projet'!$B$244,FZ47+FY48-GH47)))</f>
        <v>138.45999999999998</v>
      </c>
      <c r="GA48" s="17">
        <f>FZ48*VLOOKUP('Données projet'!$B$17,Paramètres!$A$1:$I$89,3,0)*VLOOKUP('Données projet'!$B$17,Paramètres!$A$1:$I$89,5,0)</f>
        <v>116.638704</v>
      </c>
      <c r="GB48" s="13">
        <f t="shared" si="49"/>
        <v>30.889740632339958</v>
      </c>
      <c r="GC48" s="20">
        <f t="shared" si="25"/>
        <v>256.94537440132541</v>
      </c>
      <c r="GD48" s="59">
        <f t="shared" si="26"/>
        <v>522.75236771820926</v>
      </c>
      <c r="GE48" s="59">
        <f ca="1">AVERAGE(OFFSET($GD$3,0,0,'Données projet'!$E$17+1,1))-AVERAGE(OFFSET($H$3,0,0,'Données projet'!$E$17+1,1))</f>
        <v>385.41819366740276</v>
      </c>
      <c r="GF48" s="59">
        <f t="shared" si="50"/>
        <v>262.4625391252718</v>
      </c>
      <c r="GG48" s="15">
        <f>IF(ISNA(VLOOKUP(A48,'Données projet'!$A$243:$I$263,3,0)),0,VLOOKUP(A48,'Données projet'!$A$243:$I$263,3,0))</f>
        <v>2</v>
      </c>
      <c r="GH48" s="15">
        <f>IF(ISNA(VLOOKUP(A48,'Données projet'!$A$243:$I$263,4,0)),0,VLOOKUP(A48,'Données projet'!$A$243:$I$263,4,0))</f>
        <v>39.119999999999997</v>
      </c>
      <c r="GI48" s="16">
        <f>IF(ISNA(VLOOKUP(A48,'Données projet'!$A$243:$I$263,5,0)),0%,VLOOKUP(A48,'Données projet'!$A$243:$I$263,5,0)*VLOOKUP('Données projet'!$B$17,Paramètres!$A$1:$I$89,7,0))</f>
        <v>0.129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4.6995256571467445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4.6995256571467445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62.49281635915014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3.3000000000000003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12.100000000000001</v>
      </c>
      <c r="H49" s="67">
        <f t="shared" si="1"/>
        <v>208.26666666666665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9.3712500000000034</v>
      </c>
      <c r="N49" s="13">
        <f>IF('Données projet'!$A$36&gt;35,N48+M49-V48,IF(A49&lt;'Données projet'!$A$36,$K$205^A49,IF(A49='Données projet'!$A$36,'Données projet'!$B$36,N48+M49-V48)))</f>
        <v>157.53500000000011</v>
      </c>
      <c r="O49" s="13">
        <f>N49*VLOOKUP('Données projet'!$B$9,Paramètres!$A$1:$I$89,3,0)*VLOOKUP('Données projet'!$B$9,Paramètres!$A$1:$I$89,5,0)</f>
        <v>142.53766800000008</v>
      </c>
      <c r="P49" s="13">
        <f t="shared" si="33"/>
        <v>36.877740410345027</v>
      </c>
      <c r="Q49" s="20">
        <f t="shared" si="53"/>
        <v>312.48183631468436</v>
      </c>
      <c r="R49" s="59">
        <f t="shared" si="0"/>
        <v>578.76635009117661</v>
      </c>
      <c r="S49" s="59">
        <f ca="1">AVERAGE(OFFSET($R$3,0,0,'Données projet'!$E$9+1,1))-AVERAGE(OFFSET($H$3,0,0,'Données projet'!$E$9+1,1))</f>
        <v>612.09138396952153</v>
      </c>
      <c r="T49" s="59">
        <f t="shared" si="34"/>
        <v>282.284310393542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5.1507473864845013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5.1507473864845013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159.74049000000011</v>
      </c>
      <c r="AK49" s="13">
        <f t="shared" si="35"/>
        <v>40.783976673134042</v>
      </c>
      <c r="AL49" s="20">
        <f t="shared" si="4"/>
        <v>349.24677945570858</v>
      </c>
      <c r="AM49" s="59">
        <f t="shared" si="5"/>
        <v>615.53129323220082</v>
      </c>
      <c r="AN49" s="59">
        <f ca="1">AVERAGE(OFFSET($AM$3,0,0,'Données projet'!$E$10+1,1))-AVERAGE(OFFSET($H$3,0,0,'Données projet'!$E$10+1,1))</f>
        <v>676.7112666359476</v>
      </c>
      <c r="AO49" s="59">
        <f t="shared" si="36"/>
        <v>309.67876644201385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5.7723893124395271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5.7723893124395271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157.28294400000013</v>
      </c>
      <c r="BF49" s="13">
        <f t="shared" si="37"/>
        <v>40.229066292148055</v>
      </c>
      <c r="BG49" s="20">
        <f t="shared" si="7"/>
        <v>344.00008459215809</v>
      </c>
      <c r="BH49" s="59">
        <f t="shared" si="8"/>
        <v>610.28459836865034</v>
      </c>
      <c r="BI49" s="59">
        <f ca="1">AVERAGE(OFFSET($BH$3,0,0,'Données projet'!$E$11+1,1))-AVERAGE(OFFSET($H$3,0,0,'Données projet'!$E$11+1,1))</f>
        <v>667.4887768032404</v>
      </c>
      <c r="BJ49" s="59">
        <f t="shared" si="38"/>
        <v>305.76944302827178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5.6835833230173813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5.6835833230173813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149.91030600000011</v>
      </c>
      <c r="CA49" s="13">
        <f t="shared" si="39"/>
        <v>38.558201627976892</v>
      </c>
      <c r="CB49" s="20">
        <f t="shared" si="10"/>
        <v>328.24931745205993</v>
      </c>
      <c r="CC49" s="59">
        <f t="shared" si="11"/>
        <v>594.53383122855212</v>
      </c>
      <c r="CD49" s="59">
        <f ca="1">AVERAGE(OFFSET($CC$3,0,0,'Données projet'!$E$12+1,1))-AVERAGE(OFFSET($H$3,0,0,'Données projet'!$E$12+1,1))</f>
        <v>639.80378676828764</v>
      </c>
      <c r="CE49" s="59">
        <f t="shared" si="40"/>
        <v>294.03328334345281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5.4171653547509413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5.4171653547509413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190.19999999999993</v>
      </c>
      <c r="CU49" s="17">
        <f>CT49*VLOOKUP('Données projet'!$B$13,Paramètres!$A$1:$I$89,3,0)*VLOOKUP('Données projet'!$B$13,Paramètres!$A$1:$I$89,5,0)</f>
        <v>166.15871999999996</v>
      </c>
      <c r="CV49" s="13">
        <f t="shared" si="41"/>
        <v>42.228563636586387</v>
      </c>
      <c r="CW49" s="20">
        <f t="shared" si="13"/>
        <v>362.94118566705453</v>
      </c>
      <c r="CX49" s="59">
        <f t="shared" si="14"/>
        <v>629.22569944354677</v>
      </c>
      <c r="CY49" s="59">
        <f ca="1">AVERAGE(OFFSET($CX$3,0,0,'Données projet'!$E$13+1,1))-AVERAGE(OFFSET($H$3,0,0,'Données projet'!$E$13+1,1))</f>
        <v>340.64710509454375</v>
      </c>
      <c r="CZ49" s="59">
        <f t="shared" si="42"/>
        <v>329.6409514360613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3.3119112003458175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3.3119112003458175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9.3712500000000034</v>
      </c>
      <c r="DO49" s="12">
        <f>IF('Données projet'!$A$166&gt;35,DO48+DN49-DW48,IF(A49&lt;'Données projet'!$A$166,$DL$205^A49,IF(A49='Données projet'!$A$166,'Données projet'!$B$166,DO48+DN49-DW48)))</f>
        <v>157.53500000000011</v>
      </c>
      <c r="DP49" s="17">
        <f>DO49*VLOOKUP('Données projet'!$B$14,Paramètres!$A$1:$I$89,3,0)*VLOOKUP('Données projet'!$B$14,Paramètres!$A$1:$I$89,5,0)</f>
        <v>152.36785200000011</v>
      </c>
      <c r="DQ49" s="13">
        <f t="shared" si="43"/>
        <v>39.116196995259784</v>
      </c>
      <c r="DR49" s="20">
        <f t="shared" si="16"/>
        <v>333.50138533341101</v>
      </c>
      <c r="DS49" s="59">
        <f t="shared" si="17"/>
        <v>599.78589910990331</v>
      </c>
      <c r="DT49" s="59">
        <f ca="1">AVERAGE(OFFSET($DS$3,0,0,'Données projet'!$E$14+1,1))-AVERAGE(OFFSET($H$3,0,0,'Données projet'!$E$14+1,1))</f>
        <v>649.03508893149228</v>
      </c>
      <c r="DU49" s="59">
        <f t="shared" si="44"/>
        <v>297.94672581383213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5.5059713441730871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5.5059713441730871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9.3712500000000034</v>
      </c>
      <c r="EJ49" s="12">
        <f>IF('Données projet'!$A$192&gt;35,EJ48+EI49-ER48,IF(A49&lt;'Données projet'!$A$192,$EG$205^A49,IF(A49='Données projet'!$A$192,'Données projet'!$B$192,EJ48+EI49-ER48)))</f>
        <v>157.53500000000011</v>
      </c>
      <c r="EK49" s="17">
        <f>EJ49*VLOOKUP('Données projet'!$B$15,Paramètres!$A$1:$I$89,3,0)*VLOOKUP('Données projet'!$B$15,Paramètres!$A$1:$I$89,5,0)</f>
        <v>169.57067400000011</v>
      </c>
      <c r="EL49" s="13">
        <f t="shared" si="45"/>
        <v>42.993854696897486</v>
      </c>
      <c r="EM49" s="20">
        <f t="shared" si="19"/>
        <v>370.21655414709659</v>
      </c>
      <c r="EN49" s="59">
        <f t="shared" si="20"/>
        <v>636.50106792358883</v>
      </c>
      <c r="EO49" s="59">
        <f ca="1">AVERAGE(OFFSET($EN$3,0,0,'Données projet'!$E$15+1,1))-AVERAGE(OFFSET($H$3,0,0,'Données projet'!$E$15+1,1))</f>
        <v>713.57333631602273</v>
      </c>
      <c r="EP49" s="59">
        <f t="shared" si="46"/>
        <v>325.30302392555359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6.127613270128113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6.127613270128113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10.375</v>
      </c>
      <c r="FE49" s="12">
        <f>IF('Données projet'!$A$218&gt;35,FE48+FD49-FM48,IF(A49&lt;'Données projet'!$A$218,$FB$205^A49,IF(A49='Données projet'!$A$218,'Données projet'!$B$218,FE48+FD49-FM48)))</f>
        <v>207.74999999999991</v>
      </c>
      <c r="FF49" s="17">
        <f>FE49*VLOOKUP('Données projet'!$B$16,Paramètres!$A$1:$I$89,3,0)*VLOOKUP('Données projet'!$B$16,Paramètres!$A$1:$I$89,5,0)</f>
        <v>162.04499999999993</v>
      </c>
      <c r="FG49" s="13">
        <f t="shared" si="47"/>
        <v>41.303429372463391</v>
      </c>
      <c r="FH49" s="20">
        <f t="shared" si="22"/>
        <v>354.16518115704025</v>
      </c>
      <c r="FI49" s="59">
        <f t="shared" si="23"/>
        <v>620.44969493353256</v>
      </c>
      <c r="FJ49" s="59">
        <f ca="1">AVERAGE(OFFSET($FI$3,0,0,'Données projet'!$E$16+1,1))-AVERAGE(OFFSET($H$3,0,0,'Données projet'!$E$16+1,1))</f>
        <v>302.04287561738482</v>
      </c>
      <c r="FK49" s="59">
        <f t="shared" si="48"/>
        <v>296.09828774694802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21.846224067091654</v>
      </c>
      <c r="FR49" s="21">
        <f>EXP(-LN(2)/25)*FR48+(1-EXP(-LN(2)/25))/(LN(2)/25)*Calculateur!FM49*Calculateur!FO49*VLOOKUP('Données projet'!$B$16,Paramètres!$A$1:$I$89,3,0)*0.475*44/12</f>
        <v>13.598247027499866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35.44447109459152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8.9771428571428569</v>
      </c>
      <c r="FZ49" s="12">
        <f>IF('Données projet'!$A$244&gt;35,FZ48+FY49-GH48,IF(A49&lt;'Données projet'!$A$244,$FW$205^A49,IF(A49='Données projet'!$A$244,'Données projet'!$B$244,FZ48+FY49-GH48)))</f>
        <v>108.31714285714284</v>
      </c>
      <c r="GA49" s="17">
        <f>FZ49*VLOOKUP('Données projet'!$B$17,Paramètres!$A$1:$I$89,3,0)*VLOOKUP('Données projet'!$B$17,Paramètres!$A$1:$I$89,5,0)</f>
        <v>91.24636114285714</v>
      </c>
      <c r="GB49" s="13">
        <f t="shared" si="49"/>
        <v>24.865576257283283</v>
      </c>
      <c r="GC49" s="20">
        <f t="shared" si="25"/>
        <v>202.22829097191121</v>
      </c>
      <c r="GD49" s="59">
        <f t="shared" si="26"/>
        <v>468.51280474840348</v>
      </c>
      <c r="GE49" s="59">
        <f ca="1">AVERAGE(OFFSET($GD$3,0,0,'Données projet'!$E$17+1,1))-AVERAGE(OFFSET($H$3,0,0,'Données projet'!$E$17+1,1))</f>
        <v>385.41819366740276</v>
      </c>
      <c r="GF49" s="59">
        <f t="shared" si="50"/>
        <v>262.4625391252718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4.6073708254377115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4.6073708254377115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62.623049211770621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3.3000000000000003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12.100000000000001</v>
      </c>
      <c r="H50" s="67">
        <f t="shared" si="1"/>
        <v>208.26666666666665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9.3712500000000034</v>
      </c>
      <c r="N50" s="13">
        <f>IF('Données projet'!$A$36&gt;35,N49+M50-V49,IF(A50&lt;'Données projet'!$A$36,$K$205^A50,IF(A50='Données projet'!$A$36,'Données projet'!$B$36,N49+M50-V49)))</f>
        <v>166.90625000000011</v>
      </c>
      <c r="O50" s="13">
        <f>N50*VLOOKUP('Données projet'!$B$9,Paramètres!$A$1:$I$89,3,0)*VLOOKUP('Données projet'!$B$9,Paramètres!$A$1:$I$89,5,0)</f>
        <v>151.01677500000011</v>
      </c>
      <c r="P50" s="13">
        <f t="shared" si="33"/>
        <v>38.809560459830927</v>
      </c>
      <c r="Q50" s="20">
        <f t="shared" si="53"/>
        <v>330.61420092587235</v>
      </c>
      <c r="R50" s="59">
        <f t="shared" si="0"/>
        <v>597.36795124957462</v>
      </c>
      <c r="S50" s="59">
        <f ca="1">AVERAGE(OFFSET($R$3,0,0,'Données projet'!$E$9+1,1))-AVERAGE(OFFSET($H$3,0,0,'Données projet'!$E$9+1,1))</f>
        <v>612.09138396952153</v>
      </c>
      <c r="T50" s="59">
        <f t="shared" si="34"/>
        <v>282.284310393542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5.0497443718812338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5.0497443718812338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169.24293750000012</v>
      </c>
      <c r="AK50" s="13">
        <f t="shared" si="35"/>
        <v>42.920422750313541</v>
      </c>
      <c r="AL50" s="20">
        <f t="shared" si="4"/>
        <v>369.51785243596299</v>
      </c>
      <c r="AM50" s="59">
        <f t="shared" si="5"/>
        <v>636.27160275966526</v>
      </c>
      <c r="AN50" s="59">
        <f ca="1">AVERAGE(OFFSET($AM$3,0,0,'Données projet'!$E$10+1,1))-AVERAGE(OFFSET($H$3,0,0,'Données projet'!$E$10+1,1))</f>
        <v>676.7112666359476</v>
      </c>
      <c r="AO50" s="59">
        <f t="shared" si="36"/>
        <v>309.67876644201385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5.6591962788324173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5.6591962788324173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166.63920000000013</v>
      </c>
      <c r="BF50" s="13">
        <f t="shared" si="37"/>
        <v>42.336443695712298</v>
      </c>
      <c r="BG50" s="20">
        <f t="shared" si="7"/>
        <v>363.96591277003245</v>
      </c>
      <c r="BH50" s="59">
        <f t="shared" si="8"/>
        <v>630.71966309373477</v>
      </c>
      <c r="BI50" s="59">
        <f ca="1">AVERAGE(OFFSET($BH$3,0,0,'Données projet'!$E$11+1,1))-AVERAGE(OFFSET($H$3,0,0,'Données projet'!$E$11+1,1))</f>
        <v>667.4887768032404</v>
      </c>
      <c r="BJ50" s="59">
        <f t="shared" si="38"/>
        <v>305.76944302827178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5.5721317206965351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5.5721317206965351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158.82798750000009</v>
      </c>
      <c r="CA50" s="13">
        <f t="shared" si="39"/>
        <v>40.578051709576528</v>
      </c>
      <c r="CB50" s="20">
        <f t="shared" si="10"/>
        <v>347.29885162334591</v>
      </c>
      <c r="CC50" s="59">
        <f t="shared" si="11"/>
        <v>614.05260194704829</v>
      </c>
      <c r="CD50" s="59">
        <f ca="1">AVERAGE(OFFSET($CC$3,0,0,'Données projet'!$E$12+1,1))-AVERAGE(OFFSET($H$3,0,0,'Données projet'!$E$12+1,1))</f>
        <v>639.80378676828764</v>
      </c>
      <c r="CE50" s="59">
        <f t="shared" si="40"/>
        <v>294.03328334345281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5.3109380462888849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5.3109380462888849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197.39999999999992</v>
      </c>
      <c r="CU50" s="17">
        <f>CT50*VLOOKUP('Données projet'!$B$13,Paramètres!$A$1:$I$89,3,0)*VLOOKUP('Données projet'!$B$13,Paramètres!$A$1:$I$89,5,0)</f>
        <v>172.44863999999995</v>
      </c>
      <c r="CV50" s="13">
        <f t="shared" si="41"/>
        <v>43.637980200453676</v>
      </c>
      <c r="CW50" s="20">
        <f t="shared" si="13"/>
        <v>376.35086351579008</v>
      </c>
      <c r="CX50" s="59">
        <f t="shared" si="14"/>
        <v>643.10461383949246</v>
      </c>
      <c r="CY50" s="59">
        <f ca="1">AVERAGE(OFFSET($CX$3,0,0,'Données projet'!$E$13+1,1))-AVERAGE(OFFSET($H$3,0,0,'Données projet'!$E$13+1,1))</f>
        <v>340.64710509454375</v>
      </c>
      <c r="CZ50" s="59">
        <f t="shared" si="42"/>
        <v>329.6409514360613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3.2469666417734033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3.2469666417734033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9.3712500000000034</v>
      </c>
      <c r="DO50" s="12">
        <f>IF('Données projet'!$A$166&gt;35,DO49+DN50-DW49,IF(A50&lt;'Données projet'!$A$166,$DL$205^A50,IF(A50='Données projet'!$A$166,'Données projet'!$B$166,DO49+DN50-DW49)))</f>
        <v>166.90625000000011</v>
      </c>
      <c r="DP50" s="17">
        <f>DO50*VLOOKUP('Données projet'!$B$14,Paramètres!$A$1:$I$89,3,0)*VLOOKUP('Données projet'!$B$14,Paramètres!$A$1:$I$89,5,0)</f>
        <v>161.43172500000011</v>
      </c>
      <c r="DQ50" s="13">
        <f t="shared" si="43"/>
        <v>41.165277355776809</v>
      </c>
      <c r="DR50" s="20">
        <f t="shared" si="16"/>
        <v>352.85644576964478</v>
      </c>
      <c r="DS50" s="59">
        <f t="shared" si="17"/>
        <v>619.6101960933471</v>
      </c>
      <c r="DT50" s="59">
        <f ca="1">AVERAGE(OFFSET($DS$3,0,0,'Données projet'!$E$14+1,1))-AVERAGE(OFFSET($H$3,0,0,'Données projet'!$E$14+1,1))</f>
        <v>649.03508893149228</v>
      </c>
      <c r="DU50" s="59">
        <f t="shared" si="44"/>
        <v>297.94672581383213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5.3980026044247671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5.3980026044247671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9.3712500000000034</v>
      </c>
      <c r="EJ50" s="12">
        <f>IF('Données projet'!$A$192&gt;35,EJ49+EI50-ER49,IF(A50&lt;'Données projet'!$A$192,$EG$205^A50,IF(A50='Données projet'!$A$192,'Données projet'!$B$192,EJ49+EI50-ER49)))</f>
        <v>166.90625000000011</v>
      </c>
      <c r="EK50" s="17">
        <f>EJ50*VLOOKUP('Données projet'!$B$15,Paramètres!$A$1:$I$89,3,0)*VLOOKUP('Données projet'!$B$15,Paramètres!$A$1:$I$89,5,0)</f>
        <v>179.65788750000013</v>
      </c>
      <c r="EL50" s="13">
        <f t="shared" si="45"/>
        <v>45.246064012977243</v>
      </c>
      <c r="EM50" s="20">
        <f t="shared" si="19"/>
        <v>391.70771555176884</v>
      </c>
      <c r="EN50" s="59">
        <f t="shared" si="20"/>
        <v>658.46146587547116</v>
      </c>
      <c r="EO50" s="59">
        <f ca="1">AVERAGE(OFFSET($EN$3,0,0,'Données projet'!$E$15+1,1))-AVERAGE(OFFSET($H$3,0,0,'Données projet'!$E$15+1,1))</f>
        <v>713.57333631602273</v>
      </c>
      <c r="EP50" s="59">
        <f t="shared" si="46"/>
        <v>325.30302392555359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6.0074545113759505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6.0074545113759505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10.375</v>
      </c>
      <c r="FE50" s="12">
        <f>IF('Données projet'!$A$218&gt;35,FE49+FD50-FM49,IF(A50&lt;'Données projet'!$A$218,$FB$205^A50,IF(A50='Données projet'!$A$218,'Données projet'!$B$218,FE49+FD50-FM49)))</f>
        <v>218.12499999999991</v>
      </c>
      <c r="FF50" s="17">
        <f>FE50*VLOOKUP('Données projet'!$B$16,Paramètres!$A$1:$I$89,3,0)*VLOOKUP('Données projet'!$B$16,Paramètres!$A$1:$I$89,5,0)</f>
        <v>170.13749999999993</v>
      </c>
      <c r="FG50" s="13">
        <f t="shared" si="47"/>
        <v>43.120817562072375</v>
      </c>
      <c r="FH50" s="20">
        <f t="shared" si="22"/>
        <v>371.42490308727588</v>
      </c>
      <c r="FI50" s="59">
        <f t="shared" si="23"/>
        <v>638.1786534109782</v>
      </c>
      <c r="FJ50" s="59">
        <f ca="1">AVERAGE(OFFSET($FI$3,0,0,'Données projet'!$E$16+1,1))-AVERAGE(OFFSET($H$3,0,0,'Données projet'!$E$16+1,1))</f>
        <v>302.04287561738482</v>
      </c>
      <c r="FK50" s="59">
        <f t="shared" si="48"/>
        <v>296.09828774694802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21.417832938016947</v>
      </c>
      <c r="FR50" s="21">
        <f>EXP(-LN(2)/25)*FR49+(1-EXP(-LN(2)/25))/(LN(2)/25)*Calculateur!FM50*Calculateur!FO50*VLOOKUP('Données projet'!$B$16,Paramètres!$A$1:$I$89,3,0)*0.475*44/12</f>
        <v>13.22640224743215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34.644235185449098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8.9771428571428569</v>
      </c>
      <c r="FZ50" s="12">
        <f>IF('Données projet'!$A$244&gt;35,FZ49+FY50-GH49,IF(A50&lt;'Données projet'!$A$244,$FW$205^A50,IF(A50='Données projet'!$A$244,'Données projet'!$B$244,FZ49+FY50-GH49)))</f>
        <v>117.29428571428569</v>
      </c>
      <c r="GA50" s="17">
        <f>FZ50*VLOOKUP('Données projet'!$B$17,Paramètres!$A$1:$I$89,3,0)*VLOOKUP('Données projet'!$B$17,Paramètres!$A$1:$I$89,5,0)</f>
        <v>98.80870628571428</v>
      </c>
      <c r="GB50" s="13">
        <f t="shared" si="49"/>
        <v>26.677990596244378</v>
      </c>
      <c r="GC50" s="20">
        <f t="shared" si="25"/>
        <v>218.55599706941132</v>
      </c>
      <c r="GD50" s="59">
        <f t="shared" si="26"/>
        <v>485.30974739311364</v>
      </c>
      <c r="GE50" s="59">
        <f ca="1">AVERAGE(OFFSET($GD$3,0,0,'Données projet'!$E$17+1,1))-AVERAGE(OFFSET($H$3,0,0,'Données projet'!$E$17+1,1))</f>
        <v>385.41819366740276</v>
      </c>
      <c r="GF50" s="59">
        <f t="shared" si="50"/>
        <v>262.4625391252718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4.5170230937695957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4.5170230937695957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62.751022815555174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3.3000000000000003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12.100000000000001</v>
      </c>
      <c r="H51" s="67">
        <f t="shared" si="1"/>
        <v>208.26666666666665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9.3712500000000034</v>
      </c>
      <c r="N51" s="13">
        <f>IF('Données projet'!$A$36&gt;35,N50+M51-V50,IF(A51&lt;'Données projet'!$A$36,$K$205^A51,IF(A51='Données projet'!$A$36,'Données projet'!$B$36,N50+M51-V50)))</f>
        <v>176.27750000000012</v>
      </c>
      <c r="O51" s="13">
        <f>N51*VLOOKUP('Données projet'!$B$9,Paramètres!$A$1:$I$89,3,0)*VLOOKUP('Données projet'!$B$9,Paramètres!$A$1:$I$89,5,0)</f>
        <v>159.49588200000008</v>
      </c>
      <c r="P51" s="13">
        <f t="shared" si="33"/>
        <v>40.728789309687656</v>
      </c>
      <c r="Q51" s="20">
        <f t="shared" si="53"/>
        <v>348.72463586437283</v>
      </c>
      <c r="R51" s="59">
        <f t="shared" si="0"/>
        <v>615.93948253024689</v>
      </c>
      <c r="S51" s="59">
        <f ca="1">AVERAGE(OFFSET($R$3,0,0,'Données projet'!$E$9+1,1))-AVERAGE(OFFSET($H$3,0,0,'Données projet'!$E$9+1,1))</f>
        <v>612.09138396952153</v>
      </c>
      <c r="T51" s="59">
        <f t="shared" si="34"/>
        <v>282.284310393542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4.9507219647885812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4.9507219647885812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178.74538500000011</v>
      </c>
      <c r="AK51" s="13">
        <f t="shared" si="35"/>
        <v>45.042943918150705</v>
      </c>
      <c r="AL51" s="20">
        <f t="shared" si="4"/>
        <v>389.76467286577935</v>
      </c>
      <c r="AM51" s="59">
        <f t="shared" si="5"/>
        <v>656.97951953165341</v>
      </c>
      <c r="AN51" s="59">
        <f ca="1">AVERAGE(OFFSET($AM$3,0,0,'Données projet'!$E$10+1,1))-AVERAGE(OFFSET($H$3,0,0,'Données projet'!$E$10+1,1))</f>
        <v>676.7112666359476</v>
      </c>
      <c r="AO51" s="59">
        <f t="shared" si="36"/>
        <v>309.67876644201385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5.5482228915734098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5.5482228915734098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175.99545600000013</v>
      </c>
      <c r="BF51" s="13">
        <f t="shared" si="37"/>
        <v>44.430085653477981</v>
      </c>
      <c r="BG51" s="20">
        <f t="shared" si="7"/>
        <v>383.90781837980768</v>
      </c>
      <c r="BH51" s="59">
        <f t="shared" si="8"/>
        <v>651.12266504568174</v>
      </c>
      <c r="BI51" s="59">
        <f ca="1">AVERAGE(OFFSET($BH$3,0,0,'Données projet'!$E$11+1,1))-AVERAGE(OFFSET($H$3,0,0,'Données projet'!$E$11+1,1))</f>
        <v>667.4887768032404</v>
      </c>
      <c r="BJ51" s="59">
        <f t="shared" si="38"/>
        <v>305.76944302827178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5.4628656163184353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5.4628656163184353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167.74566900000011</v>
      </c>
      <c r="CA51" s="13">
        <f t="shared" si="39"/>
        <v>42.584736830182422</v>
      </c>
      <c r="CB51" s="20">
        <f t="shared" si="10"/>
        <v>366.32545682090125</v>
      </c>
      <c r="CC51" s="59">
        <f t="shared" si="11"/>
        <v>633.54030348677531</v>
      </c>
      <c r="CD51" s="59">
        <f ca="1">AVERAGE(OFFSET($CC$3,0,0,'Données projet'!$E$12+1,1))-AVERAGE(OFFSET($H$3,0,0,'Données projet'!$E$12+1,1))</f>
        <v>639.80378676828764</v>
      </c>
      <c r="CE51" s="59">
        <f t="shared" si="40"/>
        <v>294.03328334345281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5.2067937905535082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5.2067937905535082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204.59999999999991</v>
      </c>
      <c r="CU51" s="17">
        <f>CT51*VLOOKUP('Données projet'!$B$13,Paramètres!$A$1:$I$89,3,0)*VLOOKUP('Données projet'!$B$13,Paramètres!$A$1:$I$89,5,0)</f>
        <v>178.73855999999995</v>
      </c>
      <c r="CV51" s="13">
        <f t="shared" si="41"/>
        <v>45.041424241265332</v>
      </c>
      <c r="CW51" s="20">
        <f t="shared" si="13"/>
        <v>389.75013922020366</v>
      </c>
      <c r="CX51" s="59">
        <f t="shared" si="14"/>
        <v>656.96498588607778</v>
      </c>
      <c r="CY51" s="59">
        <f ca="1">AVERAGE(OFFSET($CX$3,0,0,'Données projet'!$E$13+1,1))-AVERAGE(OFFSET($H$3,0,0,'Données projet'!$E$13+1,1))</f>
        <v>340.64710509454375</v>
      </c>
      <c r="CZ51" s="59">
        <f t="shared" si="42"/>
        <v>329.6409514360613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3.1832956063823246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3.1832956063823246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9.3712500000000034</v>
      </c>
      <c r="DO51" s="12">
        <f>IF('Données projet'!$A$166&gt;35,DO50+DN51-DW50,IF(A51&lt;'Données projet'!$A$166,$DL$205^A51,IF(A51='Données projet'!$A$166,'Données projet'!$B$166,DO50+DN51-DW50)))</f>
        <v>176.27750000000012</v>
      </c>
      <c r="DP51" s="17">
        <f>DO51*VLOOKUP('Données projet'!$B$14,Paramètres!$A$1:$I$89,3,0)*VLOOKUP('Données projet'!$B$14,Paramètres!$A$1:$I$89,5,0)</f>
        <v>170.49559800000011</v>
      </c>
      <c r="DQ51" s="13">
        <f t="shared" si="43"/>
        <v>43.201002238446733</v>
      </c>
      <c r="DR51" s="20">
        <f t="shared" si="16"/>
        <v>372.18824541529494</v>
      </c>
      <c r="DS51" s="59">
        <f t="shared" si="17"/>
        <v>639.40309208116901</v>
      </c>
      <c r="DT51" s="59">
        <f ca="1">AVERAGE(OFFSET($DS$3,0,0,'Données projet'!$E$14+1,1))-AVERAGE(OFFSET($H$3,0,0,'Données projet'!$E$14+1,1))</f>
        <v>649.03508893149228</v>
      </c>
      <c r="DU51" s="59">
        <f t="shared" si="44"/>
        <v>297.94672581383213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5.2921510658084827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5.2921510658084827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9.3712500000000034</v>
      </c>
      <c r="EJ51" s="12">
        <f>IF('Données projet'!$A$192&gt;35,EJ50+EI51-ER50,IF(A51&lt;'Données projet'!$A$192,$EG$205^A51,IF(A51='Données projet'!$A$192,'Données projet'!$B$192,EJ50+EI51-ER50)))</f>
        <v>176.27750000000012</v>
      </c>
      <c r="EK51" s="17">
        <f>EJ51*VLOOKUP('Données projet'!$B$15,Paramètres!$A$1:$I$89,3,0)*VLOOKUP('Données projet'!$B$15,Paramètres!$A$1:$I$89,5,0)</f>
        <v>189.74510100000012</v>
      </c>
      <c r="EL51" s="13">
        <f t="shared" si="45"/>
        <v>47.483593899100271</v>
      </c>
      <c r="EM51" s="20">
        <f t="shared" si="19"/>
        <v>413.17331028259986</v>
      </c>
      <c r="EN51" s="59">
        <f t="shared" si="20"/>
        <v>680.38815694847392</v>
      </c>
      <c r="EO51" s="59">
        <f ca="1">AVERAGE(OFFSET($EN$3,0,0,'Données projet'!$E$15+1,1))-AVERAGE(OFFSET($H$3,0,0,'Données projet'!$E$15+1,1))</f>
        <v>713.57333631602273</v>
      </c>
      <c r="EP51" s="59">
        <f t="shared" si="46"/>
        <v>325.30302392555359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5.8896519925933122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5.8896519925933122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10.375</v>
      </c>
      <c r="FE51" s="12">
        <f>IF('Données projet'!$A$218&gt;35,FE50+FD51-FM50,IF(A51&lt;'Données projet'!$A$218,$FB$205^A51,IF(A51='Données projet'!$A$218,'Données projet'!$B$218,FE50+FD51-FM50)))</f>
        <v>228.49999999999991</v>
      </c>
      <c r="FF51" s="17">
        <f>FE51*VLOOKUP('Données projet'!$B$16,Paramètres!$A$1:$I$89,3,0)*VLOOKUP('Données projet'!$B$16,Paramètres!$A$1:$I$89,5,0)</f>
        <v>178.22999999999993</v>
      </c>
      <c r="FG51" s="13">
        <f t="shared" si="47"/>
        <v>44.928167580487852</v>
      </c>
      <c r="FH51" s="20">
        <f t="shared" si="22"/>
        <v>388.66714186934951</v>
      </c>
      <c r="FI51" s="59">
        <f t="shared" si="23"/>
        <v>655.88198853522363</v>
      </c>
      <c r="FJ51" s="59">
        <f ca="1">AVERAGE(OFFSET($FI$3,0,0,'Données projet'!$E$16+1,1))-AVERAGE(OFFSET($H$3,0,0,'Données projet'!$E$16+1,1))</f>
        <v>302.04287561738482</v>
      </c>
      <c r="FK51" s="59">
        <f t="shared" si="48"/>
        <v>296.09828774694802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20.997842297690603</v>
      </c>
      <c r="FR51" s="21">
        <f>EXP(-LN(2)/25)*FR50+(1-EXP(-LN(2)/25))/(LN(2)/25)*Calculateur!FM51*Calculateur!FO51*VLOOKUP('Données projet'!$B$16,Paramètres!$A$1:$I$89,3,0)*0.475*44/12</f>
        <v>12.864725582429852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33.862567880120451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8.9771428571428569</v>
      </c>
      <c r="FZ51" s="12">
        <f>IF('Données projet'!$A$244&gt;35,FZ50+FY51-GH50,IF(A51&lt;'Données projet'!$A$244,$FW$205^A51,IF(A51='Données projet'!$A$244,'Données projet'!$B$244,FZ50+FY51-GH50)))</f>
        <v>126.27142857142854</v>
      </c>
      <c r="GA51" s="17">
        <f>FZ51*VLOOKUP('Données projet'!$B$17,Paramètres!$A$1:$I$89,3,0)*VLOOKUP('Données projet'!$B$17,Paramètres!$A$1:$I$89,5,0)</f>
        <v>106.37105142857141</v>
      </c>
      <c r="GB51" s="13">
        <f t="shared" si="49"/>
        <v>28.474313816998091</v>
      </c>
      <c r="GC51" s="20">
        <f t="shared" si="25"/>
        <v>234.85567780270017</v>
      </c>
      <c r="GD51" s="59">
        <f t="shared" si="26"/>
        <v>502.07052446857426</v>
      </c>
      <c r="GE51" s="59">
        <f ca="1">AVERAGE(OFFSET($GD$3,0,0,'Données projet'!$E$17+1,1))-AVERAGE(OFFSET($H$3,0,0,'Données projet'!$E$17+1,1))</f>
        <v>385.41819366740276</v>
      </c>
      <c r="GF51" s="59">
        <f t="shared" si="50"/>
        <v>262.4625391252718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4.4284470260128161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4.4284470260128161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62.876776363420191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3.3000000000000003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12.100000000000001</v>
      </c>
      <c r="H52" s="67">
        <f t="shared" si="1"/>
        <v>208.26666666666665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9.3712500000000034</v>
      </c>
      <c r="N52" s="13">
        <f>IF('Données projet'!$A$36&gt;35,N51+M52-V51,IF(A52&lt;'Données projet'!$A$36,$K$205^A52,IF(A52='Données projet'!$A$36,'Données projet'!$B$36,N51+M52-V51)))</f>
        <v>185.64875000000012</v>
      </c>
      <c r="O52" s="13">
        <f>N52*VLOOKUP('Données projet'!$B$9,Paramètres!$A$1:$I$89,3,0)*VLOOKUP('Données projet'!$B$9,Paramètres!$A$1:$I$89,5,0)</f>
        <v>167.97498900000011</v>
      </c>
      <c r="P52" s="13">
        <f t="shared" si="33"/>
        <v>42.636172660412917</v>
      </c>
      <c r="Q52" s="20">
        <f t="shared" si="53"/>
        <v>366.81443989188602</v>
      </c>
      <c r="R52" s="59">
        <f t="shared" si="0"/>
        <v>634.48238390925212</v>
      </c>
      <c r="S52" s="59">
        <f ca="1">AVERAGE(OFFSET($R$3,0,0,'Données projet'!$E$9+1,1))-AVERAGE(OFFSET($H$3,0,0,'Données projet'!$E$9+1,1))</f>
        <v>612.09138396952153</v>
      </c>
      <c r="T52" s="59">
        <f t="shared" si="34"/>
        <v>282.284310393542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4.853641326701311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4.853641326701311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188.24783250000013</v>
      </c>
      <c r="AK52" s="13">
        <f t="shared" si="35"/>
        <v>47.152364864692288</v>
      </c>
      <c r="AL52" s="20">
        <f t="shared" si="4"/>
        <v>409.98867707683922</v>
      </c>
      <c r="AM52" s="59">
        <f t="shared" si="5"/>
        <v>677.65662109420532</v>
      </c>
      <c r="AN52" s="59">
        <f ca="1">AVERAGE(OFFSET($AM$3,0,0,'Données projet'!$E$10+1,1))-AVERAGE(OFFSET($H$3,0,0,'Données projet'!$E$10+1,1))</f>
        <v>676.7112666359476</v>
      </c>
      <c r="AO52" s="59">
        <f t="shared" si="36"/>
        <v>309.67876644201385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5.4394256247514683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5.4394256247514683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185.35171200000013</v>
      </c>
      <c r="BF52" s="13">
        <f t="shared" si="37"/>
        <v>46.510805632713499</v>
      </c>
      <c r="BG52" s="20">
        <f t="shared" si="7"/>
        <v>403.82721821030958</v>
      </c>
      <c r="BH52" s="59">
        <f t="shared" si="8"/>
        <v>671.49516222767556</v>
      </c>
      <c r="BI52" s="59">
        <f ca="1">AVERAGE(OFFSET($BH$3,0,0,'Données projet'!$E$11+1,1))-AVERAGE(OFFSET($H$3,0,0,'Données projet'!$E$11+1,1))</f>
        <v>667.4887768032404</v>
      </c>
      <c r="BJ52" s="59">
        <f t="shared" si="38"/>
        <v>305.76944302827178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5.3557421536014473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5.3557421536014473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176.66335050000012</v>
      </c>
      <c r="CA52" s="13">
        <f t="shared" si="39"/>
        <v>44.579036670703012</v>
      </c>
      <c r="CB52" s="20">
        <f t="shared" si="10"/>
        <v>385.33049098897459</v>
      </c>
      <c r="CC52" s="59">
        <f t="shared" si="11"/>
        <v>652.99843500634063</v>
      </c>
      <c r="CD52" s="59">
        <f ca="1">AVERAGE(OFFSET($CC$3,0,0,'Données projet'!$E$12+1,1))-AVERAGE(OFFSET($H$3,0,0,'Données projet'!$E$12+1,1))</f>
        <v>639.80378676828764</v>
      </c>
      <c r="CE52" s="59">
        <f t="shared" si="40"/>
        <v>294.03328334345281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5.1046917401513792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5.1046917401513792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211.7999999999999</v>
      </c>
      <c r="CU52" s="17">
        <f>CT52*VLOOKUP('Données projet'!$B$13,Paramètres!$A$1:$I$89,3,0)*VLOOKUP('Données projet'!$B$13,Paramètres!$A$1:$I$89,5,0)</f>
        <v>185.02847999999992</v>
      </c>
      <c r="CV52" s="13">
        <f t="shared" si="41"/>
        <v>46.439130018745807</v>
      </c>
      <c r="CW52" s="20">
        <f t="shared" si="13"/>
        <v>403.13942078264876</v>
      </c>
      <c r="CX52" s="59">
        <f t="shared" si="14"/>
        <v>670.80736480001474</v>
      </c>
      <c r="CY52" s="59">
        <f ca="1">AVERAGE(OFFSET($CX$3,0,0,'Données projet'!$E$13+1,1))-AVERAGE(OFFSET($H$3,0,0,'Données projet'!$E$13+1,1))</f>
        <v>340.64710509454375</v>
      </c>
      <c r="CZ52" s="59">
        <f t="shared" si="42"/>
        <v>329.6409514360613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3.120873121159768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3.120873121159768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9.3712500000000034</v>
      </c>
      <c r="DO52" s="12">
        <f>IF('Données projet'!$A$166&gt;35,DO51+DN52-DW51,IF(A52&lt;'Données projet'!$A$166,$DL$205^A52,IF(A52='Données projet'!$A$166,'Données projet'!$B$166,DO51+DN52-DW51)))</f>
        <v>185.64875000000012</v>
      </c>
      <c r="DP52" s="17">
        <f>DO52*VLOOKUP('Données projet'!$B$14,Paramètres!$A$1:$I$89,3,0)*VLOOKUP('Données projet'!$B$14,Paramètres!$A$1:$I$89,5,0)</f>
        <v>179.55947100000012</v>
      </c>
      <c r="DQ52" s="13">
        <f t="shared" si="43"/>
        <v>45.224162607337405</v>
      </c>
      <c r="DR52" s="20">
        <f t="shared" si="16"/>
        <v>391.49816186611287</v>
      </c>
      <c r="DS52" s="59">
        <f t="shared" si="17"/>
        <v>659.16610588347885</v>
      </c>
      <c r="DT52" s="59">
        <f ca="1">AVERAGE(OFFSET($DS$3,0,0,'Données projet'!$E$14+1,1))-AVERAGE(OFFSET($H$3,0,0,'Données projet'!$E$14+1,1))</f>
        <v>649.03508893149228</v>
      </c>
      <c r="DU52" s="59">
        <f t="shared" si="44"/>
        <v>297.94672581383213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5.1883752113014001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5.1883752113014001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9.3712500000000034</v>
      </c>
      <c r="EJ52" s="12">
        <f>IF('Données projet'!$A$192&gt;35,EJ51+EI52-ER51,IF(A52&lt;'Données projet'!$A$192,$EG$205^A52,IF(A52='Données projet'!$A$192,'Données projet'!$B$192,EJ51+EI52-ER51)))</f>
        <v>185.64875000000012</v>
      </c>
      <c r="EK52" s="17">
        <f>EJ52*VLOOKUP('Données projet'!$B$15,Paramètres!$A$1:$I$89,3,0)*VLOOKUP('Données projet'!$B$15,Paramètres!$A$1:$I$89,5,0)</f>
        <v>199.83231450000014</v>
      </c>
      <c r="EL52" s="13">
        <f t="shared" si="45"/>
        <v>49.707313728999587</v>
      </c>
      <c r="EM52" s="20">
        <f t="shared" si="19"/>
        <v>434.61485249884117</v>
      </c>
      <c r="EN52" s="59">
        <f t="shared" si="20"/>
        <v>702.28279651620721</v>
      </c>
      <c r="EO52" s="59">
        <f ca="1">AVERAGE(OFFSET($EN$3,0,0,'Données projet'!$E$15+1,1))-AVERAGE(OFFSET($H$3,0,0,'Données projet'!$E$15+1,1))</f>
        <v>713.57333631602273</v>
      </c>
      <c r="EP52" s="59">
        <f t="shared" si="46"/>
        <v>325.30302392555359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5.7741595093515592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5.7741595093515592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10.375</v>
      </c>
      <c r="FE52" s="12">
        <f>IF('Données projet'!$A$218&gt;35,FE51+FD52-FM51,IF(A52&lt;'Données projet'!$A$218,$FB$205^A52,IF(A52='Données projet'!$A$218,'Données projet'!$B$218,FE51+FD52-FM51)))</f>
        <v>238.87499999999991</v>
      </c>
      <c r="FF52" s="17">
        <f>FE52*VLOOKUP('Données projet'!$B$16,Paramètres!$A$1:$I$89,3,0)*VLOOKUP('Données projet'!$B$16,Paramètres!$A$1:$I$89,5,0)</f>
        <v>186.32249999999993</v>
      </c>
      <c r="FG52" s="13">
        <f t="shared" si="47"/>
        <v>46.725987276254116</v>
      </c>
      <c r="FH52" s="20">
        <f t="shared" si="22"/>
        <v>405.8927820061424</v>
      </c>
      <c r="FI52" s="59">
        <f t="shared" si="23"/>
        <v>673.56072602350844</v>
      </c>
      <c r="FJ52" s="59">
        <f ca="1">AVERAGE(OFFSET($FI$3,0,0,'Données projet'!$E$16+1,1))-AVERAGE(OFFSET($H$3,0,0,'Données projet'!$E$16+1,1))</f>
        <v>302.04287561738482</v>
      </c>
      <c r="FK52" s="59">
        <f t="shared" si="48"/>
        <v>296.09828774694802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20.586087417652063</v>
      </c>
      <c r="FR52" s="21">
        <f>EXP(-LN(2)/25)*FR51+(1-EXP(-LN(2)/25))/(LN(2)/25)*Calculateur!FM52*Calculateur!FO52*VLOOKUP('Données projet'!$B$16,Paramètres!$A$1:$I$89,3,0)*0.475*44/12</f>
        <v>12.512938984851791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33.099026402503853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8.9771428571428569</v>
      </c>
      <c r="FZ52" s="12">
        <f>IF('Données projet'!$A$244&gt;35,FZ51+FY52-GH51,IF(A52&lt;'Données projet'!$A$244,$FW$205^A52,IF(A52='Données projet'!$A$244,'Données projet'!$B$244,FZ51+FY52-GH51)))</f>
        <v>135.24857142857141</v>
      </c>
      <c r="GA52" s="17">
        <f>FZ52*VLOOKUP('Données projet'!$B$17,Paramètres!$A$1:$I$89,3,0)*VLOOKUP('Données projet'!$B$17,Paramètres!$A$1:$I$89,5,0)</f>
        <v>113.93339657142857</v>
      </c>
      <c r="GB52" s="13">
        <f t="shared" si="49"/>
        <v>30.255820014498838</v>
      </c>
      <c r="GC52" s="20">
        <f t="shared" si="25"/>
        <v>251.12955222049018</v>
      </c>
      <c r="GD52" s="59">
        <f t="shared" si="26"/>
        <v>518.79749623785619</v>
      </c>
      <c r="GE52" s="59">
        <f ca="1">AVERAGE(OFFSET($GD$3,0,0,'Données projet'!$E$17+1,1))-AVERAGE(OFFSET($H$3,0,0,'Données projet'!$E$17+1,1))</f>
        <v>385.41819366740276</v>
      </c>
      <c r="GF52" s="59">
        <f t="shared" si="50"/>
        <v>262.4625391252718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4.3416078809186809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4.3416078809186809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63.000348368372556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3.3000000000000003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12.100000000000001</v>
      </c>
      <c r="H53" s="67">
        <f t="shared" si="1"/>
        <v>208.26666666666665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195.02</v>
      </c>
      <c r="L53" s="12">
        <f>VLOOKUP(A53,'Données projet'!$A$35:$I$55,9,0)</f>
        <v>9.3712500000000034</v>
      </c>
      <c r="M53" s="12">
        <f t="array" ref="M53">INDEX(L:L,MIN(IF(ISNUMBER(L53:L249),ROW(L53:L249),"")))</f>
        <v>9.3712500000000034</v>
      </c>
      <c r="N53" s="13">
        <f>IF('Données projet'!$A$36&gt;35,N52+M53-V52,IF(A53&lt;'Données projet'!$A$36,$K$205^A53,IF(A53='Données projet'!$A$36,'Données projet'!$B$36,N52+M53-V52)))</f>
        <v>195.02000000000012</v>
      </c>
      <c r="O53" s="13">
        <f>N53*VLOOKUP('Données projet'!$B$9,Paramètres!$A$1:$I$89,3,0)*VLOOKUP('Données projet'!$B$9,Paramètres!$A$1:$I$89,5,0)</f>
        <v>176.45409600000011</v>
      </c>
      <c r="P53" s="13">
        <f t="shared" si="33"/>
        <v>44.532376676436577</v>
      </c>
      <c r="Q53" s="20">
        <f t="shared" si="53"/>
        <v>384.88477324479385</v>
      </c>
      <c r="R53" s="59">
        <f t="shared" si="0"/>
        <v>652.99795438757747</v>
      </c>
      <c r="S53" s="59">
        <f ca="1">AVERAGE(OFFSET($R$3,0,0,'Données projet'!$E$9+1,1))-AVERAGE(OFFSET($H$3,0,0,'Données projet'!$E$9+1,1))</f>
        <v>612.09138396952153</v>
      </c>
      <c r="T53" s="59">
        <f t="shared" si="34"/>
        <v>282.284310393542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9.3493382006381829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9.3493382006381829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197.75028000000015</v>
      </c>
      <c r="AK53" s="13">
        <f t="shared" si="35"/>
        <v>49.24942231714175</v>
      </c>
      <c r="AL53" s="20">
        <f t="shared" si="4"/>
        <v>430.19114820235546</v>
      </c>
      <c r="AM53" s="59">
        <f t="shared" si="5"/>
        <v>698.30432934513908</v>
      </c>
      <c r="AN53" s="59">
        <f ca="1">AVERAGE(OFFSET($AM$3,0,0,'Données projet'!$E$10+1,1))-AVERAGE(OFFSET($H$3,0,0,'Données projet'!$E$10+1,1))</f>
        <v>676.7112666359476</v>
      </c>
      <c r="AO53" s="59">
        <f t="shared" si="36"/>
        <v>309.67876644201385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10.477706604163481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10.477706604163481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194.70796800000014</v>
      </c>
      <c r="BF53" s="13">
        <f t="shared" si="37"/>
        <v>48.579330336647175</v>
      </c>
      <c r="BG53" s="20">
        <f t="shared" si="7"/>
        <v>423.72537793632745</v>
      </c>
      <c r="BH53" s="59">
        <f t="shared" si="8"/>
        <v>691.83855907911106</v>
      </c>
      <c r="BI53" s="59">
        <f ca="1">AVERAGE(OFFSET($BH$3,0,0,'Données projet'!$E$11+1,1))-AVERAGE(OFFSET($H$3,0,0,'Données projet'!$E$11+1,1))</f>
        <v>667.4887768032404</v>
      </c>
      <c r="BJ53" s="59">
        <f t="shared" si="38"/>
        <v>305.76944302827178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10.316511117945584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10.316511117945584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185.58103200000011</v>
      </c>
      <c r="CA53" s="13">
        <f t="shared" si="39"/>
        <v>46.561647751644131</v>
      </c>
      <c r="CB53" s="20">
        <f t="shared" si="10"/>
        <v>404.31516723411369</v>
      </c>
      <c r="CC53" s="59">
        <f t="shared" si="11"/>
        <v>672.42834837689725</v>
      </c>
      <c r="CD53" s="59">
        <f ca="1">AVERAGE(OFFSET($CC$3,0,0,'Données projet'!$E$12+1,1))-AVERAGE(OFFSET($H$3,0,0,'Données projet'!$E$12+1,1))</f>
        <v>639.80378676828764</v>
      </c>
      <c r="CE53" s="59">
        <f t="shared" si="40"/>
        <v>294.03328334345281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9.8329246592918835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9.8329246592918835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218.99999999999989</v>
      </c>
      <c r="CU53" s="17">
        <f>CT53*VLOOKUP('Données projet'!$B$13,Paramètres!$A$1:$I$89,3,0)*VLOOKUP('Données projet'!$B$13,Paramètres!$A$1:$I$89,5,0)</f>
        <v>191.31839999999991</v>
      </c>
      <c r="CV53" s="13">
        <f t="shared" si="41"/>
        <v>47.831314962098354</v>
      </c>
      <c r="CW53" s="20">
        <f t="shared" si="13"/>
        <v>416.51908689232118</v>
      </c>
      <c r="CX53" s="59">
        <f t="shared" si="14"/>
        <v>684.63226803510474</v>
      </c>
      <c r="CY53" s="59">
        <f ca="1">AVERAGE(OFFSET($CX$3,0,0,'Données projet'!$E$13+1,1))-AVERAGE(OFFSET($H$3,0,0,'Données projet'!$E$13+1,1))</f>
        <v>340.64710509454375</v>
      </c>
      <c r="CZ53" s="59">
        <f t="shared" si="42"/>
        <v>329.6409514360613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0.159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5.6700670131811091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5.6700670131811091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195.02</v>
      </c>
      <c r="DM53" s="12">
        <f>VLOOKUP(A53,'Données projet'!$A$165:$I$185,9,0)</f>
        <v>9.3712500000000034</v>
      </c>
      <c r="DN53" s="12">
        <f t="array" ref="DN53">INDEX(DM:DM,MIN(IF(ISNUMBER(DM53:DM249),ROW(DM53:DM249),"")))</f>
        <v>9.3712500000000034</v>
      </c>
      <c r="DO53" s="12">
        <f>IF('Données projet'!$A$166&gt;35,DO52+DN53-DW52,IF(A53&lt;'Données projet'!$A$166,$DL$205^A53,IF(A53='Données projet'!$A$166,'Données projet'!$B$166,DO52+DN53-DW52)))</f>
        <v>195.02000000000012</v>
      </c>
      <c r="DP53" s="17">
        <f>DO53*VLOOKUP('Données projet'!$B$14,Paramètres!$A$1:$I$89,3,0)*VLOOKUP('Données projet'!$B$14,Paramètres!$A$1:$I$89,5,0)</f>
        <v>188.62334400000012</v>
      </c>
      <c r="DQ53" s="13">
        <f t="shared" si="43"/>
        <v>47.235465062657511</v>
      </c>
      <c r="DR53" s="20">
        <f t="shared" si="16"/>
        <v>410.78742578412863</v>
      </c>
      <c r="DS53" s="59">
        <f t="shared" si="17"/>
        <v>678.90060692691225</v>
      </c>
      <c r="DT53" s="59">
        <f ca="1">AVERAGE(OFFSET($DS$3,0,0,'Données projet'!$E$14+1,1))-AVERAGE(OFFSET($H$3,0,0,'Données projet'!$E$14+1,1))</f>
        <v>649.03508893149228</v>
      </c>
      <c r="DU53" s="59">
        <f t="shared" si="44"/>
        <v>297.94672581383213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35.58</v>
      </c>
      <c r="DX53" s="16">
        <f>IF(ISNA(VLOOKUP(A53,'Données projet'!$A$165:$I$185,5,0)),0%,VLOOKUP(A53,'Données projet'!$A$165:$I$185,5,0)*VLOOKUP('Données projet'!$B$14,Paramètres!$A$1:$I$89,7,0))</f>
        <v>0.129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9.9941201455097826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9.9941201455097826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195.02</v>
      </c>
      <c r="EH53" s="12">
        <f>VLOOKUP(A53,'Données projet'!$A$191:$I$211,9,0)</f>
        <v>9.3712500000000034</v>
      </c>
      <c r="EI53" s="12">
        <f t="array" ref="EI53">INDEX(EH:EH,MIN(IF(ISNUMBER(EH53:EH249),ROW(EH53:EH249),"")))</f>
        <v>9.3712500000000034</v>
      </c>
      <c r="EJ53" s="12">
        <f>IF('Données projet'!$A$192&gt;35,EJ52+EI53-ER52,IF(A53&lt;'Données projet'!$A$192,$EG$205^A53,IF(A53='Données projet'!$A$192,'Données projet'!$B$192,EJ52+EI53-ER52)))</f>
        <v>195.02000000000012</v>
      </c>
      <c r="EK53" s="17">
        <f>EJ53*VLOOKUP('Données projet'!$B$15,Paramètres!$A$1:$I$89,3,0)*VLOOKUP('Données projet'!$B$15,Paramètres!$A$1:$I$89,5,0)</f>
        <v>209.91952800000013</v>
      </c>
      <c r="EL53" s="13">
        <f t="shared" si="45"/>
        <v>51.918000149410624</v>
      </c>
      <c r="EM53" s="20">
        <f t="shared" si="19"/>
        <v>456.03369486022365</v>
      </c>
      <c r="EN53" s="59">
        <f t="shared" si="20"/>
        <v>724.14687600300726</v>
      </c>
      <c r="EO53" s="59">
        <f ca="1">AVERAGE(OFFSET($EN$3,0,0,'Données projet'!$E$15+1,1))-AVERAGE(OFFSET($H$3,0,0,'Données projet'!$E$15+1,1))</f>
        <v>713.57333631602273</v>
      </c>
      <c r="EP53" s="59">
        <f t="shared" si="46"/>
        <v>325.30302392555359</v>
      </c>
      <c r="EQ53" s="15">
        <f>IF(ISNA(VLOOKUP(A53,'Données projet'!$A$191:$I$211,3,0)),0,VLOOKUP(A53,'Données projet'!$A$191:$I$211,3,0))</f>
        <v>2</v>
      </c>
      <c r="ER53" s="15">
        <f>IF(ISNA(VLOOKUP(A53,'Données projet'!$A$191:$I$211,4,0)),0,VLOOKUP(A53,'Données projet'!$A$191:$I$211,4,0))</f>
        <v>35.58</v>
      </c>
      <c r="ES53" s="16">
        <f>IF(ISNA(VLOOKUP(A53,'Données projet'!$A$191:$I$211,5,0)),0%,VLOOKUP(A53,'Données projet'!$A$191:$I$211,5,0)*VLOOKUP('Données projet'!$B$15,Paramètres!$A$1:$I$89,7,0))</f>
        <v>0.129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11.122488549035081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11.122488549035081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10.375</v>
      </c>
      <c r="FE53" s="12">
        <f>IF('Données projet'!$A$218&gt;35,FE52+FD53-FM52,IF(A53&lt;'Données projet'!$A$218,$FB$205^A53,IF(A53='Données projet'!$A$218,'Données projet'!$B$218,FE52+FD53-FM52)))</f>
        <v>249.24999999999991</v>
      </c>
      <c r="FF53" s="17">
        <f>FE53*VLOOKUP('Données projet'!$B$16,Paramètres!$A$1:$I$89,3,0)*VLOOKUP('Données projet'!$B$16,Paramètres!$A$1:$I$89,5,0)</f>
        <v>194.41499999999994</v>
      </c>
      <c r="FG53" s="13">
        <f t="shared" si="47"/>
        <v>48.514737888684927</v>
      </c>
      <c r="FH53" s="20">
        <f t="shared" si="22"/>
        <v>423.10262682279273</v>
      </c>
      <c r="FI53" s="59">
        <f t="shared" si="23"/>
        <v>691.21580796557635</v>
      </c>
      <c r="FJ53" s="59">
        <f ca="1">AVERAGE(OFFSET($FI$3,0,0,'Données projet'!$E$16+1,1))-AVERAGE(OFFSET($H$3,0,0,'Données projet'!$E$16+1,1))</f>
        <v>302.04287561738482</v>
      </c>
      <c r="FK53" s="59">
        <f t="shared" si="48"/>
        <v>296.09828774694802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20.182406799665401</v>
      </c>
      <c r="FR53" s="21">
        <f>EXP(-LN(2)/25)*FR52+(1-EXP(-LN(2)/25))/(LN(2)/25)*Calculateur!FM53*Calculateur!FO53*VLOOKUP('Données projet'!$B$16,Paramètres!$A$1:$I$89,3,0)*0.475*44/12</f>
        <v>12.170772010284157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32.353178809949554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8.9771428571428569</v>
      </c>
      <c r="FZ53" s="12">
        <f>IF('Données projet'!$A$244&gt;35,FZ52+FY53-GH52,IF(A53&lt;'Données projet'!$A$244,$FW$205^A53,IF(A53='Données projet'!$A$244,'Données projet'!$B$244,FZ52+FY53-GH52)))</f>
        <v>144.22571428571428</v>
      </c>
      <c r="GA53" s="17">
        <f>FZ53*VLOOKUP('Données projet'!$B$17,Paramètres!$A$1:$I$89,3,0)*VLOOKUP('Données projet'!$B$17,Paramètres!$A$1:$I$89,5,0)</f>
        <v>121.49574171428571</v>
      </c>
      <c r="GB53" s="13">
        <f t="shared" si="49"/>
        <v>32.02360457917726</v>
      </c>
      <c r="GC53" s="20">
        <f t="shared" si="25"/>
        <v>267.37952812778133</v>
      </c>
      <c r="GD53" s="59">
        <f t="shared" si="26"/>
        <v>535.492709270565</v>
      </c>
      <c r="GE53" s="59">
        <f ca="1">AVERAGE(OFFSET($GD$3,0,0,'Données projet'!$E$17+1,1))-AVERAGE(OFFSET($H$3,0,0,'Données projet'!$E$17+1,1))</f>
        <v>385.41819366740276</v>
      </c>
      <c r="GF53" s="59">
        <f t="shared" si="50"/>
        <v>262.4625391252718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4.2564715984931931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4.2564715984931931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63.121776675304616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3.3000000000000003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12.100000000000001</v>
      </c>
      <c r="H54" s="67">
        <f t="shared" si="1"/>
        <v>208.26666666666665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9.5537500000000009</v>
      </c>
      <c r="N54" s="13">
        <f>IF('Données projet'!$A$36&gt;35,N53+M54-V53,IF(A54&lt;'Données projet'!$A$36,$K$205^A54,IF(A54='Données projet'!$A$36,'Données projet'!$B$36,N53+M54-V53)))</f>
        <v>168.99375000000015</v>
      </c>
      <c r="O54" s="13">
        <f>N54*VLOOKUP('Données projet'!$B$9,Paramètres!$A$1:$I$89,3,0)*VLOOKUP('Données projet'!$B$9,Paramètres!$A$1:$I$89,5,0)</f>
        <v>152.90554500000013</v>
      </c>
      <c r="P54" s="13">
        <f t="shared" si="33"/>
        <v>39.238142074568863</v>
      </c>
      <c r="Q54" s="20">
        <f t="shared" si="53"/>
        <v>334.65025498820768</v>
      </c>
      <c r="R54" s="59">
        <f t="shared" si="0"/>
        <v>603.20094938768398</v>
      </c>
      <c r="S54" s="59">
        <f ca="1">AVERAGE(OFFSET($R$3,0,0,'Données projet'!$E$9+1,1))-AVERAGE(OFFSET($H$3,0,0,'Données projet'!$E$9+1,1))</f>
        <v>612.09138396952153</v>
      </c>
      <c r="T54" s="59">
        <f t="shared" si="34"/>
        <v>282.284310393542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9.1660033810568926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9.1660033810568926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171.35966250000016</v>
      </c>
      <c r="AK54" s="13">
        <f t="shared" si="35"/>
        <v>43.39440142643388</v>
      </c>
      <c r="AL54" s="20">
        <f t="shared" si="4"/>
        <v>374.0299946718726</v>
      </c>
      <c r="AM54" s="59">
        <f t="shared" si="5"/>
        <v>642.58068907134884</v>
      </c>
      <c r="AN54" s="59">
        <f ca="1">AVERAGE(OFFSET($AM$3,0,0,'Données projet'!$E$10+1,1))-AVERAGE(OFFSET($H$3,0,0,'Données projet'!$E$10+1,1))</f>
        <v>676.7112666359476</v>
      </c>
      <c r="AO54" s="59">
        <f t="shared" si="36"/>
        <v>309.67876644201385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10.272245168425828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10.272245168425828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168.72336000000016</v>
      </c>
      <c r="BF54" s="13">
        <f t="shared" si="37"/>
        <v>42.80397337619268</v>
      </c>
      <c r="BG54" s="20">
        <f t="shared" si="7"/>
        <v>368.41010563020251</v>
      </c>
      <c r="BH54" s="59">
        <f t="shared" si="8"/>
        <v>636.96080002967869</v>
      </c>
      <c r="BI54" s="59">
        <f ca="1">AVERAGE(OFFSET($BH$3,0,0,'Données projet'!$E$11+1,1))-AVERAGE(OFFSET($H$3,0,0,'Données projet'!$E$11+1,1))</f>
        <v>667.4887768032404</v>
      </c>
      <c r="BJ54" s="59">
        <f t="shared" si="38"/>
        <v>305.76944302827178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10.114210627373126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10.114210627373126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160.81445250000016</v>
      </c>
      <c r="CA54" s="13">
        <f t="shared" si="39"/>
        <v>41.026163121263572</v>
      </c>
      <c r="CB54" s="20">
        <f t="shared" si="10"/>
        <v>351.53907220703439</v>
      </c>
      <c r="CC54" s="59">
        <f t="shared" si="11"/>
        <v>620.08976660651069</v>
      </c>
      <c r="CD54" s="59">
        <f ca="1">AVERAGE(OFFSET($CC$3,0,0,'Données projet'!$E$12+1,1))-AVERAGE(OFFSET($H$3,0,0,'Données projet'!$E$12+1,1))</f>
        <v>639.80378676828764</v>
      </c>
      <c r="CE54" s="59">
        <f t="shared" si="40"/>
        <v>294.03328334345281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9.6401070042150092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9.6401070042150092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</v>
      </c>
      <c r="CT54" s="12">
        <f>IF('Données projet'!$A$140&gt;35,CT53+CS54-DB53,IF(A54&lt;'Données projet'!$A$140,$CQ$205^A54,IF(A54='Données projet'!$A$140,'Données projet'!$B$140,CT53+CS54-DB53)))</f>
        <v>207.99999999999989</v>
      </c>
      <c r="CU54" s="17">
        <f>CT54*VLOOKUP('Données projet'!$B$13,Paramètres!$A$1:$I$89,3,0)*VLOOKUP('Données projet'!$B$13,Paramètres!$A$1:$I$89,5,0)</f>
        <v>181.70879999999991</v>
      </c>
      <c r="CV54" s="13">
        <f t="shared" si="41"/>
        <v>45.702153370067769</v>
      </c>
      <c r="CW54" s="20">
        <f t="shared" si="13"/>
        <v>396.07407711953448</v>
      </c>
      <c r="CX54" s="59">
        <f t="shared" si="14"/>
        <v>664.62477151901066</v>
      </c>
      <c r="CY54" s="59">
        <f ca="1">AVERAGE(OFFSET($CX$3,0,0,'Données projet'!$E$13+1,1))-AVERAGE(OFFSET($H$3,0,0,'Données projet'!$E$13+1,1))</f>
        <v>340.64710509454375</v>
      </c>
      <c r="CZ54" s="59">
        <f t="shared" si="42"/>
        <v>329.6409514360613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5.558880457452017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5.558880457452017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9.5537500000000009</v>
      </c>
      <c r="DO54" s="12">
        <f>IF('Données projet'!$A$166&gt;35,DO53+DN54-DW53,IF(A54&lt;'Données projet'!$A$166,$DL$205^A54,IF(A54='Données projet'!$A$166,'Données projet'!$B$166,DO53+DN54-DW53)))</f>
        <v>168.99375000000015</v>
      </c>
      <c r="DP54" s="17">
        <f>DO54*VLOOKUP('Données projet'!$B$14,Paramètres!$A$1:$I$89,3,0)*VLOOKUP('Données projet'!$B$14,Paramètres!$A$1:$I$89,5,0)</f>
        <v>163.45075500000016</v>
      </c>
      <c r="DQ54" s="13">
        <f t="shared" si="43"/>
        <v>41.619873615853834</v>
      </c>
      <c r="DR54" s="20">
        <f t="shared" si="16"/>
        <v>357.16467817261235</v>
      </c>
      <c r="DS54" s="59">
        <f t="shared" si="17"/>
        <v>625.71537257208865</v>
      </c>
      <c r="DT54" s="59">
        <f ca="1">AVERAGE(OFFSET($DS$3,0,0,'Données projet'!$E$14+1,1))-AVERAGE(OFFSET($H$3,0,0,'Données projet'!$E$14+1,1))</f>
        <v>649.03508893149228</v>
      </c>
      <c r="DU54" s="59">
        <f t="shared" si="44"/>
        <v>297.94672581383213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9.798141545267713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9.798141545267713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9.5537500000000009</v>
      </c>
      <c r="EJ54" s="12">
        <f>IF('Données projet'!$A$192&gt;35,EJ53+EI54-ER53,IF(A54&lt;'Données projet'!$A$192,$EG$205^A54,IF(A54='Données projet'!$A$192,'Données projet'!$B$192,EJ53+EI54-ER53)))</f>
        <v>168.99375000000015</v>
      </c>
      <c r="EK54" s="17">
        <f>EJ54*VLOOKUP('Données projet'!$B$15,Paramètres!$A$1:$I$89,3,0)*VLOOKUP('Données projet'!$B$15,Paramètres!$A$1:$I$89,5,0)</f>
        <v>181.90487250000015</v>
      </c>
      <c r="EL54" s="13">
        <f t="shared" si="45"/>
        <v>45.745725203298825</v>
      </c>
      <c r="EM54" s="20">
        <f t="shared" si="19"/>
        <v>396.49145766657904</v>
      </c>
      <c r="EN54" s="59">
        <f t="shared" si="20"/>
        <v>665.04215206605522</v>
      </c>
      <c r="EO54" s="59">
        <f ca="1">AVERAGE(OFFSET($EN$3,0,0,'Données projet'!$E$15+1,1))-AVERAGE(OFFSET($H$3,0,0,'Données projet'!$E$15+1,1))</f>
        <v>713.57333631602273</v>
      </c>
      <c r="EP54" s="59">
        <f t="shared" si="46"/>
        <v>325.30302392555359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10.904383332636648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10.904383332636648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10.375</v>
      </c>
      <c r="FE54" s="12">
        <f>IF('Données projet'!$A$218&gt;35,FE53+FD54-FM53,IF(A54&lt;'Données projet'!$A$218,$FB$205^A54,IF(A54='Données projet'!$A$218,'Données projet'!$B$218,FE53+FD54-FM53)))</f>
        <v>259.62499999999989</v>
      </c>
      <c r="FF54" s="17">
        <f>FE54*VLOOKUP('Données projet'!$B$16,Paramètres!$A$1:$I$89,3,0)*VLOOKUP('Données projet'!$B$16,Paramètres!$A$1:$I$89,5,0)</f>
        <v>202.50749999999991</v>
      </c>
      <c r="FG54" s="13">
        <f t="shared" si="47"/>
        <v>50.294840086606349</v>
      </c>
      <c r="FH54" s="20">
        <f t="shared" si="22"/>
        <v>440.29740898417253</v>
      </c>
      <c r="FI54" s="59">
        <f t="shared" si="23"/>
        <v>708.84810338364878</v>
      </c>
      <c r="FJ54" s="59">
        <f ca="1">AVERAGE(OFFSET($FI$3,0,0,'Données projet'!$E$16+1,1))-AVERAGE(OFFSET($H$3,0,0,'Données projet'!$E$16+1,1))</f>
        <v>302.04287561738482</v>
      </c>
      <c r="FK54" s="59">
        <f t="shared" si="48"/>
        <v>296.09828774694802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19.786642112376594</v>
      </c>
      <c r="FR54" s="21">
        <f>EXP(-LN(2)/25)*FR53+(1-EXP(-LN(2)/25))/(LN(2)/25)*Calculateur!FM54*Calculateur!FO54*VLOOKUP('Données projet'!$B$16,Paramètres!$A$1:$I$89,3,0)*0.475*44/12</f>
        <v>11.837961609629854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31.624603722006448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8.9771428571428569</v>
      </c>
      <c r="FZ54" s="12">
        <f>IF('Données projet'!$A$244&gt;35,FZ53+FY54-GH53,IF(A54&lt;'Données projet'!$A$244,$FW$205^A54,IF(A54='Données projet'!$A$244,'Données projet'!$B$244,FZ53+FY54-GH53)))</f>
        <v>153.20285714285714</v>
      </c>
      <c r="GA54" s="17">
        <f>FZ54*VLOOKUP('Données projet'!$B$17,Paramètres!$A$1:$I$89,3,0)*VLOOKUP('Données projet'!$B$17,Paramètres!$A$1:$I$89,5,0)</f>
        <v>129.05808685714285</v>
      </c>
      <c r="GB54" s="13">
        <f t="shared" si="49"/>
        <v>33.778618832279214</v>
      </c>
      <c r="GC54" s="20">
        <f t="shared" si="25"/>
        <v>283.60726240907678</v>
      </c>
      <c r="GD54" s="59">
        <f t="shared" si="26"/>
        <v>552.15795680855308</v>
      </c>
      <c r="GE54" s="59">
        <f ca="1">AVERAGE(OFFSET($GD$3,0,0,'Données projet'!$E$17+1,1))-AVERAGE(OFFSET($H$3,0,0,'Données projet'!$E$17+1,1))</f>
        <v>385.41819366740276</v>
      </c>
      <c r="GF54" s="59">
        <f t="shared" si="50"/>
        <v>262.4625391252718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4.1730047866380637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4.1730047866380637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63.241098472584426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3.3000000000000003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12.100000000000001</v>
      </c>
      <c r="H55" s="67">
        <f t="shared" si="1"/>
        <v>208.26666666666665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9.5537500000000009</v>
      </c>
      <c r="N55" s="13">
        <f>IF('Données projet'!$A$36&gt;35,N54+M55-V54,IF(A55&lt;'Données projet'!$A$36,$K$205^A55,IF(A55='Données projet'!$A$36,'Données projet'!$B$36,N54+M55-V54)))</f>
        <v>178.54750000000016</v>
      </c>
      <c r="O55" s="13">
        <f>N55*VLOOKUP('Données projet'!$B$9,Paramètres!$A$1:$I$89,3,0)*VLOOKUP('Données projet'!$B$9,Paramètres!$A$1:$I$89,5,0)</f>
        <v>161.54977800000012</v>
      </c>
      <c r="P55" s="13">
        <f t="shared" si="33"/>
        <v>41.191875810979205</v>
      </c>
      <c r="Q55" s="20">
        <f t="shared" si="53"/>
        <v>353.10838038745561</v>
      </c>
      <c r="R55" s="59">
        <f t="shared" si="0"/>
        <v>622.08899816675398</v>
      </c>
      <c r="S55" s="59">
        <f ca="1">AVERAGE(OFFSET($R$3,0,0,'Données projet'!$E$9+1,1))-AVERAGE(OFFSET($H$3,0,0,'Données projet'!$E$9+1,1))</f>
        <v>612.09138396952153</v>
      </c>
      <c r="T55" s="59">
        <f t="shared" si="34"/>
        <v>282.284310393542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8.9862636454643923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8.9862636454643923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181.04716500000015</v>
      </c>
      <c r="AK55" s="13">
        <f t="shared" si="35"/>
        <v>45.55508237501288</v>
      </c>
      <c r="AL55" s="20">
        <f t="shared" si="4"/>
        <v>394.66558084481431</v>
      </c>
      <c r="AM55" s="59">
        <f t="shared" si="5"/>
        <v>663.64619862411269</v>
      </c>
      <c r="AN55" s="59">
        <f ca="1">AVERAGE(OFFSET($AM$3,0,0,'Données projet'!$E$10+1,1))-AVERAGE(OFFSET($H$3,0,0,'Données projet'!$E$10+1,1))</f>
        <v>676.7112666359476</v>
      </c>
      <c r="AO55" s="59">
        <f t="shared" si="36"/>
        <v>309.67876644201385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10.070812706123888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10.070812706123888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178.26182400000019</v>
      </c>
      <c r="BF55" s="13">
        <f t="shared" si="37"/>
        <v>44.935255909360329</v>
      </c>
      <c r="BG55" s="20">
        <f t="shared" si="7"/>
        <v>388.73491417546956</v>
      </c>
      <c r="BH55" s="59">
        <f t="shared" si="8"/>
        <v>657.71553195476793</v>
      </c>
      <c r="BI55" s="59">
        <f ca="1">AVERAGE(OFFSET($BH$3,0,0,'Données projet'!$E$11+1,1))-AVERAGE(OFFSET($H$3,0,0,'Données projet'!$E$11+1,1))</f>
        <v>667.4887768032404</v>
      </c>
      <c r="BJ55" s="59">
        <f t="shared" si="38"/>
        <v>305.76944302827178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9.9158771260296774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9.9158771260296774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169.90580100000014</v>
      </c>
      <c r="CA55" s="13">
        <f t="shared" si="39"/>
        <v>43.068925462384662</v>
      </c>
      <c r="CB55" s="20">
        <f t="shared" si="10"/>
        <v>370.93098192198687</v>
      </c>
      <c r="CC55" s="59">
        <f t="shared" si="11"/>
        <v>639.91159970128524</v>
      </c>
      <c r="CD55" s="59">
        <f ca="1">AVERAGE(OFFSET($CC$3,0,0,'Données projet'!$E$12+1,1))-AVERAGE(OFFSET($H$3,0,0,'Données projet'!$E$12+1,1))</f>
        <v>639.80378676828764</v>
      </c>
      <c r="CE55" s="59">
        <f t="shared" si="40"/>
        <v>294.03328334345281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9.4510703857470357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9.4510703857470357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</v>
      </c>
      <c r="CT55" s="12">
        <f>IF('Données projet'!$A$140&gt;35,CT54+CS55-DB54,IF(A55&lt;'Données projet'!$A$140,$CQ$205^A55,IF(A55='Données projet'!$A$140,'Données projet'!$B$140,CT54+CS55-DB54)))</f>
        <v>213.99999999999989</v>
      </c>
      <c r="CU55" s="17">
        <f>CT55*VLOOKUP('Données projet'!$B$13,Paramètres!$A$1:$I$89,3,0)*VLOOKUP('Données projet'!$B$13,Paramètres!$A$1:$I$89,5,0)</f>
        <v>186.95039999999992</v>
      </c>
      <c r="CV55" s="13">
        <f t="shared" si="41"/>
        <v>46.86509597661761</v>
      </c>
      <c r="CW55" s="20">
        <f t="shared" si="13"/>
        <v>407.22865549260882</v>
      </c>
      <c r="CX55" s="59">
        <f t="shared" si="14"/>
        <v>676.20927327190725</v>
      </c>
      <c r="CY55" s="59">
        <f ca="1">AVERAGE(OFFSET($CX$3,0,0,'Données projet'!$E$13+1,1))-AVERAGE(OFFSET($H$3,0,0,'Données projet'!$E$13+1,1))</f>
        <v>340.64710509454375</v>
      </c>
      <c r="CZ55" s="59">
        <f t="shared" si="42"/>
        <v>329.6409514360613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5.4498742022636701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5.4498742022636701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9.5537500000000009</v>
      </c>
      <c r="DO55" s="12">
        <f>IF('Données projet'!$A$166&gt;35,DO54+DN55-DW54,IF(A55&lt;'Données projet'!$A$166,$DL$205^A55,IF(A55='Données projet'!$A$166,'Données projet'!$B$166,DO54+DN55-DW54)))</f>
        <v>178.54750000000016</v>
      </c>
      <c r="DP55" s="17">
        <f>DO55*VLOOKUP('Données projet'!$B$14,Paramètres!$A$1:$I$89,3,0)*VLOOKUP('Données projet'!$B$14,Paramètres!$A$1:$I$89,5,0)</f>
        <v>172.69114200000016</v>
      </c>
      <c r="DQ55" s="13">
        <f t="shared" si="43"/>
        <v>43.69219781086543</v>
      </c>
      <c r="DR55" s="20">
        <f t="shared" si="16"/>
        <v>376.86765017059088</v>
      </c>
      <c r="DS55" s="59">
        <f t="shared" si="17"/>
        <v>645.8482679498893</v>
      </c>
      <c r="DT55" s="59">
        <f ca="1">AVERAGE(OFFSET($DS$3,0,0,'Données projet'!$E$14+1,1))-AVERAGE(OFFSET($H$3,0,0,'Données projet'!$E$14+1,1))</f>
        <v>649.03508893149228</v>
      </c>
      <c r="DU55" s="59">
        <f t="shared" si="44"/>
        <v>297.94672581383213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9.6060059658412467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9.6060059658412467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9.5537500000000009</v>
      </c>
      <c r="EJ55" s="12">
        <f>IF('Données projet'!$A$192&gt;35,EJ54+EI55-ER54,IF(A55&lt;'Données projet'!$A$192,$EG$205^A55,IF(A55='Données projet'!$A$192,'Données projet'!$B$192,EJ54+EI55-ER54)))</f>
        <v>178.54750000000016</v>
      </c>
      <c r="EK55" s="17">
        <f>EJ55*VLOOKUP('Données projet'!$B$15,Paramètres!$A$1:$I$89,3,0)*VLOOKUP('Données projet'!$B$15,Paramètres!$A$1:$I$89,5,0)</f>
        <v>192.18852900000016</v>
      </c>
      <c r="EL55" s="13">
        <f t="shared" si="45"/>
        <v>48.023482556243664</v>
      </c>
      <c r="EM55" s="20">
        <f t="shared" si="19"/>
        <v>418.36925346045797</v>
      </c>
      <c r="EN55" s="59">
        <f t="shared" si="20"/>
        <v>687.34987123975634</v>
      </c>
      <c r="EO55" s="59">
        <f ca="1">AVERAGE(OFFSET($EN$3,0,0,'Données projet'!$E$15+1,1))-AVERAGE(OFFSET($H$3,0,0,'Données projet'!$E$15+1,1))</f>
        <v>713.57333631602273</v>
      </c>
      <c r="EP55" s="59">
        <f t="shared" si="46"/>
        <v>325.30302392555359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10.690555026500743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10.690555026500743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>
        <f>VLOOKUP(A55,'Données projet'!$A$217:$I$237,2,0)</f>
        <v>270</v>
      </c>
      <c r="FC55" s="12">
        <f>VLOOKUP(A55,'Données projet'!$A$217:$I$237,9,0)</f>
        <v>10.375</v>
      </c>
      <c r="FD55" s="12">
        <f t="array" ref="FD55">INDEX(FC:FC,MIN(IF(ISNUMBER(FC55:FC251),ROW(FC55:FC251),"")))</f>
        <v>10.375</v>
      </c>
      <c r="FE55" s="12">
        <f>IF('Données projet'!$A$218&gt;35,FE54+FD55-FM54,IF(A55&lt;'Données projet'!$A$218,$FB$205^A55,IF(A55='Données projet'!$A$218,'Données projet'!$B$218,FE54+FD55-FM54)))</f>
        <v>269.99999999999989</v>
      </c>
      <c r="FF55" s="17">
        <f>FE55*VLOOKUP('Données projet'!$B$16,Paramètres!$A$1:$I$89,3,0)*VLOOKUP('Données projet'!$B$16,Paramètres!$A$1:$I$89,5,0)</f>
        <v>210.59999999999991</v>
      </c>
      <c r="FG55" s="13">
        <f t="shared" si="47"/>
        <v>52.066679014659961</v>
      </c>
      <c r="FH55" s="20">
        <f t="shared" si="22"/>
        <v>457.47779928386586</v>
      </c>
      <c r="FI55" s="59">
        <f t="shared" si="23"/>
        <v>726.45841706316423</v>
      </c>
      <c r="FJ55" s="59">
        <f ca="1">AVERAGE(OFFSET($FI$3,0,0,'Données projet'!$E$16+1,1))-AVERAGE(OFFSET($H$3,0,0,'Données projet'!$E$16+1,1))</f>
        <v>302.04287561738482</v>
      </c>
      <c r="FK55" s="59">
        <f t="shared" si="48"/>
        <v>296.09828774694802</v>
      </c>
      <c r="FL55" s="15">
        <f>IF(ISNA(VLOOKUP(A55,'Données projet'!$A$217:$I$237,3,0)),0,VLOOKUP(A55,'Données projet'!$A$217:$I$237,3,0))</f>
        <v>7</v>
      </c>
      <c r="FM55" s="15">
        <f>IF(ISNA(VLOOKUP(A55,'Données projet'!$A$217:$I$237,4,0)),0,VLOOKUP(A55,'Données projet'!$A$217:$I$237,4,0))</f>
        <v>48</v>
      </c>
      <c r="FN55" s="16">
        <f>IF(ISNA(VLOOKUP(A55,'Données projet'!$A$217:$I$237,5,0)),0%,VLOOKUP(A55,'Données projet'!$A$217:$I$237,5,0)*VLOOKUP('Données projet'!$B$16,Paramètres!$A$1:$I$89,7,0))</f>
        <v>0.25800000000000001</v>
      </c>
      <c r="FO55" s="16">
        <f>IF(ISNA(VLOOKUP(A55,'Données projet'!$A$217:$I$237,6,0)),0%,VLOOKUP(A55,'Données projet'!$A$217:$I$237,6,0)*VLOOKUP('Données projet'!$B$16,Paramètres!$A$1:$I$89,7,0))</f>
        <v>0.129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30.076951369719019</v>
      </c>
      <c r="FR55" s="21">
        <f>EXP(-LN(2)/25)*FR54+(1-EXP(-LN(2)/25))/(LN(2)/25)*Calculateur!FM55*Calculateur!FO55*VLOOKUP('Données projet'!$B$16,Paramètres!$A$1:$I$89,3,0)*0.475*44/12</f>
        <v>16.832386253144143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46.909337622863163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>
        <f>VLOOKUP(A55,'Données projet'!$A$243:$I$263,2,0)</f>
        <v>162.18</v>
      </c>
      <c r="FX55" s="12">
        <f>VLOOKUP(A55,'Données projet'!$A$243:$I$263,9,0)</f>
        <v>8.9771428571428569</v>
      </c>
      <c r="FY55" s="12">
        <f t="array" ref="FY55">INDEX(FX:FX,MIN(IF(ISNUMBER(FX55:FX251),ROW(FX55:FX251),"")))</f>
        <v>8.9771428571428569</v>
      </c>
      <c r="FZ55" s="12">
        <f>IF('Données projet'!$A$244&gt;35,FZ54+FY55-GH54,IF(A55&lt;'Données projet'!$A$244,$FW$205^A55,IF(A55='Données projet'!$A$244,'Données projet'!$B$244,FZ54+FY55-GH54)))</f>
        <v>162.18</v>
      </c>
      <c r="GA55" s="17">
        <f>FZ55*VLOOKUP('Données projet'!$B$17,Paramètres!$A$1:$I$89,3,0)*VLOOKUP('Données projet'!$B$17,Paramètres!$A$1:$I$89,5,0)</f>
        <v>136.62043200000002</v>
      </c>
      <c r="GB55" s="13">
        <f t="shared" si="49"/>
        <v>35.521696309060069</v>
      </c>
      <c r="GC55" s="20">
        <f t="shared" si="25"/>
        <v>299.81420680494631</v>
      </c>
      <c r="GD55" s="59">
        <f t="shared" si="26"/>
        <v>568.79482458424468</v>
      </c>
      <c r="GE55" s="59">
        <f ca="1">AVERAGE(OFFSET($GD$3,0,0,'Données projet'!$E$17+1,1))-AVERAGE(OFFSET($H$3,0,0,'Données projet'!$E$17+1,1))</f>
        <v>385.41819366740276</v>
      </c>
      <c r="GF55" s="59">
        <f t="shared" si="50"/>
        <v>262.4625391252718</v>
      </c>
      <c r="GG55" s="15">
        <f>IF(ISNA(VLOOKUP(A55,'Données projet'!$A$243:$I$263,3,0)),0,VLOOKUP(A55,'Données projet'!$A$243:$I$263,3,0))</f>
        <v>3</v>
      </c>
      <c r="GH55" s="15">
        <f>IF(ISNA(VLOOKUP(A55,'Données projet'!$A$243:$I$263,4,0)),0,VLOOKUP(A55,'Données projet'!$A$243:$I$263,4,0))</f>
        <v>40.9</v>
      </c>
      <c r="GI55" s="16">
        <f>IF(ISNA(VLOOKUP(A55,'Données projet'!$A$243:$I$263,5,0)),0%,VLOOKUP(A55,'Données projet'!$A$243:$I$263,5,0)*VLOOKUP('Données projet'!$B$17,Paramètres!$A$1:$I$89,7,0))</f>
        <v>0.129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9.004533587841566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9.004533587841566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63.358350303445008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3.3000000000000003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12.100000000000001</v>
      </c>
      <c r="H56" s="67">
        <f t="shared" si="1"/>
        <v>208.26666666666665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9.5537500000000009</v>
      </c>
      <c r="N56" s="13">
        <f>IF('Données projet'!$A$36&gt;35,N55+M56-V55,IF(A56&lt;'Données projet'!$A$36,$K$205^A56,IF(A56='Données projet'!$A$36,'Données projet'!$B$36,N55+M56-V55)))</f>
        <v>188.10125000000016</v>
      </c>
      <c r="O56" s="13">
        <f>N56*VLOOKUP('Données projet'!$B$9,Paramètres!$A$1:$I$89,3,0)*VLOOKUP('Données projet'!$B$9,Paramètres!$A$1:$I$89,5,0)</f>
        <v>170.19401100000013</v>
      </c>
      <c r="P56" s="13">
        <f t="shared" si="33"/>
        <v>43.133472710542861</v>
      </c>
      <c r="Q56" s="20">
        <f t="shared" si="53"/>
        <v>371.54536746252899</v>
      </c>
      <c r="R56" s="59">
        <f t="shared" si="0"/>
        <v>640.94845041217422</v>
      </c>
      <c r="S56" s="59">
        <f ca="1">AVERAGE(OFFSET($R$3,0,0,'Données projet'!$E$9+1,1))-AVERAGE(OFFSET($H$3,0,0,'Données projet'!$E$9+1,1))</f>
        <v>612.09138396952153</v>
      </c>
      <c r="T56" s="59">
        <f t="shared" si="34"/>
        <v>282.284310393542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8.8100484964564476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8.8100484964564476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190.73466750000017</v>
      </c>
      <c r="AK56" s="13">
        <f t="shared" si="35"/>
        <v>47.70234090493684</v>
      </c>
      <c r="AL56" s="20">
        <f t="shared" si="4"/>
        <v>415.27778963859856</v>
      </c>
      <c r="AM56" s="59">
        <f t="shared" si="5"/>
        <v>684.6808725882438</v>
      </c>
      <c r="AN56" s="59">
        <f ca="1">AVERAGE(OFFSET($AM$3,0,0,'Données projet'!$E$10+1,1))-AVERAGE(OFFSET($H$3,0,0,'Données projet'!$E$10+1,1))</f>
        <v>676.7112666359476</v>
      </c>
      <c r="AO56" s="59">
        <f t="shared" si="36"/>
        <v>309.67876644201385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9.8733302115460191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9.8733302115460191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187.80028800000019</v>
      </c>
      <c r="BF56" s="13">
        <f t="shared" si="37"/>
        <v>47.053298650484024</v>
      </c>
      <c r="BG56" s="20">
        <f t="shared" si="7"/>
        <v>409.03666341625996</v>
      </c>
      <c r="BH56" s="59">
        <f t="shared" si="8"/>
        <v>678.43974636590519</v>
      </c>
      <c r="BI56" s="59">
        <f ca="1">AVERAGE(OFFSET($BH$3,0,0,'Données projet'!$E$11+1,1))-AVERAGE(OFFSET($H$3,0,0,'Données projet'!$E$11+1,1))</f>
        <v>667.4887768032404</v>
      </c>
      <c r="BJ56" s="59">
        <f t="shared" si="38"/>
        <v>305.76944302827178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9.7214328236760839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9.7214328236760839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178.99714950000015</v>
      </c>
      <c r="CA56" s="13">
        <f t="shared" si="39"/>
        <v>45.098997909899069</v>
      </c>
      <c r="CB56" s="20">
        <f t="shared" si="10"/>
        <v>390.30079007224117</v>
      </c>
      <c r="CC56" s="59">
        <f t="shared" si="11"/>
        <v>659.70387302188647</v>
      </c>
      <c r="CD56" s="59">
        <f ca="1">AVERAGE(OFFSET($CC$3,0,0,'Données projet'!$E$12+1,1))-AVERAGE(OFFSET($H$3,0,0,'Données projet'!$E$12+1,1))</f>
        <v>639.80378676828764</v>
      </c>
      <c r="CE56" s="59">
        <f t="shared" si="40"/>
        <v>294.03328334345281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9.2657406600662657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9.2657406600662657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</v>
      </c>
      <c r="CT56" s="12">
        <f>IF('Données projet'!$A$140&gt;35,CT55+CS56-DB55,IF(A56&lt;'Données projet'!$A$140,$CQ$205^A56,IF(A56='Données projet'!$A$140,'Données projet'!$B$140,CT55+CS56-DB55)))</f>
        <v>219.99999999999989</v>
      </c>
      <c r="CU56" s="17">
        <f>CT56*VLOOKUP('Données projet'!$B$13,Paramètres!$A$1:$I$89,3,0)*VLOOKUP('Données projet'!$B$13,Paramètres!$A$1:$I$89,5,0)</f>
        <v>192.19199999999992</v>
      </c>
      <c r="CV56" s="13">
        <f t="shared" si="41"/>
        <v>48.02424892193244</v>
      </c>
      <c r="CW56" s="20">
        <f t="shared" si="13"/>
        <v>418.37663353903218</v>
      </c>
      <c r="CX56" s="59">
        <f t="shared" si="14"/>
        <v>687.77971648867742</v>
      </c>
      <c r="CY56" s="59">
        <f ca="1">AVERAGE(OFFSET($CX$3,0,0,'Données projet'!$E$13+1,1))-AVERAGE(OFFSET($H$3,0,0,'Données projet'!$E$13+1,1))</f>
        <v>340.64710509454375</v>
      </c>
      <c r="CZ56" s="59">
        <f t="shared" si="42"/>
        <v>329.6409514360613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5.3430054932523161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5.3430054932523161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9.5537500000000009</v>
      </c>
      <c r="DO56" s="12">
        <f>IF('Données projet'!$A$166&gt;35,DO55+DN56-DW55,IF(A56&lt;'Données projet'!$A$166,$DL$205^A56,IF(A56='Données projet'!$A$166,'Données projet'!$B$166,DO55+DN56-DW55)))</f>
        <v>188.10125000000016</v>
      </c>
      <c r="DP56" s="17">
        <f>DO56*VLOOKUP('Données projet'!$B$14,Paramètres!$A$1:$I$89,3,0)*VLOOKUP('Données projet'!$B$14,Paramètres!$A$1:$I$89,5,0)</f>
        <v>181.93152900000015</v>
      </c>
      <c r="DQ56" s="13">
        <f t="shared" si="43"/>
        <v>45.751648470358951</v>
      </c>
      <c r="DR56" s="20">
        <f t="shared" si="16"/>
        <v>396.54820076087543</v>
      </c>
      <c r="DS56" s="59">
        <f t="shared" si="17"/>
        <v>665.95128371052067</v>
      </c>
      <c r="DT56" s="59">
        <f ca="1">AVERAGE(OFFSET($DS$3,0,0,'Données projet'!$E$14+1,1))-AVERAGE(OFFSET($H$3,0,0,'Données projet'!$E$14+1,1))</f>
        <v>649.03508893149228</v>
      </c>
      <c r="DU56" s="59">
        <f t="shared" si="44"/>
        <v>297.94672581383213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9.4176380479362027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9.4176380479362027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9.5537500000000009</v>
      </c>
      <c r="EJ56" s="12">
        <f>IF('Données projet'!$A$192&gt;35,EJ55+EI56-ER55,IF(A56&lt;'Données projet'!$A$192,$EG$205^A56,IF(A56='Données projet'!$A$192,'Données projet'!$B$192,EJ55+EI56-ER55)))</f>
        <v>188.10125000000016</v>
      </c>
      <c r="EK56" s="17">
        <f>EJ56*VLOOKUP('Données projet'!$B$15,Paramètres!$A$1:$I$89,3,0)*VLOOKUP('Données projet'!$B$15,Paramètres!$A$1:$I$89,5,0)</f>
        <v>202.47218550000019</v>
      </c>
      <c r="EL56" s="13">
        <f t="shared" si="45"/>
        <v>50.287090197355241</v>
      </c>
      <c r="EM56" s="20">
        <f t="shared" si="19"/>
        <v>440.22240517289401</v>
      </c>
      <c r="EN56" s="59">
        <f t="shared" si="20"/>
        <v>709.62548812253931</v>
      </c>
      <c r="EO56" s="59">
        <f ca="1">AVERAGE(OFFSET($EN$3,0,0,'Données projet'!$E$15+1,1))-AVERAGE(OFFSET($H$3,0,0,'Données projet'!$E$15+1,1))</f>
        <v>713.57333631602273</v>
      </c>
      <c r="EP56" s="59">
        <f t="shared" si="46"/>
        <v>325.30302392555359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10.480919763025774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10.480919763025774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9.375</v>
      </c>
      <c r="FE56" s="12">
        <f>IF('Données projet'!$A$218&gt;35,FE55+FD56-FM55,IF(A56&lt;'Données projet'!$A$218,$FB$205^A56,IF(A56='Données projet'!$A$218,'Données projet'!$B$218,FE55+FD56-FM55)))</f>
        <v>231.37499999999989</v>
      </c>
      <c r="FF56" s="17">
        <f>FE56*VLOOKUP('Données projet'!$B$16,Paramètres!$A$1:$I$89,3,0)*VLOOKUP('Données projet'!$B$16,Paramètres!$A$1:$I$89,5,0)</f>
        <v>180.47249999999991</v>
      </c>
      <c r="FG56" s="13">
        <f t="shared" si="47"/>
        <v>45.427292666837829</v>
      </c>
      <c r="FH56" s="20">
        <f t="shared" si="22"/>
        <v>393.44213889474241</v>
      </c>
      <c r="FI56" s="59">
        <f t="shared" si="23"/>
        <v>662.84522184438765</v>
      </c>
      <c r="FJ56" s="59">
        <f ca="1">AVERAGE(OFFSET($FI$3,0,0,'Données projet'!$E$16+1,1))-AVERAGE(OFFSET($H$3,0,0,'Données projet'!$E$16+1,1))</f>
        <v>302.04287561738482</v>
      </c>
      <c r="FK56" s="59">
        <f t="shared" si="48"/>
        <v>296.09828774694802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29.487160698487735</v>
      </c>
      <c r="FR56" s="21">
        <f>EXP(-LN(2)/25)*FR55+(1-EXP(-LN(2)/25))/(LN(2)/25)*Calculateur!FM56*Calculateur!FO56*VLOOKUP('Données projet'!$B$16,Paramètres!$A$1:$I$89,3,0)*0.475*44/12</f>
        <v>16.372103765875195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45.85926446436293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8.757142857142858</v>
      </c>
      <c r="FZ56" s="12">
        <f>IF('Données projet'!$A$244&gt;35,FZ55+FY56-GH55,IF(A56&lt;'Données projet'!$A$244,$FW$205^A56,IF(A56='Données projet'!$A$244,'Données projet'!$B$244,FZ55+FY56-GH55)))</f>
        <v>130.03714285714287</v>
      </c>
      <c r="GA56" s="17">
        <f>FZ56*VLOOKUP('Données projet'!$B$17,Paramètres!$A$1:$I$89,3,0)*VLOOKUP('Données projet'!$B$17,Paramètres!$A$1:$I$89,5,0)</f>
        <v>109.54328914285718</v>
      </c>
      <c r="GB56" s="13">
        <f t="shared" si="49"/>
        <v>29.223353890386761</v>
      </c>
      <c r="GC56" s="20">
        <f t="shared" si="25"/>
        <v>241.6852366162332</v>
      </c>
      <c r="GD56" s="59">
        <f t="shared" si="26"/>
        <v>511.08831956587846</v>
      </c>
      <c r="GE56" s="59">
        <f ca="1">AVERAGE(OFFSET($GD$3,0,0,'Données projet'!$E$17+1,1))-AVERAGE(OFFSET($H$3,0,0,'Données projet'!$E$17+1,1))</f>
        <v>385.41819366740276</v>
      </c>
      <c r="GF56" s="59">
        <f t="shared" si="50"/>
        <v>262.4625391252718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8.8279601764071689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8.8279601764071689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63.473568077175983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3.3000000000000003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12.100000000000001</v>
      </c>
      <c r="H57" s="67">
        <f t="shared" si="1"/>
        <v>208.26666666666665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9.5537500000000009</v>
      </c>
      <c r="N57" s="13">
        <f>IF('Données projet'!$A$36&gt;35,N56+M57-V56,IF(A57&lt;'Données projet'!$A$36,$K$205^A57,IF(A57='Données projet'!$A$36,'Données projet'!$B$36,N56+M57-V56)))</f>
        <v>197.65500000000017</v>
      </c>
      <c r="O57" s="13">
        <f>N57*VLOOKUP('Données projet'!$B$9,Paramètres!$A$1:$I$89,3,0)*VLOOKUP('Données projet'!$B$9,Paramètres!$A$1:$I$89,5,0)</f>
        <v>178.83824400000015</v>
      </c>
      <c r="P57" s="13">
        <f t="shared" si="33"/>
        <v>45.06361953668285</v>
      </c>
      <c r="Q57" s="20">
        <f t="shared" si="53"/>
        <v>389.96241232638954</v>
      </c>
      <c r="R57" s="59">
        <f t="shared" si="0"/>
        <v>659.78063162016679</v>
      </c>
      <c r="S57" s="59">
        <f ca="1">AVERAGE(OFFSET($R$3,0,0,'Données projet'!$E$9+1,1))-AVERAGE(OFFSET($H$3,0,0,'Données projet'!$E$9+1,1))</f>
        <v>612.09138396952153</v>
      </c>
      <c r="T57" s="59">
        <f t="shared" si="34"/>
        <v>282.284310393542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8.6372888190399202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8.6372888190399202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200.42217000000019</v>
      </c>
      <c r="AK57" s="13">
        <f t="shared" si="35"/>
        <v>49.83693652432936</v>
      </c>
      <c r="AL57" s="20">
        <f t="shared" si="4"/>
        <v>435.8679438632073</v>
      </c>
      <c r="AM57" s="59">
        <f t="shared" si="5"/>
        <v>705.68616315698455</v>
      </c>
      <c r="AN57" s="59">
        <f ca="1">AVERAGE(OFFSET($AM$3,0,0,'Données projet'!$E$10+1,1))-AVERAGE(OFFSET($H$3,0,0,'Données projet'!$E$10+1,1))</f>
        <v>676.7112666359476</v>
      </c>
      <c r="AO57" s="59">
        <f t="shared" si="36"/>
        <v>309.67876644201385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9.6797202282343946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9.6797202282343946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197.3387520000002</v>
      </c>
      <c r="BF57" s="13">
        <f t="shared" si="37"/>
        <v>49.158850773753024</v>
      </c>
      <c r="BG57" s="20">
        <f t="shared" si="7"/>
        <v>429.31665816428682</v>
      </c>
      <c r="BH57" s="59">
        <f t="shared" si="8"/>
        <v>699.13487745806401</v>
      </c>
      <c r="BI57" s="59">
        <f ca="1">AVERAGE(OFFSET($BH$3,0,0,'Données projet'!$E$11+1,1))-AVERAGE(OFFSET($H$3,0,0,'Données projet'!$E$11+1,1))</f>
        <v>667.4887768032404</v>
      </c>
      <c r="BJ57" s="59">
        <f t="shared" si="38"/>
        <v>305.76944302827178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9.5308014554923304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9.5308014554923304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188.08849800000019</v>
      </c>
      <c r="CA57" s="13">
        <f t="shared" si="39"/>
        <v>47.117098521969908</v>
      </c>
      <c r="CB57" s="20">
        <f t="shared" si="10"/>
        <v>409.64974727576458</v>
      </c>
      <c r="CC57" s="59">
        <f t="shared" si="11"/>
        <v>679.46796656954189</v>
      </c>
      <c r="CD57" s="59">
        <f ca="1">AVERAGE(OFFSET($CC$3,0,0,'Données projet'!$E$12+1,1))-AVERAGE(OFFSET($H$3,0,0,'Données projet'!$E$12+1,1))</f>
        <v>639.80378676828764</v>
      </c>
      <c r="CE57" s="59">
        <f t="shared" si="40"/>
        <v>294.03328334345281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9.0840451372661253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9.0840451372661253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</v>
      </c>
      <c r="CT57" s="12">
        <f>IF('Données projet'!$A$140&gt;35,CT56+CS57-DB56,IF(A57&lt;'Données projet'!$A$140,$CQ$205^A57,IF(A57='Données projet'!$A$140,'Données projet'!$B$140,CT56+CS57-DB56)))</f>
        <v>225.99999999999989</v>
      </c>
      <c r="CU57" s="17">
        <f>CT57*VLOOKUP('Données projet'!$B$13,Paramètres!$A$1:$I$89,3,0)*VLOOKUP('Données projet'!$B$13,Paramètres!$A$1:$I$89,5,0)</f>
        <v>197.43359999999993</v>
      </c>
      <c r="CV57" s="13">
        <f t="shared" si="41"/>
        <v>49.179727436837609</v>
      </c>
      <c r="CW57" s="20">
        <f t="shared" si="13"/>
        <v>429.51821195249204</v>
      </c>
      <c r="CX57" s="59">
        <f t="shared" si="14"/>
        <v>699.33643124626929</v>
      </c>
      <c r="CY57" s="59">
        <f ca="1">AVERAGE(OFFSET($CX$3,0,0,'Données projet'!$E$13+1,1))-AVERAGE(OFFSET($H$3,0,0,'Données projet'!$E$13+1,1))</f>
        <v>340.64710509454375</v>
      </c>
      <c r="CZ57" s="59">
        <f t="shared" si="42"/>
        <v>329.6409514360613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5.2382324144411987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5.2382324144411987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9.5537500000000009</v>
      </c>
      <c r="DO57" s="12">
        <f>IF('Données projet'!$A$166&gt;35,DO56+DN57-DW56,IF(A57&lt;'Données projet'!$A$166,$DL$205^A57,IF(A57='Données projet'!$A$166,'Données projet'!$B$166,DO56+DN57-DW56)))</f>
        <v>197.65500000000017</v>
      </c>
      <c r="DP57" s="17">
        <f>DO57*VLOOKUP('Données projet'!$B$14,Paramètres!$A$1:$I$89,3,0)*VLOOKUP('Données projet'!$B$14,Paramètres!$A$1:$I$89,5,0)</f>
        <v>191.17191600000018</v>
      </c>
      <c r="DQ57" s="13">
        <f t="shared" si="43"/>
        <v>47.798954043882908</v>
      </c>
      <c r="DR57" s="20">
        <f t="shared" si="16"/>
        <v>416.20759865976305</v>
      </c>
      <c r="DS57" s="59">
        <f t="shared" si="17"/>
        <v>686.02581795354035</v>
      </c>
      <c r="DT57" s="59">
        <f ca="1">AVERAGE(OFFSET($DS$3,0,0,'Données projet'!$E$14+1,1))-AVERAGE(OFFSET($H$3,0,0,'Données projet'!$E$14+1,1))</f>
        <v>649.03508893149228</v>
      </c>
      <c r="DU57" s="59">
        <f t="shared" si="44"/>
        <v>297.94672581383213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9.2329639100081913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9.2329639100081913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9.5537500000000009</v>
      </c>
      <c r="EJ57" s="12">
        <f>IF('Données projet'!$A$192&gt;35,EJ56+EI57-ER56,IF(A57&lt;'Données projet'!$A$192,$EG$205^A57,IF(A57='Données projet'!$A$192,'Données projet'!$B$192,EJ56+EI57-ER56)))</f>
        <v>197.65500000000017</v>
      </c>
      <c r="EK57" s="17">
        <f>EJ57*VLOOKUP('Données projet'!$B$15,Paramètres!$A$1:$I$89,3,0)*VLOOKUP('Données projet'!$B$15,Paramètres!$A$1:$I$89,5,0)</f>
        <v>212.75584200000017</v>
      </c>
      <c r="EL57" s="13">
        <f t="shared" si="45"/>
        <v>52.537348788672297</v>
      </c>
      <c r="EM57" s="20">
        <f t="shared" si="19"/>
        <v>462.05230729027113</v>
      </c>
      <c r="EN57" s="59">
        <f t="shared" si="20"/>
        <v>731.87052658404832</v>
      </c>
      <c r="EO57" s="59">
        <f ca="1">AVERAGE(OFFSET($EN$3,0,0,'Données projet'!$E$15+1,1))-AVERAGE(OFFSET($H$3,0,0,'Données projet'!$E$15+1,1))</f>
        <v>713.57333631602273</v>
      </c>
      <c r="EP57" s="59">
        <f t="shared" si="46"/>
        <v>325.30302392555359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10.275395319202664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10.275395319202664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9.375</v>
      </c>
      <c r="FE57" s="12">
        <f>IF('Données projet'!$A$218&gt;35,FE56+FD57-FM56,IF(A57&lt;'Données projet'!$A$218,$FB$205^A57,IF(A57='Données projet'!$A$218,'Données projet'!$B$218,FE56+FD57-FM56)))</f>
        <v>240.74999999999989</v>
      </c>
      <c r="FF57" s="17">
        <f>FE57*VLOOKUP('Données projet'!$B$16,Paramètres!$A$1:$I$89,3,0)*VLOOKUP('Données projet'!$B$16,Paramètres!$A$1:$I$89,5,0)</f>
        <v>187.78499999999991</v>
      </c>
      <c r="FG57" s="13">
        <f t="shared" si="47"/>
        <v>47.049914090154054</v>
      </c>
      <c r="FH57" s="20">
        <f t="shared" si="22"/>
        <v>409.0041420403515</v>
      </c>
      <c r="FI57" s="59">
        <f t="shared" si="23"/>
        <v>678.8223613341288</v>
      </c>
      <c r="FJ57" s="59">
        <f ca="1">AVERAGE(OFFSET($FI$3,0,0,'Données projet'!$E$16+1,1))-AVERAGE(OFFSET($H$3,0,0,'Données projet'!$E$16+1,1))</f>
        <v>302.04287561738482</v>
      </c>
      <c r="FK57" s="59">
        <f t="shared" si="48"/>
        <v>296.09828774694802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28.908935462582505</v>
      </c>
      <c r="FR57" s="21">
        <f>EXP(-LN(2)/25)*FR56+(1-EXP(-LN(2)/25))/(LN(2)/25)*Calculateur!FM57*Calculateur!FO57*VLOOKUP('Données projet'!$B$16,Paramètres!$A$1:$I$89,3,0)*0.475*44/12</f>
        <v>15.92440772742582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44.833343190008321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8.757142857142858</v>
      </c>
      <c r="FZ57" s="12">
        <f>IF('Données projet'!$A$244&gt;35,FZ56+FY57-GH56,IF(A57&lt;'Données projet'!$A$244,$FW$205^A57,IF(A57='Données projet'!$A$244,'Données projet'!$B$244,FZ56+FY57-GH56)))</f>
        <v>138.79428571428573</v>
      </c>
      <c r="GA57" s="17">
        <f>FZ57*VLOOKUP('Données projet'!$B$17,Paramètres!$A$1:$I$89,3,0)*VLOOKUP('Données projet'!$B$17,Paramètres!$A$1:$I$89,5,0)</f>
        <v>116.9203062857143</v>
      </c>
      <c r="GB57" s="13">
        <f t="shared" si="49"/>
        <v>30.95562804985342</v>
      </c>
      <c r="GC57" s="20">
        <f t="shared" si="25"/>
        <v>257.55058563444715</v>
      </c>
      <c r="GD57" s="59">
        <f t="shared" si="26"/>
        <v>527.36880492822434</v>
      </c>
      <c r="GE57" s="59">
        <f ca="1">AVERAGE(OFFSET($GD$3,0,0,'Données projet'!$E$17+1,1))-AVERAGE(OFFSET($H$3,0,0,'Données projet'!$E$17+1,1))</f>
        <v>385.41819366740276</v>
      </c>
      <c r="GF57" s="59">
        <f t="shared" si="50"/>
        <v>262.4625391252718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8.6548492618718544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8.6548492618718544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63.58678708012107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3.3000000000000003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12.100000000000001</v>
      </c>
      <c r="H58" s="67">
        <f t="shared" si="1"/>
        <v>208.26666666666665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9.5537500000000009</v>
      </c>
      <c r="N58" s="13">
        <f>IF('Données projet'!$A$36&gt;35,N57+M58-V57,IF(A58&lt;'Données projet'!$A$36,$K$205^A58,IF(A58='Données projet'!$A$36,'Données projet'!$B$36,N57+M58-V57)))</f>
        <v>207.20875000000018</v>
      </c>
      <c r="O58" s="13">
        <f>N58*VLOOKUP('Données projet'!$B$9,Paramètres!$A$1:$I$89,3,0)*VLOOKUP('Données projet'!$B$9,Paramètres!$A$1:$I$89,5,0)</f>
        <v>187.48247700000016</v>
      </c>
      <c r="P58" s="13">
        <f t="shared" si="33"/>
        <v>46.982932911694917</v>
      </c>
      <c r="Q58" s="20">
        <f t="shared" si="53"/>
        <v>408.3605889295356</v>
      </c>
      <c r="R58" s="59">
        <f t="shared" si="0"/>
        <v>678.58674287998008</v>
      </c>
      <c r="S58" s="59">
        <f ca="1">AVERAGE(OFFSET($R$3,0,0,'Données projet'!$E$9+1,1))-AVERAGE(OFFSET($H$3,0,0,'Données projet'!$E$9+1,1))</f>
        <v>612.09138396952153</v>
      </c>
      <c r="T58" s="59">
        <f t="shared" si="34"/>
        <v>282.284310393542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8.4679168535245335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8.4679168535245335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210.10967250000019</v>
      </c>
      <c r="AK58" s="13">
        <f t="shared" si="35"/>
        <v>51.959551170560943</v>
      </c>
      <c r="AL58" s="20">
        <f t="shared" si="4"/>
        <v>456.43723122622731</v>
      </c>
      <c r="AM58" s="59">
        <f t="shared" si="5"/>
        <v>726.6633851766718</v>
      </c>
      <c r="AN58" s="59">
        <f ca="1">AVERAGE(OFFSET($AM$3,0,0,'Données projet'!$E$10+1,1))-AVERAGE(OFFSET($H$3,0,0,'Données projet'!$E$10+1,1))</f>
        <v>676.7112666359476</v>
      </c>
      <c r="AO58" s="59">
        <f t="shared" si="36"/>
        <v>309.67876644201385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9.4899068186050819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9.4899068186050819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206.87721600000017</v>
      </c>
      <c r="BF58" s="13">
        <f t="shared" si="37"/>
        <v>51.252584938037856</v>
      </c>
      <c r="BG58" s="20">
        <f t="shared" si="7"/>
        <v>449.5760699670829</v>
      </c>
      <c r="BH58" s="59">
        <f t="shared" si="8"/>
        <v>719.80222391752739</v>
      </c>
      <c r="BI58" s="59">
        <f ca="1">AVERAGE(OFFSET($BH$3,0,0,'Données projet'!$E$11+1,1))-AVERAGE(OFFSET($H$3,0,0,'Données projet'!$E$11+1,1))</f>
        <v>667.4887768032404</v>
      </c>
      <c r="BJ58" s="59">
        <f t="shared" si="38"/>
        <v>305.76944302827178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9.3439082521650061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9.3439082521650061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197.17984650000017</v>
      </c>
      <c r="CA58" s="13">
        <f t="shared" si="39"/>
        <v>49.123872019410832</v>
      </c>
      <c r="CB58" s="20">
        <f t="shared" si="10"/>
        <v>428.97897642130755</v>
      </c>
      <c r="CC58" s="59">
        <f t="shared" si="11"/>
        <v>699.20513037175203</v>
      </c>
      <c r="CD58" s="59">
        <f ca="1">AVERAGE(OFFSET($CC$3,0,0,'Données projet'!$E$12+1,1))-AVERAGE(OFFSET($H$3,0,0,'Données projet'!$E$12+1,1))</f>
        <v>639.80378676828764</v>
      </c>
      <c r="CE58" s="59">
        <f t="shared" si="40"/>
        <v>294.03328334345281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8.9059125528447698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8.9059125528447698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232</v>
      </c>
      <c r="CR58" s="12">
        <f>VLOOKUP(A58,'Données projet'!$A$139:$I$159,9,0)</f>
        <v>6</v>
      </c>
      <c r="CS58" s="12">
        <f t="array" ref="CS58">INDEX(CR:CR,MIN(IF(ISNUMBER(CR58:CR254),ROW(CR58:CR254),"")))</f>
        <v>6</v>
      </c>
      <c r="CT58" s="12">
        <f>IF('Données projet'!$A$140&gt;35,CT57+CS58-DB57,IF(A58&lt;'Données projet'!$A$140,$CQ$205^A58,IF(A58='Données projet'!$A$140,'Données projet'!$B$140,CT57+CS58-DB57)))</f>
        <v>231.99999999999989</v>
      </c>
      <c r="CU58" s="17">
        <f>CT58*VLOOKUP('Données projet'!$B$13,Paramètres!$A$1:$I$89,3,0)*VLOOKUP('Données projet'!$B$13,Paramètres!$A$1:$I$89,5,0)</f>
        <v>202.67519999999993</v>
      </c>
      <c r="CV58" s="13">
        <f t="shared" si="41"/>
        <v>50.33164028531364</v>
      </c>
      <c r="CW58" s="20">
        <f t="shared" si="13"/>
        <v>440.65358016358778</v>
      </c>
      <c r="CX58" s="59">
        <f t="shared" si="14"/>
        <v>710.87973411403232</v>
      </c>
      <c r="CY58" s="59">
        <f ca="1">AVERAGE(OFFSET($CX$3,0,0,'Données projet'!$E$13+1,1))-AVERAGE(OFFSET($H$3,0,0,'Données projet'!$E$13+1,1))</f>
        <v>340.64710509454375</v>
      </c>
      <c r="CZ58" s="59">
        <f t="shared" si="42"/>
        <v>329.6409514360613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0.159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7.1316962267987893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7.1316962267987893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9.5537500000000009</v>
      </c>
      <c r="DO58" s="12">
        <f>IF('Données projet'!$A$166&gt;35,DO57+DN58-DW57,IF(A58&lt;'Données projet'!$A$166,$DL$205^A58,IF(A58='Données projet'!$A$166,'Données projet'!$B$166,DO57+DN58-DW57)))</f>
        <v>207.20875000000018</v>
      </c>
      <c r="DP58" s="17">
        <f>DO58*VLOOKUP('Données projet'!$B$14,Paramètres!$A$1:$I$89,3,0)*VLOOKUP('Données projet'!$B$14,Paramètres!$A$1:$I$89,5,0)</f>
        <v>200.41230300000018</v>
      </c>
      <c r="DQ58" s="13">
        <f t="shared" si="43"/>
        <v>49.834768582334036</v>
      </c>
      <c r="DR58" s="20">
        <f t="shared" si="16"/>
        <v>435.84698300589872</v>
      </c>
      <c r="DS58" s="59">
        <f t="shared" si="17"/>
        <v>706.07313695634321</v>
      </c>
      <c r="DT58" s="59">
        <f ca="1">AVERAGE(OFFSET($DS$3,0,0,'Données projet'!$E$14+1,1))-AVERAGE(OFFSET($H$3,0,0,'Données projet'!$E$14+1,1))</f>
        <v>649.03508893149228</v>
      </c>
      <c r="DU58" s="59">
        <f t="shared" si="44"/>
        <v>297.94672581383213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9.0519111192848456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9.0519111192848456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9.5537500000000009</v>
      </c>
      <c r="EJ58" s="12">
        <f>IF('Données projet'!$A$192&gt;35,EJ57+EI58-ER57,IF(A58&lt;'Données projet'!$A$192,$EG$205^A58,IF(A58='Données projet'!$A$192,'Données projet'!$B$192,EJ57+EI58-ER57)))</f>
        <v>207.20875000000018</v>
      </c>
      <c r="EK58" s="17">
        <f>EJ58*VLOOKUP('Données projet'!$B$15,Paramètres!$A$1:$I$89,3,0)*VLOOKUP('Données projet'!$B$15,Paramètres!$A$1:$I$89,5,0)</f>
        <v>223.03949850000021</v>
      </c>
      <c r="EL58" s="13">
        <f t="shared" si="45"/>
        <v>54.774977218312529</v>
      </c>
      <c r="EM58" s="20">
        <f t="shared" si="19"/>
        <v>483.86021187606133</v>
      </c>
      <c r="EN58" s="59">
        <f t="shared" si="20"/>
        <v>754.08636582650581</v>
      </c>
      <c r="EO58" s="59">
        <f ca="1">AVERAGE(OFFSET($EN$3,0,0,'Données projet'!$E$15+1,1))-AVERAGE(OFFSET($H$3,0,0,'Données projet'!$E$15+1,1))</f>
        <v>713.57333631602273</v>
      </c>
      <c r="EP58" s="59">
        <f t="shared" si="46"/>
        <v>325.30302392555359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10.073901084365392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10.073901084365392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9.375</v>
      </c>
      <c r="FE58" s="12">
        <f>IF('Données projet'!$A$218&gt;35,FE57+FD58-FM57,IF(A58&lt;'Données projet'!$A$218,$FB$205^A58,IF(A58='Données projet'!$A$218,'Données projet'!$B$218,FE57+FD58-FM57)))</f>
        <v>250.12499999999989</v>
      </c>
      <c r="FF58" s="17">
        <f>FE58*VLOOKUP('Données projet'!$B$16,Paramètres!$A$1:$I$89,3,0)*VLOOKUP('Données projet'!$B$16,Paramètres!$A$1:$I$89,5,0)</f>
        <v>195.09749999999991</v>
      </c>
      <c r="FG58" s="13">
        <f t="shared" si="47"/>
        <v>48.66519532492579</v>
      </c>
      <c r="FH58" s="20">
        <f t="shared" si="22"/>
        <v>424.55336102424553</v>
      </c>
      <c r="FI58" s="59">
        <f t="shared" si="23"/>
        <v>694.77951497469007</v>
      </c>
      <c r="FJ58" s="59">
        <f ca="1">AVERAGE(OFFSET($FI$3,0,0,'Données projet'!$E$16+1,1))-AVERAGE(OFFSET($H$3,0,0,'Données projet'!$E$16+1,1))</f>
        <v>302.04287561738482</v>
      </c>
      <c r="FK58" s="59">
        <f t="shared" si="48"/>
        <v>296.09828774694802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28.342048870870808</v>
      </c>
      <c r="FR58" s="21">
        <f>EXP(-LN(2)/25)*FR57+(1-EXP(-LN(2)/25))/(LN(2)/25)*Calculateur!FM58*Calculateur!FO58*VLOOKUP('Données projet'!$B$16,Paramètres!$A$1:$I$89,3,0)*0.475*44/12</f>
        <v>15.488953960691154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43.83100283156196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8.757142857142858</v>
      </c>
      <c r="FZ58" s="12">
        <f>IF('Données projet'!$A$244&gt;35,FZ57+FY58-GH57,IF(A58&lt;'Données projet'!$A$244,$FW$205^A58,IF(A58='Données projet'!$A$244,'Données projet'!$B$244,FZ57+FY58-GH57)))</f>
        <v>147.5514285714286</v>
      </c>
      <c r="GA58" s="17">
        <f>FZ58*VLOOKUP('Données projet'!$B$17,Paramètres!$A$1:$I$89,3,0)*VLOOKUP('Données projet'!$B$17,Paramètres!$A$1:$I$89,5,0)</f>
        <v>124.29732342857146</v>
      </c>
      <c r="GB58" s="13">
        <f t="shared" si="49"/>
        <v>32.675217782102486</v>
      </c>
      <c r="GC58" s="20">
        <f t="shared" si="25"/>
        <v>273.39384260859043</v>
      </c>
      <c r="GD58" s="59">
        <f t="shared" si="26"/>
        <v>543.61999655903492</v>
      </c>
      <c r="GE58" s="59">
        <f ca="1">AVERAGE(OFFSET($GD$3,0,0,'Données projet'!$E$17+1,1))-AVERAGE(OFFSET($H$3,0,0,'Données projet'!$E$17+1,1))</f>
        <v>385.41819366740276</v>
      </c>
      <c r="GF58" s="59">
        <f t="shared" si="50"/>
        <v>262.4625391252718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8.4851329467833452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8.4851329467833452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63.698041986484853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3.3000000000000003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12.100000000000001</v>
      </c>
      <c r="H59" s="67">
        <f t="shared" si="1"/>
        <v>208.26666666666665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9.5537500000000009</v>
      </c>
      <c r="N59" s="13">
        <f>IF('Données projet'!$A$36&gt;35,N58+M59-V58,IF(A59&lt;'Données projet'!$A$36,$K$205^A59,IF(A59='Données projet'!$A$36,'Données projet'!$B$36,N58+M59-V58)))</f>
        <v>216.76250000000019</v>
      </c>
      <c r="O59" s="13">
        <f>N59*VLOOKUP('Données projet'!$B$9,Paramètres!$A$1:$I$89,3,0)*VLOOKUP('Données projet'!$B$9,Paramètres!$A$1:$I$89,5,0)</f>
        <v>196.12671000000017</v>
      </c>
      <c r="P59" s="13">
        <f t="shared" si="33"/>
        <v>48.891969383051702</v>
      </c>
      <c r="Q59" s="20">
        <f t="shared" si="53"/>
        <v>426.74086659214868</v>
      </c>
      <c r="R59" s="59">
        <f t="shared" si="0"/>
        <v>697.36787844497235</v>
      </c>
      <c r="S59" s="59">
        <f ca="1">AVERAGE(OFFSET($R$3,0,0,'Données projet'!$E$9+1,1))-AVERAGE(OFFSET($H$3,0,0,'Données projet'!$E$9+1,1))</f>
        <v>612.09138396952153</v>
      </c>
      <c r="T59" s="59">
        <f t="shared" si="34"/>
        <v>282.284310393542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8.301866168946205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8.301866168946205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219.79717500000021</v>
      </c>
      <c r="AK59" s="13">
        <f t="shared" si="35"/>
        <v>54.070800342815986</v>
      </c>
      <c r="AL59" s="20">
        <f t="shared" si="4"/>
        <v>476.98672372207147</v>
      </c>
      <c r="AM59" s="59">
        <f t="shared" si="5"/>
        <v>747.61373557489514</v>
      </c>
      <c r="AN59" s="59">
        <f ca="1">AVERAGE(OFFSET($AM$3,0,0,'Données projet'!$E$10+1,1))-AVERAGE(OFFSET($H$3,0,0,'Données projet'!$E$10+1,1))</f>
        <v>676.7112666359476</v>
      </c>
      <c r="AO59" s="59">
        <f t="shared" si="36"/>
        <v>309.67876644201385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9.3038155341638511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9.3038155341638511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216.41568000000021</v>
      </c>
      <c r="BF59" s="13">
        <f t="shared" si="37"/>
        <v>53.335108267986648</v>
      </c>
      <c r="BG59" s="20">
        <f t="shared" si="7"/>
        <v>469.81595623341042</v>
      </c>
      <c r="BH59" s="59">
        <f t="shared" si="8"/>
        <v>740.44296808623415</v>
      </c>
      <c r="BI59" s="59">
        <f ca="1">AVERAGE(OFFSET($BH$3,0,0,'Données projet'!$E$11+1,1))-AVERAGE(OFFSET($H$3,0,0,'Données projet'!$E$11+1,1))</f>
        <v>667.4887768032404</v>
      </c>
      <c r="BJ59" s="59">
        <f t="shared" si="38"/>
        <v>305.76944302827178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9.160679910561333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9.160679910561333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206.27119500000018</v>
      </c>
      <c r="CA59" s="13">
        <f t="shared" si="39"/>
        <v>51.11990031069643</v>
      </c>
      <c r="CB59" s="20">
        <f t="shared" si="10"/>
        <v>448.28949099946317</v>
      </c>
      <c r="CC59" s="59">
        <f t="shared" si="11"/>
        <v>718.91650285228684</v>
      </c>
      <c r="CD59" s="59">
        <f ca="1">AVERAGE(OFFSET($CC$3,0,0,'Données projet'!$E$12+1,1))-AVERAGE(OFFSET($H$3,0,0,'Données projet'!$E$12+1,1))</f>
        <v>639.80378676828764</v>
      </c>
      <c r="CE59" s="59">
        <f t="shared" si="40"/>
        <v>294.03328334345281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8.7312730397537681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8.7312730397537681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5.2</v>
      </c>
      <c r="CT59" s="12">
        <f>IF('Données projet'!$A$140&gt;35,CT58+CS59-DB58,IF(A59&lt;'Données projet'!$A$140,$CQ$205^A59,IF(A59='Données projet'!$A$140,'Données projet'!$B$140,CT58+CS59-DB58)))</f>
        <v>224.19999999999987</v>
      </c>
      <c r="CU59" s="17">
        <f>CT59*VLOOKUP('Données projet'!$B$13,Paramètres!$A$1:$I$89,3,0)*VLOOKUP('Données projet'!$B$13,Paramètres!$A$1:$I$89,5,0)</f>
        <v>195.86111999999991</v>
      </c>
      <c r="CV59" s="13">
        <f t="shared" si="41"/>
        <v>48.833463106716422</v>
      </c>
      <c r="CW59" s="20">
        <f t="shared" si="13"/>
        <v>426.17639891086424</v>
      </c>
      <c r="CX59" s="59">
        <f t="shared" si="14"/>
        <v>696.80341076368791</v>
      </c>
      <c r="CY59" s="59">
        <f ca="1">AVERAGE(OFFSET($CX$3,0,0,'Données projet'!$E$13+1,1))-AVERAGE(OFFSET($H$3,0,0,'Données projet'!$E$13+1,1))</f>
        <v>340.64710509454375</v>
      </c>
      <c r="CZ59" s="59">
        <f t="shared" si="42"/>
        <v>329.6409514360613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6.9918480136964458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6.9918480136964458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9.5537500000000009</v>
      </c>
      <c r="DO59" s="12">
        <f>IF('Données projet'!$A$166&gt;35,DO58+DN59-DW58,IF(A59&lt;'Données projet'!$A$166,$DL$205^A59,IF(A59='Données projet'!$A$166,'Données projet'!$B$166,DO58+DN59-DW58)))</f>
        <v>216.76250000000019</v>
      </c>
      <c r="DP59" s="17">
        <f>DO59*VLOOKUP('Données projet'!$B$14,Paramètres!$A$1:$I$89,3,0)*VLOOKUP('Données projet'!$B$14,Paramètres!$A$1:$I$89,5,0)</f>
        <v>209.65269000000021</v>
      </c>
      <c r="DQ59" s="13">
        <f t="shared" si="43"/>
        <v>51.859682415280766</v>
      </c>
      <c r="DR59" s="20">
        <f t="shared" si="16"/>
        <v>455.46738195661436</v>
      </c>
      <c r="DS59" s="59">
        <f t="shared" si="17"/>
        <v>726.09439380943809</v>
      </c>
      <c r="DT59" s="59">
        <f ca="1">AVERAGE(OFFSET($DS$3,0,0,'Données projet'!$E$14+1,1))-AVERAGE(OFFSET($H$3,0,0,'Données projet'!$E$14+1,1))</f>
        <v>649.03508893149228</v>
      </c>
      <c r="DU59" s="59">
        <f t="shared" si="44"/>
        <v>297.94672581383213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8.874408663356288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8.874408663356288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9.5537500000000009</v>
      </c>
      <c r="EJ59" s="12">
        <f>IF('Données projet'!$A$192&gt;35,EJ58+EI59-ER58,IF(A59&lt;'Données projet'!$A$192,$EG$205^A59,IF(A59='Données projet'!$A$192,'Données projet'!$B$192,EJ58+EI59-ER58)))</f>
        <v>216.76250000000019</v>
      </c>
      <c r="EK59" s="17">
        <f>EJ59*VLOOKUP('Données projet'!$B$15,Paramètres!$A$1:$I$89,3,0)*VLOOKUP('Données projet'!$B$15,Paramètres!$A$1:$I$89,5,0)</f>
        <v>233.32315500000018</v>
      </c>
      <c r="EL59" s="13">
        <f t="shared" si="45"/>
        <v>57.000624336257076</v>
      </c>
      <c r="EM59" s="20">
        <f t="shared" si="19"/>
        <v>505.64724901064801</v>
      </c>
      <c r="EN59" s="59">
        <f t="shared" si="20"/>
        <v>776.27426086347168</v>
      </c>
      <c r="EO59" s="59">
        <f ca="1">AVERAGE(OFFSET($EN$3,0,0,'Données projet'!$E$15+1,1))-AVERAGE(OFFSET($H$3,0,0,'Données projet'!$E$15+1,1))</f>
        <v>713.57333631602273</v>
      </c>
      <c r="EP59" s="59">
        <f t="shared" si="46"/>
        <v>325.30302392555359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9.8763580285739323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9.8763580285739323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9.375</v>
      </c>
      <c r="FE59" s="12">
        <f>IF('Données projet'!$A$218&gt;35,FE58+FD59-FM58,IF(A59&lt;'Données projet'!$A$218,$FB$205^A59,IF(A59='Données projet'!$A$218,'Données projet'!$B$218,FE58+FD59-FM58)))</f>
        <v>259.49999999999989</v>
      </c>
      <c r="FF59" s="17">
        <f>FE59*VLOOKUP('Données projet'!$B$16,Paramètres!$A$1:$I$89,3,0)*VLOOKUP('Données projet'!$B$16,Paramètres!$A$1:$I$89,5,0)</f>
        <v>202.40999999999991</v>
      </c>
      <c r="FG59" s="13">
        <f t="shared" si="47"/>
        <v>50.273442991661817</v>
      </c>
      <c r="FH59" s="20">
        <f t="shared" si="22"/>
        <v>440.09032987714414</v>
      </c>
      <c r="FI59" s="59">
        <f t="shared" si="23"/>
        <v>710.71734172996787</v>
      </c>
      <c r="FJ59" s="59">
        <f ca="1">AVERAGE(OFFSET($FI$3,0,0,'Données projet'!$E$16+1,1))-AVERAGE(OFFSET($H$3,0,0,'Données projet'!$E$16+1,1))</f>
        <v>302.04287561738482</v>
      </c>
      <c r="FK59" s="59">
        <f t="shared" si="48"/>
        <v>296.09828774694802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27.7862785794559</v>
      </c>
      <c r="FR59" s="21">
        <f>EXP(-LN(2)/25)*FR58+(1-EXP(-LN(2)/25))/(LN(2)/25)*Calculateur!FM59*Calculateur!FO59*VLOOKUP('Données projet'!$B$16,Paramètres!$A$1:$I$89,3,0)*0.475*44/12</f>
        <v>15.065407700107366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42.851686279563268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8.757142857142858</v>
      </c>
      <c r="FZ59" s="12">
        <f>IF('Données projet'!$A$244&gt;35,FZ58+FY59-GH58,IF(A59&lt;'Données projet'!$A$244,$FW$205^A59,IF(A59='Données projet'!$A$244,'Données projet'!$B$244,FZ58+FY59-GH58)))</f>
        <v>156.30857142857147</v>
      </c>
      <c r="GA59" s="17">
        <f>FZ59*VLOOKUP('Données projet'!$B$17,Paramètres!$A$1:$I$89,3,0)*VLOOKUP('Données projet'!$B$17,Paramètres!$A$1:$I$89,5,0)</f>
        <v>131.67434057142862</v>
      </c>
      <c r="GB59" s="13">
        <f t="shared" si="49"/>
        <v>34.382961649798958</v>
      </c>
      <c r="GC59" s="20">
        <f t="shared" si="25"/>
        <v>289.21646803530473</v>
      </c>
      <c r="GD59" s="59">
        <f t="shared" si="26"/>
        <v>559.84347988812851</v>
      </c>
      <c r="GE59" s="59">
        <f ca="1">AVERAGE(OFFSET($GD$3,0,0,'Données projet'!$E$17+1,1))-AVERAGE(OFFSET($H$3,0,0,'Données projet'!$E$17+1,1))</f>
        <v>385.41819366740276</v>
      </c>
      <c r="GF59" s="59">
        <f t="shared" si="50"/>
        <v>262.4625391252718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8.3187446651169914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8.3187446651169914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63.807366868951917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3.3000000000000003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12.100000000000001</v>
      </c>
      <c r="H60" s="67">
        <f t="shared" si="1"/>
        <v>208.26666666666665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9.5537500000000009</v>
      </c>
      <c r="N60" s="13">
        <f>IF('Données projet'!$A$36&gt;35,N59+M60-V59,IF(A60&lt;'Données projet'!$A$36,$K$205^A60,IF(A60='Données projet'!$A$36,'Données projet'!$B$36,N59+M60-V59)))</f>
        <v>226.3162500000002</v>
      </c>
      <c r="O60" s="13">
        <f>N60*VLOOKUP('Données projet'!$B$9,Paramètres!$A$1:$I$89,3,0)*VLOOKUP('Données projet'!$B$9,Paramètres!$A$1:$I$89,5,0)</f>
        <v>204.77094300000016</v>
      </c>
      <c r="P60" s="13">
        <f t="shared" si="33"/>
        <v>50.791233664926693</v>
      </c>
      <c r="Q60" s="20">
        <f t="shared" si="53"/>
        <v>445.10412435808092</v>
      </c>
      <c r="R60" s="59">
        <f t="shared" si="0"/>
        <v>716.12504012486158</v>
      </c>
      <c r="S60" s="59">
        <f ca="1">AVERAGE(OFFSET($R$3,0,0,'Données projet'!$E$9+1,1))-AVERAGE(OFFSET($H$3,0,0,'Données projet'!$E$9+1,1))</f>
        <v>612.09138396952153</v>
      </c>
      <c r="T60" s="59">
        <f t="shared" si="34"/>
        <v>282.284310393542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8.1390716370115399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8.1390716370115399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229.4846775000002</v>
      </c>
      <c r="AK60" s="13">
        <f t="shared" si="35"/>
        <v>56.171242216591338</v>
      </c>
      <c r="AL60" s="20">
        <f t="shared" si="4"/>
        <v>497.51739350639696</v>
      </c>
      <c r="AM60" s="59">
        <f t="shared" si="5"/>
        <v>768.53830927317767</v>
      </c>
      <c r="AN60" s="59">
        <f ca="1">AVERAGE(OFFSET($AM$3,0,0,'Données projet'!$E$10+1,1))-AVERAGE(OFFSET($H$3,0,0,'Données projet'!$E$10+1,1))</f>
        <v>676.7112666359476</v>
      </c>
      <c r="AO60" s="59">
        <f t="shared" si="36"/>
        <v>309.67876644201385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9.1213733863060362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9.1213733863060362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225.95414400000021</v>
      </c>
      <c r="BF60" s="13">
        <f t="shared" si="37"/>
        <v>55.406971344511433</v>
      </c>
      <c r="BG60" s="20">
        <f t="shared" si="7"/>
        <v>490.03727589169108</v>
      </c>
      <c r="BH60" s="59">
        <f t="shared" si="8"/>
        <v>761.05819165847174</v>
      </c>
      <c r="BI60" s="59">
        <f ca="1">AVERAGE(OFFSET($BH$3,0,0,'Données projet'!$E$11+1,1))-AVERAGE(OFFSET($H$3,0,0,'Données projet'!$E$11+1,1))</f>
        <v>667.4887768032404</v>
      </c>
      <c r="BJ60" s="59">
        <f t="shared" si="38"/>
        <v>305.76944302827178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8.9810445649782551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8.9810445649782551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215.36254350000016</v>
      </c>
      <c r="CA60" s="13">
        <f t="shared" si="39"/>
        <v>53.105711109039405</v>
      </c>
      <c r="CB60" s="20">
        <f t="shared" si="10"/>
        <v>467.58221011074392</v>
      </c>
      <c r="CC60" s="59">
        <f t="shared" si="11"/>
        <v>738.60312587752458</v>
      </c>
      <c r="CD60" s="59">
        <f ca="1">AVERAGE(OFFSET($CC$3,0,0,'Données projet'!$E$12+1,1))-AVERAGE(OFFSET($H$3,0,0,'Données projet'!$E$12+1,1))</f>
        <v>639.80378676828764</v>
      </c>
      <c r="CE60" s="59">
        <f t="shared" si="40"/>
        <v>294.03328334345281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8.5600581009948957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8.5600581009948957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5.2</v>
      </c>
      <c r="CT60" s="12">
        <f>IF('Données projet'!$A$140&gt;35,CT59+CS60-DB59,IF(A60&lt;'Données projet'!$A$140,$CQ$205^A60,IF(A60='Données projet'!$A$140,'Données projet'!$B$140,CT59+CS60-DB59)))</f>
        <v>229.39999999999986</v>
      </c>
      <c r="CU60" s="17">
        <f>CT60*VLOOKUP('Données projet'!$B$13,Paramètres!$A$1:$I$89,3,0)*VLOOKUP('Données projet'!$B$13,Paramètres!$A$1:$I$89,5,0)</f>
        <v>200.40383999999992</v>
      </c>
      <c r="CV60" s="13">
        <f t="shared" si="41"/>
        <v>49.832909112305636</v>
      </c>
      <c r="CW60" s="20">
        <f t="shared" si="13"/>
        <v>435.82900470393218</v>
      </c>
      <c r="CX60" s="59">
        <f t="shared" si="14"/>
        <v>706.84992047071285</v>
      </c>
      <c r="CY60" s="59">
        <f ca="1">AVERAGE(OFFSET($CX$3,0,0,'Données projet'!$E$13+1,1))-AVERAGE(OFFSET($H$3,0,0,'Données projet'!$E$13+1,1))</f>
        <v>340.64710509454375</v>
      </c>
      <c r="CZ60" s="59">
        <f t="shared" si="42"/>
        <v>329.6409514360613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6.8547421387540517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6.8547421387540517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9.5537500000000009</v>
      </c>
      <c r="DO60" s="12">
        <f>IF('Données projet'!$A$166&gt;35,DO59+DN60-DW59,IF(A60&lt;'Données projet'!$A$166,$DL$205^A60,IF(A60='Données projet'!$A$166,'Données projet'!$B$166,DO59+DN60-DW59)))</f>
        <v>226.3162500000002</v>
      </c>
      <c r="DP60" s="17">
        <f>DO60*VLOOKUP('Données projet'!$B$14,Paramètres!$A$1:$I$89,3,0)*VLOOKUP('Données projet'!$B$14,Paramètres!$A$1:$I$89,5,0)</f>
        <v>218.8930770000002</v>
      </c>
      <c r="DQ60" s="13">
        <f t="shared" si="43"/>
        <v>53.874230892742354</v>
      </c>
      <c r="DR60" s="20">
        <f t="shared" si="16"/>
        <v>475.06972791319322</v>
      </c>
      <c r="DS60" s="59">
        <f t="shared" si="17"/>
        <v>746.09064367997394</v>
      </c>
      <c r="DT60" s="59">
        <f ca="1">AVERAGE(OFFSET($DS$3,0,0,'Données projet'!$E$14+1,1))-AVERAGE(OFFSET($H$3,0,0,'Données projet'!$E$14+1,1))</f>
        <v>649.03508893149228</v>
      </c>
      <c r="DU60" s="59">
        <f t="shared" si="44"/>
        <v>297.94672581383213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8.7003869223226804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8.7003869223226804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9.5537500000000009</v>
      </c>
      <c r="EJ60" s="12">
        <f>IF('Données projet'!$A$192&gt;35,EJ59+EI60-ER59,IF(A60&lt;'Données projet'!$A$192,$EG$205^A60,IF(A60='Données projet'!$A$192,'Données projet'!$B$192,EJ59+EI60-ER59)))</f>
        <v>226.3162500000002</v>
      </c>
      <c r="EK60" s="17">
        <f>EJ60*VLOOKUP('Données projet'!$B$15,Paramètres!$A$1:$I$89,3,0)*VLOOKUP('Données projet'!$B$15,Paramètres!$A$1:$I$89,5,0)</f>
        <v>243.60681150000022</v>
      </c>
      <c r="EL60" s="13">
        <f t="shared" si="45"/>
        <v>59.214878562718148</v>
      </c>
      <c r="EM60" s="20">
        <f t="shared" si="19"/>
        <v>527.41444352590111</v>
      </c>
      <c r="EN60" s="59">
        <f t="shared" si="20"/>
        <v>798.43535929268182</v>
      </c>
      <c r="EO60" s="59">
        <f ca="1">AVERAGE(OFFSET($EN$3,0,0,'Données projet'!$E$15+1,1))-AVERAGE(OFFSET($H$3,0,0,'Données projet'!$E$15+1,1))</f>
        <v>713.57333631602273</v>
      </c>
      <c r="EP60" s="59">
        <f t="shared" si="46"/>
        <v>325.30302392555359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9.6826886716171767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9.6826886716171767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9.375</v>
      </c>
      <c r="FE60" s="12">
        <f>IF('Données projet'!$A$218&gt;35,FE59+FD60-FM59,IF(A60&lt;'Données projet'!$A$218,$FB$205^A60,IF(A60='Données projet'!$A$218,'Données projet'!$B$218,FE59+FD60-FM59)))</f>
        <v>268.87499999999989</v>
      </c>
      <c r="FF60" s="17">
        <f>FE60*VLOOKUP('Données projet'!$B$16,Paramètres!$A$1:$I$89,3,0)*VLOOKUP('Données projet'!$B$16,Paramètres!$A$1:$I$89,5,0)</f>
        <v>209.72249999999991</v>
      </c>
      <c r="FG60" s="13">
        <f t="shared" si="47"/>
        <v>51.874940300502246</v>
      </c>
      <c r="FH60" s="20">
        <f t="shared" si="22"/>
        <v>455.61554185670792</v>
      </c>
      <c r="FI60" s="59">
        <f t="shared" si="23"/>
        <v>726.63645762348858</v>
      </c>
      <c r="FJ60" s="59">
        <f ca="1">AVERAGE(OFFSET($FI$3,0,0,'Données projet'!$E$16+1,1))-AVERAGE(OFFSET($H$3,0,0,'Données projet'!$E$16+1,1))</f>
        <v>302.04287561738482</v>
      </c>
      <c r="FK60" s="59">
        <f t="shared" si="48"/>
        <v>296.09828774694802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27.24140660446923</v>
      </c>
      <c r="FR60" s="21">
        <f>EXP(-LN(2)/25)*FR59+(1-EXP(-LN(2)/25))/(LN(2)/25)*Calculateur!FM60*Calculateur!FO60*VLOOKUP('Données projet'!$B$16,Paramètres!$A$1:$I$89,3,0)*0.475*44/12</f>
        <v>14.653443334292572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41.894849938761801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8.757142857142858</v>
      </c>
      <c r="FZ60" s="12">
        <f>IF('Données projet'!$A$244&gt;35,FZ59+FY60-GH59,IF(A60&lt;'Données projet'!$A$244,$FW$205^A60,IF(A60='Données projet'!$A$244,'Données projet'!$B$244,FZ59+FY60-GH59)))</f>
        <v>165.06571428571434</v>
      </c>
      <c r="GA60" s="17">
        <f>FZ60*VLOOKUP('Données projet'!$B$17,Paramètres!$A$1:$I$89,3,0)*VLOOKUP('Données projet'!$B$17,Paramètres!$A$1:$I$89,5,0)</f>
        <v>139.05135771428579</v>
      </c>
      <c r="GB60" s="13">
        <f t="shared" si="49"/>
        <v>36.079598948273173</v>
      </c>
      <c r="GC60" s="20">
        <f t="shared" si="25"/>
        <v>305.01974952062346</v>
      </c>
      <c r="GD60" s="59">
        <f t="shared" si="26"/>
        <v>576.04066528740418</v>
      </c>
      <c r="GE60" s="59">
        <f ca="1">AVERAGE(OFFSET($GD$3,0,0,'Données projet'!$E$17+1,1))-AVERAGE(OFFSET($H$3,0,0,'Données projet'!$E$17+1,1))</f>
        <v>385.41819366740276</v>
      </c>
      <c r="GF60" s="59">
        <f t="shared" si="50"/>
        <v>262.4625391252718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8.1556191561672833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8.1556191561672833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63.914795209121991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3.3000000000000003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12.100000000000001</v>
      </c>
      <c r="H61" s="67">
        <f t="shared" si="1"/>
        <v>208.26666666666665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235.87</v>
      </c>
      <c r="L61" s="12">
        <f>VLOOKUP(A61,'Données projet'!$A$35:$I$55,9,0)</f>
        <v>9.5537500000000009</v>
      </c>
      <c r="M61" s="12">
        <f t="array" ref="M61">INDEX(L:L,MIN(IF(ISNUMBER(L61:L257),ROW(L61:L257),"")))</f>
        <v>9.5537500000000009</v>
      </c>
      <c r="N61" s="13">
        <f>IF('Données projet'!$A$36&gt;35,N60+M61-V60,IF(A61&lt;'Données projet'!$A$36,$K$205^A61,IF(A61='Données projet'!$A$36,'Données projet'!$B$36,N60+M61-V60)))</f>
        <v>235.8700000000002</v>
      </c>
      <c r="O61" s="13">
        <f>N61*VLOOKUP('Données projet'!$B$9,Paramètres!$A$1:$I$89,3,0)*VLOOKUP('Données projet'!$B$9,Paramètres!$A$1:$I$89,5,0)</f>
        <v>213.41517600000017</v>
      </c>
      <c r="P61" s="13">
        <f t="shared" si="33"/>
        <v>52.681185448853228</v>
      </c>
      <c r="Q61" s="20">
        <f t="shared" si="53"/>
        <v>463.45116285675294</v>
      </c>
      <c r="R61" s="59">
        <f t="shared" si="0"/>
        <v>734.85914918522064</v>
      </c>
      <c r="S61" s="59">
        <f ca="1">AVERAGE(OFFSET($R$3,0,0,'Données projet'!$E$9+1,1))-AVERAGE(OFFSET($H$3,0,0,'Données projet'!$E$9+1,1))</f>
        <v>612.09138396952153</v>
      </c>
      <c r="T61" s="59">
        <f t="shared" si="34"/>
        <v>282.284310393542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0.129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13.776770157795863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13.776770157795863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239.1721800000002</v>
      </c>
      <c r="AK61" s="13">
        <f t="shared" si="35"/>
        <v>58.261385175767472</v>
      </c>
      <c r="AL61" s="20">
        <f t="shared" si="4"/>
        <v>518.0301260144621</v>
      </c>
      <c r="AM61" s="59">
        <f t="shared" si="5"/>
        <v>789.4381123429298</v>
      </c>
      <c r="AN61" s="59">
        <f ca="1">AVERAGE(OFFSET($AM$3,0,0,'Données projet'!$E$10+1,1))-AVERAGE(OFFSET($H$3,0,0,'Données projet'!$E$10+1,1))</f>
        <v>676.7112666359476</v>
      </c>
      <c r="AO61" s="59">
        <f t="shared" si="36"/>
        <v>309.67876644201385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15.439483797529846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15.439483797529846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235.49260800000022</v>
      </c>
      <c r="BF61" s="13">
        <f t="shared" si="37"/>
        <v>57.468675634376645</v>
      </c>
      <c r="BG61" s="20">
        <f t="shared" si="7"/>
        <v>510.24090232987305</v>
      </c>
      <c r="BH61" s="59">
        <f t="shared" si="8"/>
        <v>781.64888865834075</v>
      </c>
      <c r="BI61" s="59">
        <f ca="1">AVERAGE(OFFSET($BH$3,0,0,'Données projet'!$E$11+1,1))-AVERAGE(OFFSET($H$3,0,0,'Données projet'!$E$11+1,1))</f>
        <v>667.4887768032404</v>
      </c>
      <c r="BJ61" s="59">
        <f t="shared" si="38"/>
        <v>305.76944302827178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15.201953277567853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15.201953277567853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224.45389200000022</v>
      </c>
      <c r="CA61" s="13">
        <f t="shared" si="39"/>
        <v>55.081785053400523</v>
      </c>
      <c r="CB61" s="20">
        <f t="shared" si="10"/>
        <v>486.85797086800625</v>
      </c>
      <c r="CC61" s="59">
        <f t="shared" si="11"/>
        <v>758.26595719647389</v>
      </c>
      <c r="CD61" s="59">
        <f ca="1">AVERAGE(OFFSET($CC$3,0,0,'Données projet'!$E$12+1,1))-AVERAGE(OFFSET($H$3,0,0,'Données projet'!$E$12+1,1))</f>
        <v>639.80378676828764</v>
      </c>
      <c r="CE61" s="59">
        <f t="shared" si="40"/>
        <v>294.03328334345281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14.489361717681856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14.489361717681856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5.2</v>
      </c>
      <c r="CT61" s="12">
        <f>IF('Données projet'!$A$140&gt;35,CT60+CS61-DB60,IF(A61&lt;'Données projet'!$A$140,$CQ$205^A61,IF(A61='Données projet'!$A$140,'Données projet'!$B$140,CT60+CS61-DB60)))</f>
        <v>234.59999999999985</v>
      </c>
      <c r="CU61" s="17">
        <f>CT61*VLOOKUP('Données projet'!$B$13,Paramètres!$A$1:$I$89,3,0)*VLOOKUP('Données projet'!$B$13,Paramètres!$A$1:$I$89,5,0)</f>
        <v>204.94655999999989</v>
      </c>
      <c r="CV61" s="13">
        <f t="shared" si="41"/>
        <v>50.829721281867236</v>
      </c>
      <c r="CW61" s="20">
        <f t="shared" si="13"/>
        <v>445.47702323258522</v>
      </c>
      <c r="CX61" s="59">
        <f t="shared" si="14"/>
        <v>716.88500956105293</v>
      </c>
      <c r="CY61" s="59">
        <f ca="1">AVERAGE(OFFSET($CX$3,0,0,'Données projet'!$E$13+1,1))-AVERAGE(OFFSET($H$3,0,0,'Données projet'!$E$13+1,1))</f>
        <v>340.64710509454375</v>
      </c>
      <c r="CZ61" s="59">
        <f t="shared" si="42"/>
        <v>329.6409514360613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6.720324826392952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6.720324826392952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235.87</v>
      </c>
      <c r="DM61" s="12">
        <f>VLOOKUP(A61,'Données projet'!$A$165:$I$185,9,0)</f>
        <v>9.5537500000000009</v>
      </c>
      <c r="DN61" s="12">
        <f t="array" ref="DN61">INDEX(DM:DM,MIN(IF(ISNUMBER(DM61:DM257),ROW(DM61:DM257),"")))</f>
        <v>9.5537500000000009</v>
      </c>
      <c r="DO61" s="12">
        <f>IF('Données projet'!$A$166&gt;35,DO60+DN61-DW60,IF(A61&lt;'Données projet'!$A$166,$DL$205^A61,IF(A61='Données projet'!$A$166,'Données projet'!$B$166,DO60+DN61-DW60)))</f>
        <v>235.8700000000002</v>
      </c>
      <c r="DP61" s="17">
        <f>DO61*VLOOKUP('Données projet'!$B$14,Paramètres!$A$1:$I$89,3,0)*VLOOKUP('Données projet'!$B$14,Paramètres!$A$1:$I$89,5,0)</f>
        <v>228.1334640000002</v>
      </c>
      <c r="DQ61" s="13">
        <f t="shared" si="43"/>
        <v>55.87890160925069</v>
      </c>
      <c r="DR61" s="20">
        <f t="shared" si="16"/>
        <v>494.6548701027786</v>
      </c>
      <c r="DS61" s="59">
        <f t="shared" si="17"/>
        <v>766.06285643124625</v>
      </c>
      <c r="DT61" s="59">
        <f ca="1">AVERAGE(OFFSET($DS$3,0,0,'Données projet'!$E$14+1,1))-AVERAGE(OFFSET($H$3,0,0,'Données projet'!$E$14+1,1))</f>
        <v>649.03508893149228</v>
      </c>
      <c r="DU61" s="59">
        <f t="shared" si="44"/>
        <v>297.94672581383213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44.93</v>
      </c>
      <c r="DX61" s="16">
        <f>IF(ISNA(VLOOKUP(A61,'Données projet'!$A$165:$I$185,5,0)),0%,VLOOKUP(A61,'Données projet'!$A$165:$I$185,5,0)*VLOOKUP('Données projet'!$B$14,Paramètres!$A$1:$I$89,7,0))</f>
        <v>0.129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14.726892237643852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14.726892237643852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>
        <f>VLOOKUP(A61,'Données projet'!$A$191:$I$211,2,0)</f>
        <v>235.87</v>
      </c>
      <c r="EH61" s="12">
        <f>VLOOKUP(A61,'Données projet'!$A$191:$I$211,9,0)</f>
        <v>9.5537500000000009</v>
      </c>
      <c r="EI61" s="12">
        <f t="array" ref="EI61">INDEX(EH:EH,MIN(IF(ISNUMBER(EH61:EH257),ROW(EH61:EH257),"")))</f>
        <v>9.5537500000000009</v>
      </c>
      <c r="EJ61" s="12">
        <f>IF('Données projet'!$A$192&gt;35,EJ60+EI61-ER60,IF(A61&lt;'Données projet'!$A$192,$EG$205^A61,IF(A61='Données projet'!$A$192,'Données projet'!$B$192,EJ60+EI61-ER60)))</f>
        <v>235.8700000000002</v>
      </c>
      <c r="EK61" s="17">
        <f>EJ61*VLOOKUP('Données projet'!$B$15,Paramètres!$A$1:$I$89,3,0)*VLOOKUP('Données projet'!$B$15,Paramètres!$A$1:$I$89,5,0)</f>
        <v>253.8904680000002</v>
      </c>
      <c r="EL61" s="13">
        <f t="shared" si="45"/>
        <v>61.418275828334977</v>
      </c>
      <c r="EM61" s="20">
        <f t="shared" si="19"/>
        <v>549.16272883435045</v>
      </c>
      <c r="EN61" s="59">
        <f t="shared" si="20"/>
        <v>820.57071516281815</v>
      </c>
      <c r="EO61" s="59">
        <f ca="1">AVERAGE(OFFSET($EN$3,0,0,'Données projet'!$E$15+1,1))-AVERAGE(OFFSET($H$3,0,0,'Données projet'!$E$15+1,1))</f>
        <v>713.57333631602273</v>
      </c>
      <c r="EP61" s="59">
        <f t="shared" si="46"/>
        <v>325.30302392555359</v>
      </c>
      <c r="EQ61" s="15">
        <f>IF(ISNA(VLOOKUP(A61,'Données projet'!$A$191:$I$211,3,0)),0,VLOOKUP(A61,'Données projet'!$A$191:$I$211,3,0))</f>
        <v>3</v>
      </c>
      <c r="ER61" s="15">
        <f>IF(ISNA(VLOOKUP(A61,'Données projet'!$A$191:$I$211,4,0)),0,VLOOKUP(A61,'Données projet'!$A$191:$I$211,4,0))</f>
        <v>44.93</v>
      </c>
      <c r="ES61" s="16">
        <f>IF(ISNA(VLOOKUP(A61,'Données projet'!$A$191:$I$211,5,0)),0%,VLOOKUP(A61,'Données projet'!$A$191:$I$211,5,0)*VLOOKUP('Données projet'!$B$15,Paramètres!$A$1:$I$89,7,0))</f>
        <v>0.129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16.389605877377836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16.389605877377836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9.375</v>
      </c>
      <c r="FE61" s="12">
        <f>IF('Données projet'!$A$218&gt;35,FE60+FD61-FM60,IF(A61&lt;'Données projet'!$A$218,$FB$205^A61,IF(A61='Données projet'!$A$218,'Données projet'!$B$218,FE60+FD61-FM60)))</f>
        <v>278.24999999999989</v>
      </c>
      <c r="FF61" s="17">
        <f>FE61*VLOOKUP('Données projet'!$B$16,Paramètres!$A$1:$I$89,3,0)*VLOOKUP('Données projet'!$B$16,Paramètres!$A$1:$I$89,5,0)</f>
        <v>217.03499999999991</v>
      </c>
      <c r="FG61" s="13">
        <f t="shared" si="47"/>
        <v>53.469949591969474</v>
      </c>
      <c r="FH61" s="20">
        <f t="shared" si="22"/>
        <v>471.12945387267996</v>
      </c>
      <c r="FI61" s="59">
        <f t="shared" si="23"/>
        <v>742.53744020114766</v>
      </c>
      <c r="FJ61" s="59">
        <f ca="1">AVERAGE(OFFSET($FI$3,0,0,'Données projet'!$E$16+1,1))-AVERAGE(OFFSET($H$3,0,0,'Données projet'!$E$16+1,1))</f>
        <v>302.04287561738482</v>
      </c>
      <c r="FK61" s="59">
        <f t="shared" si="48"/>
        <v>296.09828774694802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26.707219236572961</v>
      </c>
      <c r="FR61" s="21">
        <f>EXP(-LN(2)/25)*FR60+(1-EXP(-LN(2)/25))/(LN(2)/25)*Calculateur!FM61*Calculateur!FO61*VLOOKUP('Données projet'!$B$16,Paramètres!$A$1:$I$89,3,0)*0.475*44/12</f>
        <v>14.252744155725248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40.959963392298206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8.757142857142858</v>
      </c>
      <c r="FZ61" s="12">
        <f>IF('Données projet'!$A$244&gt;35,FZ60+FY61-GH60,IF(A61&lt;'Données projet'!$A$244,$FW$205^A61,IF(A61='Données projet'!$A$244,'Données projet'!$B$244,FZ60+FY61-GH60)))</f>
        <v>173.8228571428572</v>
      </c>
      <c r="GA61" s="17">
        <f>FZ61*VLOOKUP('Données projet'!$B$17,Paramètres!$A$1:$I$89,3,0)*VLOOKUP('Données projet'!$B$17,Paramètres!$A$1:$I$89,5,0)</f>
        <v>146.42837485714293</v>
      </c>
      <c r="GB61" s="13">
        <f t="shared" si="49"/>
        <v>37.765786099604732</v>
      </c>
      <c r="GC61" s="20">
        <f t="shared" si="25"/>
        <v>320.80483033300214</v>
      </c>
      <c r="GD61" s="59">
        <f t="shared" si="26"/>
        <v>592.21281666146979</v>
      </c>
      <c r="GE61" s="59">
        <f ca="1">AVERAGE(OFFSET($GD$3,0,0,'Données projet'!$E$17+1,1))-AVERAGE(OFFSET($H$3,0,0,'Données projet'!$E$17+1,1))</f>
        <v>385.41819366740276</v>
      </c>
      <c r="GF61" s="59">
        <f t="shared" si="50"/>
        <v>262.4625391252718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7.9956924389513437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7.9956924389513437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64.020359907763918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3.3000000000000003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12.100000000000001</v>
      </c>
      <c r="H62" s="67">
        <f t="shared" si="1"/>
        <v>208.26666666666665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9.2524999999999977</v>
      </c>
      <c r="N62" s="13">
        <f>IF('Données projet'!$A$36&gt;35,N61+M62-V61,IF(A62&lt;'Données projet'!$A$36,$K$205^A62,IF(A62='Données projet'!$A$36,'Données projet'!$B$36,N61+M62-V61)))</f>
        <v>200.19250000000019</v>
      </c>
      <c r="O62" s="13">
        <f>N62*VLOOKUP('Données projet'!$B$9,Paramètres!$A$1:$I$89,3,0)*VLOOKUP('Données projet'!$B$9,Paramètres!$A$1:$I$89,5,0)</f>
        <v>181.13417400000017</v>
      </c>
      <c r="P62" s="13">
        <f t="shared" si="33"/>
        <v>45.574426667354729</v>
      </c>
      <c r="Q62" s="20">
        <f t="shared" si="53"/>
        <v>394.85081282897653</v>
      </c>
      <c r="R62" s="59">
        <f t="shared" si="0"/>
        <v>666.63915491024613</v>
      </c>
      <c r="S62" s="59">
        <f ca="1">AVERAGE(OFFSET($R$3,0,0,'Données projet'!$E$9+1,1))-AVERAGE(OFFSET($H$3,0,0,'Données projet'!$E$9+1,1))</f>
        <v>612.09138396952153</v>
      </c>
      <c r="T62" s="59">
        <f t="shared" si="34"/>
        <v>282.284310393542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13.506616098001555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13.506616098001555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202.99519500000022</v>
      </c>
      <c r="AK62" s="13">
        <f t="shared" si="35"/>
        <v>50.40185036856122</v>
      </c>
      <c r="AL62" s="20">
        <f t="shared" si="4"/>
        <v>441.33318735024449</v>
      </c>
      <c r="AM62" s="59">
        <f t="shared" si="5"/>
        <v>713.12152943151409</v>
      </c>
      <c r="AN62" s="59">
        <f ca="1">AVERAGE(OFFSET($AM$3,0,0,'Données projet'!$E$10+1,1))-AVERAGE(OFFSET($H$3,0,0,'Données projet'!$E$10+1,1))</f>
        <v>676.7112666359476</v>
      </c>
      <c r="AO62" s="59">
        <f t="shared" si="36"/>
        <v>309.67876644201385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15.136724937415535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15.136724937415535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199.87219200000021</v>
      </c>
      <c r="BF62" s="13">
        <f t="shared" si="37"/>
        <v>49.716078350433342</v>
      </c>
      <c r="BG62" s="20">
        <f t="shared" si="7"/>
        <v>434.69957086033838</v>
      </c>
      <c r="BH62" s="59">
        <f t="shared" si="8"/>
        <v>706.48791294160799</v>
      </c>
      <c r="BI62" s="59">
        <f ca="1">AVERAGE(OFFSET($BH$3,0,0,'Données projet'!$E$11+1,1))-AVERAGE(OFFSET($H$3,0,0,'Données projet'!$E$11+1,1))</f>
        <v>667.4887768032404</v>
      </c>
      <c r="BJ62" s="59">
        <f t="shared" si="38"/>
        <v>305.76944302827178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14.903852246070686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14.903852246070686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190.50318300000018</v>
      </c>
      <c r="CA62" s="13">
        <f t="shared" si="39"/>
        <v>47.651182338339787</v>
      </c>
      <c r="CB62" s="20">
        <f t="shared" si="10"/>
        <v>414.78551963094213</v>
      </c>
      <c r="CC62" s="59">
        <f t="shared" si="11"/>
        <v>686.57386171221174</v>
      </c>
      <c r="CD62" s="59">
        <f ca="1">AVERAGE(OFFSET($CC$3,0,0,'Données projet'!$E$12+1,1))-AVERAGE(OFFSET($H$3,0,0,'Données projet'!$E$12+1,1))</f>
        <v>639.80378676828764</v>
      </c>
      <c r="CE62" s="59">
        <f t="shared" si="40"/>
        <v>294.03328334345281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14.205234172036118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14.205234172036118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5.2</v>
      </c>
      <c r="CT62" s="12">
        <f>IF('Données projet'!$A$140&gt;35,CT61+CS62-DB61,IF(A62&lt;'Données projet'!$A$140,$CQ$205^A62,IF(A62='Données projet'!$A$140,'Données projet'!$B$140,CT61+CS62-DB61)))</f>
        <v>239.79999999999984</v>
      </c>
      <c r="CU62" s="17">
        <f>CT62*VLOOKUP('Données projet'!$B$13,Paramètres!$A$1:$I$89,3,0)*VLOOKUP('Données projet'!$B$13,Paramètres!$A$1:$I$89,5,0)</f>
        <v>209.48927999999989</v>
      </c>
      <c r="CV62" s="13">
        <f t="shared" si="41"/>
        <v>51.823964717594365</v>
      </c>
      <c r="CW62" s="20">
        <f t="shared" si="13"/>
        <v>455.12056788314334</v>
      </c>
      <c r="CX62" s="59">
        <f t="shared" si="14"/>
        <v>726.90890996441294</v>
      </c>
      <c r="CY62" s="59">
        <f ca="1">AVERAGE(OFFSET($CX$3,0,0,'Données projet'!$E$13+1,1))-AVERAGE(OFFSET($H$3,0,0,'Données projet'!$E$13+1,1))</f>
        <v>340.64710509454375</v>
      </c>
      <c r="CZ62" s="59">
        <f t="shared" si="42"/>
        <v>329.6409514360613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6.5885433555407884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6.5885433555407884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9.2524999999999977</v>
      </c>
      <c r="DO62" s="12">
        <f>IF('Données projet'!$A$166&gt;35,DO61+DN62-DW61,IF(A62&lt;'Données projet'!$A$166,$DL$205^A62,IF(A62='Données projet'!$A$166,'Données projet'!$B$166,DO61+DN62-DW61)))</f>
        <v>200.19250000000019</v>
      </c>
      <c r="DP62" s="17">
        <f>DO62*VLOOKUP('Données projet'!$B$14,Paramètres!$A$1:$I$89,3,0)*VLOOKUP('Données projet'!$B$14,Paramètres!$A$1:$I$89,5,0)</f>
        <v>193.62618600000019</v>
      </c>
      <c r="DQ62" s="13">
        <f t="shared" si="43"/>
        <v>48.340766859082926</v>
      </c>
      <c r="DR62" s="20">
        <f t="shared" si="16"/>
        <v>421.42577622956969</v>
      </c>
      <c r="DS62" s="59">
        <f t="shared" si="17"/>
        <v>693.21411831083924</v>
      </c>
      <c r="DT62" s="59">
        <f ca="1">AVERAGE(OFFSET($DS$3,0,0,'Données projet'!$E$14+1,1))-AVERAGE(OFFSET($H$3,0,0,'Données projet'!$E$14+1,1))</f>
        <v>649.03508893149228</v>
      </c>
      <c r="DU62" s="59">
        <f t="shared" si="44"/>
        <v>297.94672581383213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14.438106863380971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14.438106863380971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9.2524999999999977</v>
      </c>
      <c r="EJ62" s="12">
        <f>IF('Données projet'!$A$192&gt;35,EJ61+EI62-ER61,IF(A62&lt;'Données projet'!$A$192,$EG$205^A62,IF(A62='Données projet'!$A$192,'Données projet'!$B$192,EJ61+EI62-ER61)))</f>
        <v>200.19250000000019</v>
      </c>
      <c r="EK62" s="17">
        <f>EJ62*VLOOKUP('Données projet'!$B$15,Paramètres!$A$1:$I$89,3,0)*VLOOKUP('Données projet'!$B$15,Paramètres!$A$1:$I$89,5,0)</f>
        <v>215.48720700000018</v>
      </c>
      <c r="EL62" s="13">
        <f t="shared" si="45"/>
        <v>53.13287246528256</v>
      </c>
      <c r="EM62" s="20">
        <f t="shared" si="19"/>
        <v>467.8466384020341</v>
      </c>
      <c r="EN62" s="59">
        <f t="shared" si="20"/>
        <v>739.63498048330371</v>
      </c>
      <c r="EO62" s="59">
        <f ca="1">AVERAGE(OFFSET($EN$3,0,0,'Données projet'!$E$15+1,1))-AVERAGE(OFFSET($H$3,0,0,'Données projet'!$E$15+1,1))</f>
        <v>713.57333631602273</v>
      </c>
      <c r="EP62" s="59">
        <f t="shared" si="46"/>
        <v>325.30302392555359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16.068215702794951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16.068215702794951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9.375</v>
      </c>
      <c r="FE62" s="12">
        <f>IF('Données projet'!$A$218&gt;35,FE61+FD62-FM61,IF(A62&lt;'Données projet'!$A$218,$FB$205^A62,IF(A62='Données projet'!$A$218,'Données projet'!$B$218,FE61+FD62-FM61)))</f>
        <v>287.62499999999989</v>
      </c>
      <c r="FF62" s="17">
        <f>FE62*VLOOKUP('Données projet'!$B$16,Paramètres!$A$1:$I$89,3,0)*VLOOKUP('Données projet'!$B$16,Paramètres!$A$1:$I$89,5,0)</f>
        <v>224.34749999999991</v>
      </c>
      <c r="FG62" s="13">
        <f t="shared" si="47"/>
        <v>55.058714525680429</v>
      </c>
      <c r="FH62" s="20">
        <f t="shared" si="22"/>
        <v>486.63249029889329</v>
      </c>
      <c r="FI62" s="59">
        <f t="shared" si="23"/>
        <v>758.42083238016289</v>
      </c>
      <c r="FJ62" s="59">
        <f ca="1">AVERAGE(OFFSET($FI$3,0,0,'Données projet'!$E$16+1,1))-AVERAGE(OFFSET($H$3,0,0,'Données projet'!$E$16+1,1))</f>
        <v>302.04287561738482</v>
      </c>
      <c r="FK62" s="59">
        <f t="shared" si="48"/>
        <v>296.09828774694802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26.183506957139016</v>
      </c>
      <c r="FR62" s="21">
        <f>EXP(-LN(2)/25)*FR61+(1-EXP(-LN(2)/25))/(LN(2)/25)*Calculateur!FM62*Calculateur!FO62*VLOOKUP('Données projet'!$B$16,Paramètres!$A$1:$I$89,3,0)*0.475*44/12</f>
        <v>13.863002117267701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40.046509074406714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>
        <f>VLOOKUP(A62,'Données projet'!$A$243:$I$263,2,0)</f>
        <v>182.58</v>
      </c>
      <c r="FX62" s="12">
        <f>VLOOKUP(A62,'Données projet'!$A$243:$I$263,9,0)</f>
        <v>8.757142857142858</v>
      </c>
      <c r="FY62" s="12">
        <f t="array" ref="FY62">INDEX(FX:FX,MIN(IF(ISNUMBER(FX62:FX258),ROW(FX62:FX258),"")))</f>
        <v>8.757142857142858</v>
      </c>
      <c r="FZ62" s="12">
        <f>IF('Données projet'!$A$244&gt;35,FZ61+FY62-GH61,IF(A62&lt;'Données projet'!$A$244,$FW$205^A62,IF(A62='Données projet'!$A$244,'Données projet'!$B$244,FZ61+FY62-GH61)))</f>
        <v>182.58000000000007</v>
      </c>
      <c r="GA62" s="17">
        <f>FZ62*VLOOKUP('Données projet'!$B$17,Paramètres!$A$1:$I$89,3,0)*VLOOKUP('Données projet'!$B$17,Paramètres!$A$1:$I$89,5,0)</f>
        <v>153.80539200000007</v>
      </c>
      <c r="GB62" s="13">
        <f t="shared" si="49"/>
        <v>39.442109649056263</v>
      </c>
      <c r="GC62" s="20">
        <f t="shared" si="25"/>
        <v>336.57273203877315</v>
      </c>
      <c r="GD62" s="59">
        <f t="shared" si="26"/>
        <v>608.36107412004276</v>
      </c>
      <c r="GE62" s="59">
        <f ca="1">AVERAGE(OFFSET($GD$3,0,0,'Données projet'!$E$17+1,1))-AVERAGE(OFFSET($H$3,0,0,'Données projet'!$E$17+1,1))</f>
        <v>385.41819366740276</v>
      </c>
      <c r="GF62" s="59">
        <f t="shared" si="50"/>
        <v>262.4625391252718</v>
      </c>
      <c r="GG62" s="15">
        <f>IF(ISNA(VLOOKUP(A62,'Données projet'!$A$243:$I$263,3,0)),0,VLOOKUP(A62,'Données projet'!$A$243:$I$263,3,0))</f>
        <v>4</v>
      </c>
      <c r="GH62" s="15">
        <f>IF(ISNA(VLOOKUP(A62,'Données projet'!$A$243:$I$263,4,0)),0,VLOOKUP(A62,'Données projet'!$A$243:$I$263,4,0))</f>
        <v>38.119999999999997</v>
      </c>
      <c r="GI62" s="16">
        <f>IF(ISNA(VLOOKUP(A62,'Données projet'!$A$243:$I$263,5,0)),0%,VLOOKUP(A62,'Données projet'!$A$243:$I$263,5,0)*VLOOKUP('Données projet'!$B$17,Paramètres!$A$1:$I$89,7,0))</f>
        <v>0.129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12.418296420305392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12.418296420305392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64.124093294891708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3.3000000000000003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12.100000000000001</v>
      </c>
      <c r="H63" s="67">
        <f t="shared" si="1"/>
        <v>208.26666666666665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9.2524999999999977</v>
      </c>
      <c r="N63" s="13">
        <f>IF('Données projet'!$A$36&gt;35,N62+M63-V62,IF(A63&lt;'Données projet'!$A$36,$K$205^A63,IF(A63='Données projet'!$A$36,'Données projet'!$B$36,N62+M63-V62)))</f>
        <v>209.44500000000019</v>
      </c>
      <c r="O63" s="13">
        <f>N63*VLOOKUP('Données projet'!$B$9,Paramètres!$A$1:$I$89,3,0)*VLOOKUP('Données projet'!$B$9,Paramètres!$A$1:$I$89,5,0)</f>
        <v>189.50583600000016</v>
      </c>
      <c r="P63" s="13">
        <f t="shared" si="33"/>
        <v>47.430683653447495</v>
      </c>
      <c r="Q63" s="20">
        <f t="shared" si="53"/>
        <v>412.6644383964213</v>
      </c>
      <c r="R63" s="59">
        <f t="shared" si="0"/>
        <v>684.82653790852976</v>
      </c>
      <c r="S63" s="59">
        <f ca="1">AVERAGE(OFFSET($R$3,0,0,'Données projet'!$E$9+1,1))-AVERAGE(OFFSET($H$3,0,0,'Données projet'!$E$9+1,1))</f>
        <v>612.09138396952153</v>
      </c>
      <c r="T63" s="59">
        <f t="shared" si="34"/>
        <v>282.284310393542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13.241759594542106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13.241759594542106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212.3772300000002</v>
      </c>
      <c r="AK63" s="13">
        <f t="shared" si="35"/>
        <v>52.454729443519689</v>
      </c>
      <c r="AL63" s="20">
        <f t="shared" si="4"/>
        <v>461.24899603079712</v>
      </c>
      <c r="AM63" s="59">
        <f t="shared" si="5"/>
        <v>733.41109554290551</v>
      </c>
      <c r="AN63" s="59">
        <f ca="1">AVERAGE(OFFSET($AM$3,0,0,'Données projet'!$E$10+1,1))-AVERAGE(OFFSET($H$3,0,0,'Données projet'!$E$10+1,1))</f>
        <v>676.7112666359476</v>
      </c>
      <c r="AO63" s="59">
        <f t="shared" si="36"/>
        <v>309.67876644201385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14.839902993883396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14.839902993883396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209.10988800000021</v>
      </c>
      <c r="BF63" s="13">
        <f t="shared" si="37"/>
        <v>51.7410257717737</v>
      </c>
      <c r="BG63" s="20">
        <f t="shared" si="7"/>
        <v>454.3153414858395</v>
      </c>
      <c r="BH63" s="59">
        <f t="shared" si="8"/>
        <v>726.47744099794795</v>
      </c>
      <c r="BI63" s="59">
        <f ca="1">AVERAGE(OFFSET($BH$3,0,0,'Données projet'!$E$11+1,1))-AVERAGE(OFFSET($H$3,0,0,'Données projet'!$E$11+1,1))</f>
        <v>667.4887768032404</v>
      </c>
      <c r="BJ63" s="59">
        <f t="shared" si="38"/>
        <v>305.76944302827178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14.611596793977503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14.611596793977503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199.30786200000017</v>
      </c>
      <c r="CA63" s="13">
        <f t="shared" si="39"/>
        <v>49.59202606538728</v>
      </c>
      <c r="CB63" s="20">
        <f t="shared" si="10"/>
        <v>433.50063838054979</v>
      </c>
      <c r="CC63" s="59">
        <f t="shared" si="11"/>
        <v>705.66273789265824</v>
      </c>
      <c r="CD63" s="59">
        <f ca="1">AVERAGE(OFFSET($CC$3,0,0,'Données projet'!$E$12+1,1))-AVERAGE(OFFSET($H$3,0,0,'Données projet'!$E$12+1,1))</f>
        <v>639.80378676828764</v>
      </c>
      <c r="CE63" s="59">
        <f t="shared" si="40"/>
        <v>294.03328334345281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13.926678194259802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13.926678194259802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245</v>
      </c>
      <c r="CR63" s="12">
        <f>VLOOKUP(A63,'Données projet'!$A$139:$I$159,9,0)</f>
        <v>5.2</v>
      </c>
      <c r="CS63" s="12">
        <f t="array" ref="CS63">INDEX(CR:CR,MIN(IF(ISNUMBER(CR63:CR259),ROW(CR63:CR259),"")))</f>
        <v>5.2</v>
      </c>
      <c r="CT63" s="12">
        <f>IF('Données projet'!$A$140&gt;35,CT62+CS63-DB62,IF(A63&lt;'Données projet'!$A$140,$CQ$205^A63,IF(A63='Données projet'!$A$140,'Données projet'!$B$140,CT62+CS63-DB62)))</f>
        <v>244.99999999999983</v>
      </c>
      <c r="CU63" s="17">
        <f>CT63*VLOOKUP('Données projet'!$B$13,Paramètres!$A$1:$I$89,3,0)*VLOOKUP('Données projet'!$B$13,Paramètres!$A$1:$I$89,5,0)</f>
        <v>214.03199999999987</v>
      </c>
      <c r="CV63" s="13">
        <f t="shared" si="41"/>
        <v>52.815701536972192</v>
      </c>
      <c r="CW63" s="20">
        <f t="shared" si="13"/>
        <v>464.7597468435597</v>
      </c>
      <c r="CX63" s="59">
        <f t="shared" si="14"/>
        <v>736.92184635566809</v>
      </c>
      <c r="CY63" s="59">
        <f ca="1">AVERAGE(OFFSET($CX$3,0,0,'Données projet'!$E$13+1,1))-AVERAGE(OFFSET($H$3,0,0,'Données projet'!$E$13+1,1))</f>
        <v>340.64710509454375</v>
      </c>
      <c r="CZ63" s="59">
        <f t="shared" si="42"/>
        <v>329.6409514360613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0.159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8.3019759051057278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8.3019759051057278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9.2524999999999977</v>
      </c>
      <c r="DO63" s="12">
        <f>IF('Données projet'!$A$166&gt;35,DO62+DN63-DW62,IF(A63&lt;'Données projet'!$A$166,$DL$205^A63,IF(A63='Données projet'!$A$166,'Données projet'!$B$166,DO62+DN63-DW62)))</f>
        <v>209.44500000000019</v>
      </c>
      <c r="DP63" s="17">
        <f>DO63*VLOOKUP('Données projet'!$B$14,Paramètres!$A$1:$I$89,3,0)*VLOOKUP('Données projet'!$B$14,Paramètres!$A$1:$I$89,5,0)</f>
        <v>202.57520400000018</v>
      </c>
      <c r="DQ63" s="13">
        <f t="shared" si="43"/>
        <v>50.309697523865829</v>
      </c>
      <c r="DR63" s="20">
        <f t="shared" si="16"/>
        <v>440.44120348739995</v>
      </c>
      <c r="DS63" s="59">
        <f t="shared" si="17"/>
        <v>712.6033029995084</v>
      </c>
      <c r="DT63" s="59">
        <f ca="1">AVERAGE(OFFSET($DS$3,0,0,'Données projet'!$E$14+1,1))-AVERAGE(OFFSET($H$3,0,0,'Données projet'!$E$14+1,1))</f>
        <v>649.03508893149228</v>
      </c>
      <c r="DU63" s="59">
        <f t="shared" si="44"/>
        <v>297.94672581383213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14.1549843941657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14.1549843941657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9.2524999999999977</v>
      </c>
      <c r="EJ63" s="12">
        <f>IF('Données projet'!$A$192&gt;35,EJ62+EI63-ER62,IF(A63&lt;'Données projet'!$A$192,$EG$205^A63,IF(A63='Données projet'!$A$192,'Données projet'!$B$192,EJ62+EI63-ER62)))</f>
        <v>209.44500000000019</v>
      </c>
      <c r="EK63" s="17">
        <f>EJ63*VLOOKUP('Données projet'!$B$15,Paramètres!$A$1:$I$89,3,0)*VLOOKUP('Données projet'!$B$15,Paramètres!$A$1:$I$89,5,0)</f>
        <v>225.44659800000019</v>
      </c>
      <c r="EL63" s="13">
        <f t="shared" si="45"/>
        <v>55.296986704716424</v>
      </c>
      <c r="EM63" s="20">
        <f t="shared" si="19"/>
        <v>488.96174336071476</v>
      </c>
      <c r="EN63" s="59">
        <f t="shared" si="20"/>
        <v>761.12384287282316</v>
      </c>
      <c r="EO63" s="59">
        <f ca="1">AVERAGE(OFFSET($EN$3,0,0,'Données projet'!$E$15+1,1))-AVERAGE(OFFSET($H$3,0,0,'Données projet'!$E$15+1,1))</f>
        <v>713.57333631602273</v>
      </c>
      <c r="EP63" s="59">
        <f t="shared" si="46"/>
        <v>325.30302392555359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15.753127793506987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15.753127793506987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297</v>
      </c>
      <c r="FC63" s="12">
        <f>VLOOKUP(A63,'Données projet'!$A$217:$I$237,9,0)</f>
        <v>9.375</v>
      </c>
      <c r="FD63" s="12">
        <f t="array" ref="FD63">INDEX(FC:FC,MIN(IF(ISNUMBER(FC63:FC259),ROW(FC63:FC259),"")))</f>
        <v>9.375</v>
      </c>
      <c r="FE63" s="12">
        <f>IF('Données projet'!$A$218&gt;35,FE62+FD63-FM62,IF(A63&lt;'Données projet'!$A$218,$FB$205^A63,IF(A63='Données projet'!$A$218,'Données projet'!$B$218,FE62+FD63-FM62)))</f>
        <v>296.99999999999989</v>
      </c>
      <c r="FF63" s="17">
        <f>FE63*VLOOKUP('Données projet'!$B$16,Paramètres!$A$1:$I$89,3,0)*VLOOKUP('Données projet'!$B$16,Paramètres!$A$1:$I$89,5,0)</f>
        <v>231.65999999999991</v>
      </c>
      <c r="FG63" s="13">
        <f t="shared" si="47"/>
        <v>56.641461975682766</v>
      </c>
      <c r="FH63" s="20">
        <f t="shared" si="22"/>
        <v>502.125046274314</v>
      </c>
      <c r="FI63" s="59">
        <f t="shared" si="23"/>
        <v>774.28714578642246</v>
      </c>
      <c r="FJ63" s="59">
        <f ca="1">AVERAGE(OFFSET($FI$3,0,0,'Données projet'!$E$16+1,1))-AVERAGE(OFFSET($H$3,0,0,'Données projet'!$E$16+1,1))</f>
        <v>302.04287561738482</v>
      </c>
      <c r="FK63" s="59">
        <f t="shared" si="48"/>
        <v>296.09828774694802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47</v>
      </c>
      <c r="FN63" s="16">
        <f>IF(ISNA(VLOOKUP(A63,'Données projet'!$A$217:$I$237,5,0)),0%,VLOOKUP(A63,'Données projet'!$A$217:$I$237,5,0)*VLOOKUP('Données projet'!$B$16,Paramètres!$A$1:$I$89,7,0))</f>
        <v>0.25800000000000001</v>
      </c>
      <c r="FO63" s="16">
        <f>IF(ISNA(VLOOKUP(A63,'Données projet'!$A$217:$I$237,6,0)),0%,VLOOKUP(A63,'Données projet'!$A$217:$I$237,6,0)*VLOOKUP('Données projet'!$B$16,Paramètres!$A$1:$I$89,7,0))</f>
        <v>0.129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36.125912737400732</v>
      </c>
      <c r="FR63" s="21">
        <f>EXP(-LN(2)/25)*FR62+(1-EXP(-LN(2)/25))/(LN(2)/25)*Calculateur!FM63*Calculateur!FO63*VLOOKUP('Données projet'!$B$16,Paramètres!$A$1:$I$89,3,0)*0.475*44/12</f>
        <v>18.691257456477942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54.817170193878674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8.5500000000000007</v>
      </c>
      <c r="FZ63" s="12">
        <f>IF('Données projet'!$A$244&gt;35,FZ62+FY63-GH62,IF(A63&lt;'Données projet'!$A$244,$FW$205^A63,IF(A63='Données projet'!$A$244,'Données projet'!$B$244,FZ62+FY63-GH62)))</f>
        <v>153.01000000000008</v>
      </c>
      <c r="GA63" s="17">
        <f>FZ63*VLOOKUP('Données projet'!$B$17,Paramètres!$A$1:$I$89,3,0)*VLOOKUP('Données projet'!$B$17,Paramètres!$A$1:$I$89,5,0)</f>
        <v>128.89562400000008</v>
      </c>
      <c r="GB63" s="13">
        <f t="shared" si="49"/>
        <v>33.741043892711964</v>
      </c>
      <c r="GC63" s="20">
        <f t="shared" si="25"/>
        <v>283.25886324647348</v>
      </c>
      <c r="GD63" s="59">
        <f t="shared" si="26"/>
        <v>555.42096275858194</v>
      </c>
      <c r="GE63" s="59">
        <f ca="1">AVERAGE(OFFSET($GD$3,0,0,'Données projet'!$E$17+1,1))-AVERAGE(OFFSET($H$3,0,0,'Données projet'!$E$17+1,1))</f>
        <v>385.41819366740276</v>
      </c>
      <c r="GF63" s="59">
        <f t="shared" si="50"/>
        <v>262.4625391252718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12.174781201916108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12.174781201916108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64.226027139665945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3.3000000000000003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12.100000000000001</v>
      </c>
      <c r="H64" s="67">
        <f t="shared" si="1"/>
        <v>208.26666666666665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9.2524999999999977</v>
      </c>
      <c r="N64" s="13">
        <f>IF('Données projet'!$A$36&gt;35,N63+M64-V63,IF(A64&lt;'Données projet'!$A$36,$K$205^A64,IF(A64='Données projet'!$A$36,'Données projet'!$B$36,N63+M64-V63)))</f>
        <v>218.69750000000019</v>
      </c>
      <c r="O64" s="13">
        <f>N64*VLOOKUP('Données projet'!$B$9,Paramètres!$A$1:$I$89,3,0)*VLOOKUP('Données projet'!$B$9,Paramètres!$A$1:$I$89,5,0)</f>
        <v>197.87749800000014</v>
      </c>
      <c r="P64" s="13">
        <f t="shared" si="33"/>
        <v>49.277416774103372</v>
      </c>
      <c r="Q64" s="20">
        <f t="shared" si="53"/>
        <v>430.46147656489694</v>
      </c>
      <c r="R64" s="59">
        <f t="shared" si="0"/>
        <v>702.99084965201564</v>
      </c>
      <c r="S64" s="59">
        <f ca="1">AVERAGE(OFFSET($R$3,0,0,'Données projet'!$E$9+1,1))-AVERAGE(OFFSET($H$3,0,0,'Données projet'!$E$9+1,1))</f>
        <v>612.09138396952153</v>
      </c>
      <c r="T64" s="59">
        <f t="shared" si="34"/>
        <v>282.284310393542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12.982096765568983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12.982096765568983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221.7592650000002</v>
      </c>
      <c r="AK64" s="13">
        <f t="shared" si="35"/>
        <v>54.497075847509379</v>
      </c>
      <c r="AL64" s="20">
        <f t="shared" si="4"/>
        <v>481.14646030941248</v>
      </c>
      <c r="AM64" s="59">
        <f t="shared" si="5"/>
        <v>753.67583339653117</v>
      </c>
      <c r="AN64" s="59">
        <f ca="1">AVERAGE(OFFSET($AM$3,0,0,'Données projet'!$E$10+1,1))-AVERAGE(OFFSET($H$3,0,0,'Données projet'!$E$10+1,1))</f>
        <v>676.7112666359476</v>
      </c>
      <c r="AO64" s="59">
        <f t="shared" si="36"/>
        <v>309.67876644201385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14.548901547620412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14.548901547620412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218.34758400000021</v>
      </c>
      <c r="BF64" s="13">
        <f t="shared" si="37"/>
        <v>53.755583830594695</v>
      </c>
      <c r="BG64" s="20">
        <f t="shared" si="7"/>
        <v>473.91301730495275</v>
      </c>
      <c r="BH64" s="59">
        <f t="shared" si="8"/>
        <v>746.4423903920715</v>
      </c>
      <c r="BI64" s="59">
        <f ca="1">AVERAGE(OFFSET($BH$3,0,0,'Données projet'!$E$11+1,1))-AVERAGE(OFFSET($H$3,0,0,'Données projet'!$E$11+1,1))</f>
        <v>667.4887768032404</v>
      </c>
      <c r="BJ64" s="59">
        <f t="shared" si="38"/>
        <v>305.76944302827178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14.325072293041643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14.325072293041643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208.11254100000016</v>
      </c>
      <c r="CA64" s="13">
        <f t="shared" si="39"/>
        <v>51.522911939277137</v>
      </c>
      <c r="CB64" s="20">
        <f t="shared" si="10"/>
        <v>452.19841386924122</v>
      </c>
      <c r="CC64" s="59">
        <f t="shared" si="11"/>
        <v>724.72778695635998</v>
      </c>
      <c r="CD64" s="59">
        <f ca="1">AVERAGE(OFFSET($CC$3,0,0,'Données projet'!$E$12+1,1))-AVERAGE(OFFSET($H$3,0,0,'Données projet'!$E$12+1,1))</f>
        <v>639.80378676828764</v>
      </c>
      <c r="CE64" s="59">
        <f t="shared" si="40"/>
        <v>294.03328334345281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13.653584529305309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13.653584529305309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4.4000000000000004</v>
      </c>
      <c r="CT64" s="12">
        <f>IF('Données projet'!$A$140&gt;35,CT63+CS64-DB63,IF(A64&lt;'Données projet'!$A$140,$CQ$205^A64,IF(A64='Données projet'!$A$140,'Données projet'!$B$140,CT63+CS64-DB63)))</f>
        <v>237.39999999999984</v>
      </c>
      <c r="CU64" s="17">
        <f>CT64*VLOOKUP('Données projet'!$B$13,Paramètres!$A$1:$I$89,3,0)*VLOOKUP('Données projet'!$B$13,Paramètres!$A$1:$I$89,5,0)</f>
        <v>207.39263999999989</v>
      </c>
      <c r="CV64" s="13">
        <f t="shared" si="41"/>
        <v>51.365398298247158</v>
      </c>
      <c r="CW64" s="20">
        <f t="shared" si="13"/>
        <v>450.67025003611349</v>
      </c>
      <c r="CX64" s="59">
        <f t="shared" si="14"/>
        <v>723.19962312323219</v>
      </c>
      <c r="CY64" s="59">
        <f ca="1">AVERAGE(OFFSET($CX$3,0,0,'Données projet'!$E$13+1,1))-AVERAGE(OFFSET($H$3,0,0,'Données projet'!$E$13+1,1))</f>
        <v>340.64710509454375</v>
      </c>
      <c r="CZ64" s="59">
        <f t="shared" si="42"/>
        <v>329.6409514360613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8.1391792213119079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8.1391792213119079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9.2524999999999977</v>
      </c>
      <c r="DO64" s="12">
        <f>IF('Données projet'!$A$166&gt;35,DO63+DN64-DW63,IF(A64&lt;'Données projet'!$A$166,$DL$205^A64,IF(A64='Données projet'!$A$166,'Données projet'!$B$166,DO63+DN64-DW63)))</f>
        <v>218.69750000000019</v>
      </c>
      <c r="DP64" s="17">
        <f>DO64*VLOOKUP('Données projet'!$B$14,Paramètres!$A$1:$I$89,3,0)*VLOOKUP('Données projet'!$B$14,Paramètres!$A$1:$I$89,5,0)</f>
        <v>211.52422200000021</v>
      </c>
      <c r="DQ64" s="13">
        <f t="shared" si="43"/>
        <v>52.268526230328021</v>
      </c>
      <c r="DR64" s="20">
        <f t="shared" si="16"/>
        <v>459.43903650115499</v>
      </c>
      <c r="DS64" s="59">
        <f t="shared" si="17"/>
        <v>731.96840958827374</v>
      </c>
      <c r="DT64" s="59">
        <f ca="1">AVERAGE(OFFSET($DS$3,0,0,'Données projet'!$E$14+1,1))-AVERAGE(OFFSET($H$3,0,0,'Données projet'!$E$14+1,1))</f>
        <v>649.03508893149228</v>
      </c>
      <c r="DU64" s="59">
        <f t="shared" si="44"/>
        <v>297.94672581383213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13.877413783884085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13.877413783884085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9.2524999999999977</v>
      </c>
      <c r="EJ64" s="12">
        <f>IF('Données projet'!$A$192&gt;35,EJ63+EI64-ER63,IF(A64&lt;'Données projet'!$A$192,$EG$205^A64,IF(A64='Données projet'!$A$192,'Données projet'!$B$192,EJ63+EI64-ER63)))</f>
        <v>218.69750000000019</v>
      </c>
      <c r="EK64" s="17">
        <f>EJ64*VLOOKUP('Données projet'!$B$15,Paramètres!$A$1:$I$89,3,0)*VLOOKUP('Données projet'!$B$15,Paramètres!$A$1:$I$89,5,0)</f>
        <v>235.40598900000018</v>
      </c>
      <c r="EL64" s="13">
        <f t="shared" si="45"/>
        <v>57.449997560857497</v>
      </c>
      <c r="EM64" s="20">
        <f t="shared" si="19"/>
        <v>510.05750992682715</v>
      </c>
      <c r="EN64" s="59">
        <f t="shared" si="20"/>
        <v>782.58688301394591</v>
      </c>
      <c r="EO64" s="59">
        <f ca="1">AVERAGE(OFFSET($EN$3,0,0,'Données projet'!$E$15+1,1))-AVERAGE(OFFSET($H$3,0,0,'Données projet'!$E$15+1,1))</f>
        <v>713.57333631602273</v>
      </c>
      <c r="EP64" s="59">
        <f t="shared" si="46"/>
        <v>325.30302392555359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15.444218565935513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15.444218565935513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8.6666666666666661</v>
      </c>
      <c r="FE64" s="12">
        <f>IF('Données projet'!$A$218&gt;35,FE63+FD64-FM63,IF(A64&lt;'Données projet'!$A$218,$FB$205^A64,IF(A64='Données projet'!$A$218,'Données projet'!$B$218,FE63+FD64-FM63)))</f>
        <v>258.66666666666657</v>
      </c>
      <c r="FF64" s="17">
        <f>FE64*VLOOKUP('Données projet'!$B$16,Paramètres!$A$1:$I$89,3,0)*VLOOKUP('Données projet'!$B$16,Paramètres!$A$1:$I$89,5,0)</f>
        <v>201.75999999999993</v>
      </c>
      <c r="FG64" s="13">
        <f t="shared" si="47"/>
        <v>50.130765000424169</v>
      </c>
      <c r="FH64" s="20">
        <f t="shared" si="22"/>
        <v>438.70974904240529</v>
      </c>
      <c r="FI64" s="59">
        <f t="shared" si="23"/>
        <v>711.23912212952405</v>
      </c>
      <c r="FJ64" s="59">
        <f ca="1">AVERAGE(OFFSET($FI$3,0,0,'Données projet'!$E$16+1,1))-AVERAGE(OFFSET($H$3,0,0,'Données projet'!$E$16+1,1))</f>
        <v>302.04287561738482</v>
      </c>
      <c r="FK64" s="59">
        <f t="shared" si="48"/>
        <v>296.09828774694802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35.417505623251337</v>
      </c>
      <c r="FR64" s="21">
        <f>EXP(-LN(2)/25)*FR63+(1-EXP(-LN(2)/25))/(LN(2)/25)*Calculateur!FM64*Calculateur!FO64*VLOOKUP('Données projet'!$B$16,Paramètres!$A$1:$I$89,3,0)*0.475*44/12</f>
        <v>18.180144038400041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53.597649661651374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8.5500000000000007</v>
      </c>
      <c r="FZ64" s="12">
        <f>IF('Données projet'!$A$244&gt;35,FZ63+FY64-GH63,IF(A64&lt;'Données projet'!$A$244,$FW$205^A64,IF(A64='Données projet'!$A$244,'Données projet'!$B$244,FZ63+FY64-GH63)))</f>
        <v>161.56000000000009</v>
      </c>
      <c r="GA64" s="17">
        <f>FZ64*VLOOKUP('Données projet'!$B$17,Paramètres!$A$1:$I$89,3,0)*VLOOKUP('Données projet'!$B$17,Paramètres!$A$1:$I$89,5,0)</f>
        <v>136.09814400000008</v>
      </c>
      <c r="GB64" s="13">
        <f t="shared" si="49"/>
        <v>35.401679921027657</v>
      </c>
      <c r="GC64" s="20">
        <f t="shared" si="25"/>
        <v>298.69552666245664</v>
      </c>
      <c r="GD64" s="59">
        <f t="shared" si="26"/>
        <v>571.22489974957534</v>
      </c>
      <c r="GE64" s="59">
        <f ca="1">AVERAGE(OFFSET($GD$3,0,0,'Données projet'!$E$17+1,1))-AVERAGE(OFFSET($H$3,0,0,'Données projet'!$E$17+1,1))</f>
        <v>385.41819366740276</v>
      </c>
      <c r="GF64" s="59">
        <f t="shared" si="50"/>
        <v>262.4625391252718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11.936041168429821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11.936041168429821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64.326192660123283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3.3000000000000003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12.100000000000001</v>
      </c>
      <c r="H65" s="67">
        <f t="shared" si="1"/>
        <v>208.26666666666665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9.2524999999999977</v>
      </c>
      <c r="N65" s="13">
        <f>IF('Données projet'!$A$36&gt;35,N64+M65-V64,IF(A65&lt;'Données projet'!$A$36,$K$205^A65,IF(A65='Données projet'!$A$36,'Données projet'!$B$36,N64+M65-V64)))</f>
        <v>227.95000000000019</v>
      </c>
      <c r="O65" s="13">
        <f>N65*VLOOKUP('Données projet'!$B$9,Paramètres!$A$1:$I$89,3,0)*VLOOKUP('Données projet'!$B$9,Paramètres!$A$1:$I$89,5,0)</f>
        <v>206.24916000000016</v>
      </c>
      <c r="P65" s="13">
        <f t="shared" si="33"/>
        <v>51.115075026737237</v>
      </c>
      <c r="Q65" s="20">
        <f t="shared" si="53"/>
        <v>448.24270933823431</v>
      </c>
      <c r="R65" s="59">
        <f t="shared" si="0"/>
        <v>721.13298462493754</v>
      </c>
      <c r="S65" s="59">
        <f ca="1">AVERAGE(OFFSET($R$3,0,0,'Données projet'!$E$9+1,1))-AVERAGE(OFFSET($H$3,0,0,'Données projet'!$E$9+1,1))</f>
        <v>612.09138396952153</v>
      </c>
      <c r="T65" s="59">
        <f t="shared" si="34"/>
        <v>282.284310393542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12.727525766293335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12.727525766293335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231.1413000000002</v>
      </c>
      <c r="AK65" s="13">
        <f t="shared" si="35"/>
        <v>56.529386137528874</v>
      </c>
      <c r="AL65" s="20">
        <f t="shared" si="4"/>
        <v>501.02644502286307</v>
      </c>
      <c r="AM65" s="59">
        <f t="shared" si="5"/>
        <v>773.91672030956624</v>
      </c>
      <c r="AN65" s="59">
        <f ca="1">AVERAGE(OFFSET($AM$3,0,0,'Données projet'!$E$10+1,1))-AVERAGE(OFFSET($H$3,0,0,'Données projet'!$E$10+1,1))</f>
        <v>676.7112666359476</v>
      </c>
      <c r="AO65" s="59">
        <f t="shared" si="36"/>
        <v>309.67876644201385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14.26360646222529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14.26360646222529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227.58528000000018</v>
      </c>
      <c r="BF65" s="13">
        <f t="shared" si="37"/>
        <v>55.760242327696716</v>
      </c>
      <c r="BG65" s="20">
        <f t="shared" si="7"/>
        <v>493.49345138740546</v>
      </c>
      <c r="BH65" s="59">
        <f t="shared" si="8"/>
        <v>766.38372667410863</v>
      </c>
      <c r="BI65" s="59">
        <f ca="1">AVERAGE(OFFSET($BH$3,0,0,'Données projet'!$E$11+1,1))-AVERAGE(OFFSET($H$3,0,0,'Données projet'!$E$11+1,1))</f>
        <v>667.4887768032404</v>
      </c>
      <c r="BJ65" s="59">
        <f t="shared" si="38"/>
        <v>305.76944302827178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14.044166362806445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14.044166362806445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216.91722000000019</v>
      </c>
      <c r="CA65" s="13">
        <f t="shared" si="39"/>
        <v>53.444309417537319</v>
      </c>
      <c r="CB65" s="20">
        <f t="shared" si="10"/>
        <v>470.87966373554445</v>
      </c>
      <c r="CC65" s="59">
        <f t="shared" si="11"/>
        <v>743.76993902224763</v>
      </c>
      <c r="CD65" s="59">
        <f ca="1">AVERAGE(OFFSET($CC$3,0,0,'Données projet'!$E$12+1,1))-AVERAGE(OFFSET($H$3,0,0,'Données projet'!$E$12+1,1))</f>
        <v>639.80378676828764</v>
      </c>
      <c r="CE65" s="59">
        <f t="shared" si="40"/>
        <v>294.03328334345281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13.385846064549886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13.385846064549886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4.4000000000000004</v>
      </c>
      <c r="CT65" s="12">
        <f>IF('Données projet'!$A$140&gt;35,CT64+CS65-DB64,IF(A65&lt;'Données projet'!$A$140,$CQ$205^A65,IF(A65='Données projet'!$A$140,'Données projet'!$B$140,CT64+CS65-DB64)))</f>
        <v>241.79999999999984</v>
      </c>
      <c r="CU65" s="17">
        <f>CT65*VLOOKUP('Données projet'!$B$13,Paramètres!$A$1:$I$89,3,0)*VLOOKUP('Données projet'!$B$13,Paramètres!$A$1:$I$89,5,0)</f>
        <v>211.23647999999989</v>
      </c>
      <c r="CV65" s="13">
        <f t="shared" si="41"/>
        <v>52.205695296687686</v>
      </c>
      <c r="CW65" s="20">
        <f t="shared" si="13"/>
        <v>458.82845530839751</v>
      </c>
      <c r="CX65" s="59">
        <f t="shared" si="14"/>
        <v>731.71873059510074</v>
      </c>
      <c r="CY65" s="59">
        <f ca="1">AVERAGE(OFFSET($CX$3,0,0,'Données projet'!$E$13+1,1))-AVERAGE(OFFSET($H$3,0,0,'Données projet'!$E$13+1,1))</f>
        <v>340.64710509454375</v>
      </c>
      <c r="CZ65" s="59">
        <f t="shared" si="42"/>
        <v>329.6409514360613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7.9795748811911116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7.9795748811911116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9.2524999999999977</v>
      </c>
      <c r="DO65" s="12">
        <f>IF('Données projet'!$A$166&gt;35,DO64+DN65-DW64,IF(A65&lt;'Données projet'!$A$166,$DL$205^A65,IF(A65='Données projet'!$A$166,'Données projet'!$B$166,DO64+DN65-DW64)))</f>
        <v>227.95000000000019</v>
      </c>
      <c r="DP65" s="17">
        <f>DO65*VLOOKUP('Données projet'!$B$14,Paramètres!$A$1:$I$89,3,0)*VLOOKUP('Données projet'!$B$14,Paramètres!$A$1:$I$89,5,0)</f>
        <v>220.4732400000002</v>
      </c>
      <c r="DQ65" s="13">
        <f t="shared" si="43"/>
        <v>54.2177292297565</v>
      </c>
      <c r="DR65" s="20">
        <f t="shared" si="16"/>
        <v>478.42010474182621</v>
      </c>
      <c r="DS65" s="59">
        <f t="shared" si="17"/>
        <v>751.31038002852938</v>
      </c>
      <c r="DT65" s="59">
        <f ca="1">AVERAGE(OFFSET($DS$3,0,0,'Données projet'!$E$14+1,1))-AVERAGE(OFFSET($H$3,0,0,'Données projet'!$E$14+1,1))</f>
        <v>649.03508893149228</v>
      </c>
      <c r="DU65" s="59">
        <f t="shared" si="44"/>
        <v>297.94672581383213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13.605286163968739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13.605286163968739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9.2524999999999977</v>
      </c>
      <c r="EJ65" s="12">
        <f>IF('Données projet'!$A$192&gt;35,EJ64+EI65-ER64,IF(A65&lt;'Données projet'!$A$192,$EG$205^A65,IF(A65='Données projet'!$A$192,'Données projet'!$B$192,EJ64+EI65-ER64)))</f>
        <v>227.95000000000019</v>
      </c>
      <c r="EK65" s="17">
        <f>EJ65*VLOOKUP('Données projet'!$B$15,Paramètres!$A$1:$I$89,3,0)*VLOOKUP('Données projet'!$B$15,Paramètres!$A$1:$I$89,5,0)</f>
        <v>245.36538000000021</v>
      </c>
      <c r="EL65" s="13">
        <f t="shared" si="45"/>
        <v>59.592428496624137</v>
      </c>
      <c r="EM65" s="20">
        <f t="shared" si="19"/>
        <v>531.13484979828741</v>
      </c>
      <c r="EN65" s="59">
        <f t="shared" si="20"/>
        <v>804.02512508499058</v>
      </c>
      <c r="EO65" s="59">
        <f ca="1">AVERAGE(OFFSET($EN$3,0,0,'Données projet'!$E$15+1,1))-AVERAGE(OFFSET($H$3,0,0,'Données projet'!$E$15+1,1))</f>
        <v>713.57333631602273</v>
      </c>
      <c r="EP65" s="59">
        <f t="shared" si="46"/>
        <v>325.30302392555359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15.141366859900691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15.141366859900691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8.6666666666666661</v>
      </c>
      <c r="FE65" s="12">
        <f>IF('Données projet'!$A$218&gt;35,FE64+FD65-FM64,IF(A65&lt;'Données projet'!$A$218,$FB$205^A65,IF(A65='Données projet'!$A$218,'Données projet'!$B$218,FE64+FD65-FM64)))</f>
        <v>267.33333333333326</v>
      </c>
      <c r="FF65" s="17">
        <f>FE65*VLOOKUP('Données projet'!$B$16,Paramètres!$A$1:$I$89,3,0)*VLOOKUP('Données projet'!$B$16,Paramètres!$A$1:$I$89,5,0)</f>
        <v>208.51999999999995</v>
      </c>
      <c r="FG65" s="13">
        <f t="shared" si="47"/>
        <v>51.612035456318459</v>
      </c>
      <c r="FH65" s="20">
        <f t="shared" si="22"/>
        <v>453.06329508642119</v>
      </c>
      <c r="FI65" s="59">
        <f t="shared" si="23"/>
        <v>725.95357037312442</v>
      </c>
      <c r="FJ65" s="59">
        <f ca="1">AVERAGE(OFFSET($FI$3,0,0,'Données projet'!$E$16+1,1))-AVERAGE(OFFSET($H$3,0,0,'Données projet'!$E$16+1,1))</f>
        <v>302.04287561738482</v>
      </c>
      <c r="FK65" s="59">
        <f t="shared" si="48"/>
        <v>296.09828774694802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34.722989940524734</v>
      </c>
      <c r="FR65" s="21">
        <f>EXP(-LN(2)/25)*FR64+(1-EXP(-LN(2)/25))/(LN(2)/25)*Calculateur!FM65*Calculateur!FO65*VLOOKUP('Données projet'!$B$16,Paramètres!$A$1:$I$89,3,0)*0.475*44/12</f>
        <v>17.683007043617767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52.405996984142504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8.5500000000000007</v>
      </c>
      <c r="FZ65" s="12">
        <f>IF('Données projet'!$A$244&gt;35,FZ64+FY65-GH64,IF(A65&lt;'Données projet'!$A$244,$FW$205^A65,IF(A65='Données projet'!$A$244,'Données projet'!$B$244,FZ64+FY65-GH64)))</f>
        <v>170.1100000000001</v>
      </c>
      <c r="GA65" s="17">
        <f>FZ65*VLOOKUP('Données projet'!$B$17,Paramètres!$A$1:$I$89,3,0)*VLOOKUP('Données projet'!$B$17,Paramètres!$A$1:$I$89,5,0)</f>
        <v>143.3006640000001</v>
      </c>
      <c r="GB65" s="13">
        <f t="shared" si="49"/>
        <v>37.052112739725779</v>
      </c>
      <c r="GC65" s="20">
        <f t="shared" si="25"/>
        <v>314.11441948835591</v>
      </c>
      <c r="GD65" s="59">
        <f t="shared" si="26"/>
        <v>587.00469477505908</v>
      </c>
      <c r="GE65" s="59">
        <f ca="1">AVERAGE(OFFSET($GD$3,0,0,'Données projet'!$E$17+1,1))-AVERAGE(OFFSET($H$3,0,0,'Données projet'!$E$17+1,1))</f>
        <v>385.41819366740276</v>
      </c>
      <c r="GF65" s="59">
        <f t="shared" si="50"/>
        <v>262.4625391252718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11.701982681383159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11.701982681383159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64.424620532737237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3.3000000000000003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12.100000000000001</v>
      </c>
      <c r="H66" s="67">
        <f t="shared" si="1"/>
        <v>208.26666666666665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9.2524999999999977</v>
      </c>
      <c r="N66" s="13">
        <f>IF('Données projet'!$A$36&gt;35,N65+M66-V65,IF(A66&lt;'Données projet'!$A$36,$K$205^A66,IF(A66='Données projet'!$A$36,'Données projet'!$B$36,N65+M66-V65)))</f>
        <v>237.20250000000019</v>
      </c>
      <c r="O66" s="13">
        <f>N66*VLOOKUP('Données projet'!$B$9,Paramètres!$A$1:$I$89,3,0)*VLOOKUP('Données projet'!$B$9,Paramètres!$A$1:$I$89,5,0)</f>
        <v>214.62082200000015</v>
      </c>
      <c r="P66" s="13">
        <f t="shared" si="33"/>
        <v>52.944068896315315</v>
      </c>
      <c r="Q66" s="20">
        <f t="shared" si="53"/>
        <v>466.0088516444161</v>
      </c>
      <c r="R66" s="59">
        <f t="shared" si="0"/>
        <v>739.25376828439744</v>
      </c>
      <c r="S66" s="59">
        <f ca="1">AVERAGE(OFFSET($R$3,0,0,'Données projet'!$E$9+1,1))-AVERAGE(OFFSET($H$3,0,0,'Données projet'!$E$9+1,1))</f>
        <v>612.09138396952153</v>
      </c>
      <c r="T66" s="59">
        <f t="shared" si="34"/>
        <v>282.284310393542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12.477946749040505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12.477946749040505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240.52333500000023</v>
      </c>
      <c r="AK66" s="13">
        <f t="shared" si="35"/>
        <v>58.552114278737164</v>
      </c>
      <c r="AL66" s="20">
        <f t="shared" si="4"/>
        <v>520.88974082713423</v>
      </c>
      <c r="AM66" s="59">
        <f t="shared" si="5"/>
        <v>794.13465746711563</v>
      </c>
      <c r="AN66" s="59">
        <f ca="1">AVERAGE(OFFSET($AM$3,0,0,'Données projet'!$E$10+1,1))-AVERAGE(OFFSET($H$3,0,0,'Données projet'!$E$10+1,1))</f>
        <v>676.7112666359476</v>
      </c>
      <c r="AO66" s="59">
        <f t="shared" si="36"/>
        <v>309.67876644201385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13.983905839441947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13.983905839441947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236.82297600000021</v>
      </c>
      <c r="BF66" s="13">
        <f t="shared" si="37"/>
        <v>57.755449051548752</v>
      </c>
      <c r="BG66" s="20">
        <f t="shared" si="7"/>
        <v>513.0574236314477</v>
      </c>
      <c r="BH66" s="59">
        <f t="shared" si="8"/>
        <v>786.3023402714291</v>
      </c>
      <c r="BI66" s="59">
        <f ca="1">AVERAGE(OFFSET($BH$3,0,0,'Données projet'!$E$11+1,1))-AVERAGE(OFFSET($H$3,0,0,'Données projet'!$E$11+1,1))</f>
        <v>667.4887768032404</v>
      </c>
      <c r="BJ66" s="59">
        <f t="shared" si="38"/>
        <v>305.76944302827178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13.768768826527459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13.768768826527459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225.72189900000018</v>
      </c>
      <c r="CA66" s="13">
        <f t="shared" si="39"/>
        <v>55.356647690295091</v>
      </c>
      <c r="CB66" s="20">
        <f t="shared" si="10"/>
        <v>489.54513548559765</v>
      </c>
      <c r="CC66" s="59">
        <f t="shared" si="11"/>
        <v>762.790052125579</v>
      </c>
      <c r="CD66" s="59">
        <f ca="1">AVERAGE(OFFSET($CC$3,0,0,'Données projet'!$E$12+1,1))-AVERAGE(OFFSET($H$3,0,0,'Données projet'!$E$12+1,1))</f>
        <v>639.80378676828764</v>
      </c>
      <c r="CE66" s="59">
        <f t="shared" si="40"/>
        <v>294.03328334345281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13.123357787783979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13.123357787783979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4.4000000000000004</v>
      </c>
      <c r="CT66" s="12">
        <f>IF('Données projet'!$A$140&gt;35,CT65+CS66-DB65,IF(A66&lt;'Données projet'!$A$140,$CQ$205^A66,IF(A66='Données projet'!$A$140,'Données projet'!$B$140,CT65+CS66-DB65)))</f>
        <v>246.19999999999985</v>
      </c>
      <c r="CU66" s="17">
        <f>CT66*VLOOKUP('Données projet'!$B$13,Paramètres!$A$1:$I$89,3,0)*VLOOKUP('Données projet'!$B$13,Paramètres!$A$1:$I$89,5,0)</f>
        <v>215.08031999999989</v>
      </c>
      <c r="CV66" s="13">
        <f t="shared" si="41"/>
        <v>53.044214230061456</v>
      </c>
      <c r="CW66" s="20">
        <f t="shared" si="13"/>
        <v>466.98356378402349</v>
      </c>
      <c r="CX66" s="59">
        <f t="shared" si="14"/>
        <v>740.22848042400483</v>
      </c>
      <c r="CY66" s="59">
        <f ca="1">AVERAGE(OFFSET($CX$3,0,0,'Données projet'!$E$13+1,1))-AVERAGE(OFFSET($H$3,0,0,'Données projet'!$E$13+1,1))</f>
        <v>340.64710509454375</v>
      </c>
      <c r="CZ66" s="59">
        <f t="shared" si="42"/>
        <v>329.6409514360613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7.8231002848310496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7.8231002848310496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9.2524999999999977</v>
      </c>
      <c r="DO66" s="12">
        <f>IF('Données projet'!$A$166&gt;35,DO65+DN66-DW65,IF(A66&lt;'Données projet'!$A$166,$DL$205^A66,IF(A66='Données projet'!$A$166,'Données projet'!$B$166,DO65+DN66-DW65)))</f>
        <v>237.20250000000019</v>
      </c>
      <c r="DP66" s="17">
        <f>DO66*VLOOKUP('Données projet'!$B$14,Paramètres!$A$1:$I$89,3,0)*VLOOKUP('Données projet'!$B$14,Paramètres!$A$1:$I$89,5,0)</f>
        <v>229.4222580000002</v>
      </c>
      <c r="DQ66" s="13">
        <f t="shared" si="43"/>
        <v>56.157741923307334</v>
      </c>
      <c r="DR66" s="20">
        <f t="shared" si="16"/>
        <v>497.38516653309392</v>
      </c>
      <c r="DS66" s="59">
        <f t="shared" si="17"/>
        <v>770.63008317307526</v>
      </c>
      <c r="DT66" s="59">
        <f ca="1">AVERAGE(OFFSET($DS$3,0,0,'Données projet'!$E$14+1,1))-AVERAGE(OFFSET($H$3,0,0,'Données projet'!$E$14+1,1))</f>
        <v>649.03508893149228</v>
      </c>
      <c r="DU66" s="59">
        <f t="shared" si="44"/>
        <v>297.94672581383213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13.338494800698472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13.338494800698472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9.2524999999999977</v>
      </c>
      <c r="EJ66" s="12">
        <f>IF('Données projet'!$A$192&gt;35,EJ65+EI66-ER65,IF(A66&lt;'Données projet'!$A$192,$EG$205^A66,IF(A66='Données projet'!$A$192,'Données projet'!$B$192,EJ65+EI66-ER65)))</f>
        <v>237.20250000000019</v>
      </c>
      <c r="EK66" s="17">
        <f>EJ66*VLOOKUP('Données projet'!$B$15,Paramètres!$A$1:$I$89,3,0)*VLOOKUP('Données projet'!$B$15,Paramètres!$A$1:$I$89,5,0)</f>
        <v>255.3247710000002</v>
      </c>
      <c r="EL66" s="13">
        <f t="shared" si="45"/>
        <v>61.724758075257945</v>
      </c>
      <c r="EM66" s="20">
        <f t="shared" si="19"/>
        <v>552.19459647274118</v>
      </c>
      <c r="EN66" s="59">
        <f t="shared" si="20"/>
        <v>825.43951311272258</v>
      </c>
      <c r="EO66" s="59">
        <f ca="1">AVERAGE(OFFSET($EN$3,0,0,'Données projet'!$E$15+1,1))-AVERAGE(OFFSET($H$3,0,0,'Données projet'!$E$15+1,1))</f>
        <v>713.57333631602273</v>
      </c>
      <c r="EP66" s="59">
        <f t="shared" si="46"/>
        <v>325.30302392555359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14.84445389109991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14.84445389109991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8.6666666666666661</v>
      </c>
      <c r="FE66" s="12">
        <f>IF('Données projet'!$A$218&gt;35,FE65+FD66-FM65,IF(A66&lt;'Données projet'!$A$218,$FB$205^A66,IF(A66='Données projet'!$A$218,'Données projet'!$B$218,FE65+FD66-FM65)))</f>
        <v>275.99999999999994</v>
      </c>
      <c r="FF66" s="17">
        <f>FE66*VLOOKUP('Données projet'!$B$16,Paramètres!$A$1:$I$89,3,0)*VLOOKUP('Données projet'!$B$16,Paramètres!$A$1:$I$89,5,0)</f>
        <v>215.27999999999997</v>
      </c>
      <c r="FG66" s="13">
        <f t="shared" si="47"/>
        <v>53.087725740853138</v>
      </c>
      <c r="FH66" s="20">
        <f t="shared" si="22"/>
        <v>467.40712233198587</v>
      </c>
      <c r="FI66" s="59">
        <f t="shared" si="23"/>
        <v>740.65203897196727</v>
      </c>
      <c r="FJ66" s="59">
        <f ca="1">AVERAGE(OFFSET($FI$3,0,0,'Données projet'!$E$16+1,1))-AVERAGE(OFFSET($H$3,0,0,'Données projet'!$E$16+1,1))</f>
        <v>302.04287561738482</v>
      </c>
      <c r="FK66" s="59">
        <f t="shared" si="48"/>
        <v>296.09828774694802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34.042093286723663</v>
      </c>
      <c r="FR66" s="21">
        <f>EXP(-LN(2)/25)*FR65+(1-EXP(-LN(2)/25))/(LN(2)/25)*Calculateur!FM66*Calculateur!FO66*VLOOKUP('Données projet'!$B$16,Paramètres!$A$1:$I$89,3,0)*0.475*44/12</f>
        <v>17.199464286101115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51.241557572824775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8.5500000000000007</v>
      </c>
      <c r="FZ66" s="12">
        <f>IF('Données projet'!$A$244&gt;35,FZ65+FY66-GH65,IF(A66&lt;'Données projet'!$A$244,$FW$205^A66,IF(A66='Données projet'!$A$244,'Données projet'!$B$244,FZ65+FY66-GH65)))</f>
        <v>178.66000000000011</v>
      </c>
      <c r="GA66" s="17">
        <f>FZ66*VLOOKUP('Données projet'!$B$17,Paramètres!$A$1:$I$89,3,0)*VLOOKUP('Données projet'!$B$17,Paramètres!$A$1:$I$89,5,0)</f>
        <v>150.50318400000012</v>
      </c>
      <c r="GB66" s="13">
        <f t="shared" si="49"/>
        <v>38.692913693042001</v>
      </c>
      <c r="GC66" s="20">
        <f t="shared" si="25"/>
        <v>329.5165368153817</v>
      </c>
      <c r="GD66" s="59">
        <f t="shared" si="26"/>
        <v>602.76145345536315</v>
      </c>
      <c r="GE66" s="59">
        <f ca="1">AVERAGE(OFFSET($GD$3,0,0,'Données projet'!$E$17+1,1))-AVERAGE(OFFSET($H$3,0,0,'Données projet'!$E$17+1,1))</f>
        <v>385.41819366740276</v>
      </c>
      <c r="GF66" s="59">
        <f t="shared" si="50"/>
        <v>262.4625391252718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11.472513938505902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11.472513938505902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64.521340901813105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3.3000000000000003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12.100000000000001</v>
      </c>
      <c r="H67" s="67">
        <f t="shared" si="1"/>
        <v>208.26666666666665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9.2524999999999977</v>
      </c>
      <c r="N67" s="13">
        <f>IF('Données projet'!$A$36&gt;35,N66+M67-V66,IF(A67&lt;'Données projet'!$A$36,$K$205^A67,IF(A67='Données projet'!$A$36,'Données projet'!$B$36,N66+M67-V66)))</f>
        <v>246.45500000000018</v>
      </c>
      <c r="O67" s="13">
        <f>N67*VLOOKUP('Données projet'!$B$9,Paramètres!$A$1:$I$89,3,0)*VLOOKUP('Données projet'!$B$9,Paramètres!$A$1:$I$89,5,0)</f>
        <v>222.99248400000016</v>
      </c>
      <c r="P67" s="13">
        <f t="shared" si="33"/>
        <v>54.764775031234961</v>
      </c>
      <c r="Q67" s="20">
        <f t="shared" ref="Q67:Q98" si="54">(O67+P67)*0.475*44/12</f>
        <v>483.76055947940108</v>
      </c>
      <c r="R67" s="59">
        <f t="shared" ref="R67:R130" si="55">Q67+(I67+J67)*44/12</f>
        <v>757.35396523804047</v>
      </c>
      <c r="S67" s="59">
        <f ca="1">AVERAGE(OFFSET($R$3,0,0,'Données projet'!$E$9+1,1))-AVERAGE(OFFSET($H$3,0,0,'Données projet'!$E$9+1,1))</f>
        <v>612.09138396952153</v>
      </c>
      <c r="T67" s="59">
        <f t="shared" si="34"/>
        <v>282.284310393542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12.233261824087835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12.233261824087835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249.9053700000002</v>
      </c>
      <c r="AK67" s="13">
        <f t="shared" si="35"/>
        <v>60.565676815620975</v>
      </c>
      <c r="AL67" s="20">
        <f t="shared" si="4"/>
        <v>540.73707320387359</v>
      </c>
      <c r="AM67" s="59">
        <f t="shared" si="5"/>
        <v>814.3304789625131</v>
      </c>
      <c r="AN67" s="59">
        <f ca="1">AVERAGE(OFFSET($AM$3,0,0,'Données projet'!$E$10+1,1))-AVERAGE(OFFSET($H$3,0,0,'Données projet'!$E$10+1,1))</f>
        <v>676.7112666359476</v>
      </c>
      <c r="AO67" s="59">
        <f t="shared" si="36"/>
        <v>309.67876644201385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13.70968997527085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13.70968997527085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246.06067200000018</v>
      </c>
      <c r="BF67" s="13">
        <f t="shared" si="37"/>
        <v>59.741614879096481</v>
      </c>
      <c r="BG67" s="20">
        <f t="shared" si="7"/>
        <v>532.60564964776006</v>
      </c>
      <c r="BH67" s="59">
        <f t="shared" si="8"/>
        <v>806.19905540639957</v>
      </c>
      <c r="BI67" s="59">
        <f ca="1">AVERAGE(OFFSET($BH$3,0,0,'Données projet'!$E$11+1,1))-AVERAGE(OFFSET($H$3,0,0,'Données projet'!$E$11+1,1))</f>
        <v>667.4887768032404</v>
      </c>
      <c r="BJ67" s="59">
        <f t="shared" si="38"/>
        <v>305.76944302827178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13.498771667958994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13.498771667958994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234.52657800000017</v>
      </c>
      <c r="CA67" s="13">
        <f t="shared" si="39"/>
        <v>57.260320569228661</v>
      </c>
      <c r="CB67" s="20">
        <f t="shared" si="10"/>
        <v>508.19551500807347</v>
      </c>
      <c r="CC67" s="59">
        <f t="shared" si="11"/>
        <v>781.78892076671286</v>
      </c>
      <c r="CD67" s="59">
        <f ca="1">AVERAGE(OFFSET($CC$3,0,0,'Données projet'!$E$12+1,1))-AVERAGE(OFFSET($H$3,0,0,'Données projet'!$E$12+1,1))</f>
        <v>639.80378676828764</v>
      </c>
      <c r="CE67" s="59">
        <f t="shared" si="40"/>
        <v>294.03328334345281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12.86601674602341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12.86601674602341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4.4000000000000004</v>
      </c>
      <c r="CT67" s="12">
        <f>IF('Données projet'!$A$140&gt;35,CT66+CS67-DB66,IF(A67&lt;'Données projet'!$A$140,$CQ$205^A67,IF(A67='Données projet'!$A$140,'Données projet'!$B$140,CT66+CS67-DB66)))</f>
        <v>250.59999999999985</v>
      </c>
      <c r="CU67" s="17">
        <f>CT67*VLOOKUP('Données projet'!$B$13,Paramètres!$A$1:$I$89,3,0)*VLOOKUP('Données projet'!$B$13,Paramètres!$A$1:$I$89,5,0)</f>
        <v>218.92415999999989</v>
      </c>
      <c r="CV67" s="13">
        <f t="shared" si="41"/>
        <v>53.880990541091087</v>
      </c>
      <c r="CW67" s="20">
        <f t="shared" si="13"/>
        <v>475.13563719240005</v>
      </c>
      <c r="CX67" s="59">
        <f t="shared" si="14"/>
        <v>748.72904295103945</v>
      </c>
      <c r="CY67" s="59">
        <f ca="1">AVERAGE(OFFSET($CX$3,0,0,'Données projet'!$E$13+1,1))-AVERAGE(OFFSET($H$3,0,0,'Données projet'!$E$13+1,1))</f>
        <v>340.64710509454375</v>
      </c>
      <c r="CZ67" s="59">
        <f t="shared" si="42"/>
        <v>329.6409514360613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7.6696940598655283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7.6696940598655283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9.2524999999999977</v>
      </c>
      <c r="DO67" s="12">
        <f>IF('Données projet'!$A$166&gt;35,DO66+DN67-DW66,IF(A67&lt;'Données projet'!$A$166,$DL$205^A67,IF(A67='Données projet'!$A$166,'Données projet'!$B$166,DO66+DN67-DW66)))</f>
        <v>246.45500000000018</v>
      </c>
      <c r="DP67" s="17">
        <f>DO67*VLOOKUP('Données projet'!$B$14,Paramètres!$A$1:$I$89,3,0)*VLOOKUP('Données projet'!$B$14,Paramètres!$A$1:$I$89,5,0)</f>
        <v>238.37127600000017</v>
      </c>
      <c r="DQ67" s="13">
        <f t="shared" si="43"/>
        <v>58.088963821708049</v>
      </c>
      <c r="DR67" s="20">
        <f t="shared" si="16"/>
        <v>516.33491768947522</v>
      </c>
      <c r="DS67" s="59">
        <f t="shared" si="17"/>
        <v>789.92832344811472</v>
      </c>
      <c r="DT67" s="59">
        <f ca="1">AVERAGE(OFFSET($DS$3,0,0,'Données projet'!$E$14+1,1))-AVERAGE(OFFSET($H$3,0,0,'Données projet'!$E$14+1,1))</f>
        <v>649.03508893149228</v>
      </c>
      <c r="DU67" s="59">
        <f t="shared" si="44"/>
        <v>297.94672581383213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13.076935053335271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13.076935053335271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9.2524999999999977</v>
      </c>
      <c r="EJ67" s="12">
        <f>IF('Données projet'!$A$192&gt;35,EJ66+EI67-ER66,IF(A67&lt;'Données projet'!$A$192,$EG$205^A67,IF(A67='Données projet'!$A$192,'Données projet'!$B$192,EJ66+EI67-ER66)))</f>
        <v>246.45500000000018</v>
      </c>
      <c r="EK67" s="17">
        <f>EJ67*VLOOKUP('Données projet'!$B$15,Paramètres!$A$1:$I$89,3,0)*VLOOKUP('Données projet'!$B$15,Paramètres!$A$1:$I$89,5,0)</f>
        <v>265.28416200000015</v>
      </c>
      <c r="EL67" s="13">
        <f t="shared" si="45"/>
        <v>63.847425411690686</v>
      </c>
      <c r="EM67" s="20">
        <f t="shared" si="19"/>
        <v>573.23751474202811</v>
      </c>
      <c r="EN67" s="59">
        <f t="shared" si="20"/>
        <v>846.83092050066762</v>
      </c>
      <c r="EO67" s="59">
        <f ca="1">AVERAGE(OFFSET($EN$3,0,0,'Données projet'!$E$15+1,1))-AVERAGE(OFFSET($H$3,0,0,'Données projet'!$E$15+1,1))</f>
        <v>713.57333631602273</v>
      </c>
      <c r="EP67" s="59">
        <f t="shared" si="46"/>
        <v>325.30302392555359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14.553363204518284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14.553363204518284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8.6666666666666661</v>
      </c>
      <c r="FE67" s="12">
        <f>IF('Données projet'!$A$218&gt;35,FE66+FD67-FM66,IF(A67&lt;'Données projet'!$A$218,$FB$205^A67,IF(A67='Données projet'!$A$218,'Données projet'!$B$218,FE66+FD67-FM66)))</f>
        <v>284.66666666666663</v>
      </c>
      <c r="FF67" s="17">
        <f>FE67*VLOOKUP('Données projet'!$B$16,Paramètres!$A$1:$I$89,3,0)*VLOOKUP('Données projet'!$B$16,Paramètres!$A$1:$I$89,5,0)</f>
        <v>222.04</v>
      </c>
      <c r="FG67" s="13">
        <f t="shared" si="47"/>
        <v>54.558031180803546</v>
      </c>
      <c r="FH67" s="20">
        <f t="shared" si="22"/>
        <v>481.74157097323285</v>
      </c>
      <c r="FI67" s="59">
        <f t="shared" si="23"/>
        <v>755.3349767318723</v>
      </c>
      <c r="FJ67" s="59">
        <f ca="1">AVERAGE(OFFSET($FI$3,0,0,'Données projet'!$E$16+1,1))-AVERAGE(OFFSET($H$3,0,0,'Données projet'!$E$16+1,1))</f>
        <v>302.04287561738482</v>
      </c>
      <c r="FK67" s="59">
        <f t="shared" si="48"/>
        <v>296.09828774694802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33.374548600997677</v>
      </c>
      <c r="FR67" s="21">
        <f>EXP(-LN(2)/25)*FR66+(1-EXP(-LN(2)/25))/(LN(2)/25)*Calculateur!FM67*Calculateur!FO67*VLOOKUP('Données projet'!$B$16,Paramètres!$A$1:$I$89,3,0)*0.475*44/12</f>
        <v>16.729144030717162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50.103692631714836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8.5500000000000007</v>
      </c>
      <c r="FZ67" s="12">
        <f>IF('Données projet'!$A$244&gt;35,FZ66+FY67-GH66,IF(A67&lt;'Données projet'!$A$244,$FW$205^A67,IF(A67='Données projet'!$A$244,'Données projet'!$B$244,FZ66+FY67-GH66)))</f>
        <v>187.21000000000012</v>
      </c>
      <c r="GA67" s="17">
        <f>FZ67*VLOOKUP('Données projet'!$B$17,Paramètres!$A$1:$I$89,3,0)*VLOOKUP('Données projet'!$B$17,Paramètres!$A$1:$I$89,5,0)</f>
        <v>157.70570400000011</v>
      </c>
      <c r="GB67" s="13">
        <f t="shared" si="49"/>
        <v>40.324596350517368</v>
      </c>
      <c r="GC67" s="20">
        <f t="shared" si="25"/>
        <v>344.90277311048459</v>
      </c>
      <c r="GD67" s="59">
        <f t="shared" si="26"/>
        <v>618.49617886912404</v>
      </c>
      <c r="GE67" s="59">
        <f ca="1">AVERAGE(OFFSET($GD$3,0,0,'Données projet'!$E$17+1,1))-AVERAGE(OFFSET($H$3,0,0,'Données projet'!$E$17+1,1))</f>
        <v>385.41819366740276</v>
      </c>
      <c r="GF67" s="59">
        <f t="shared" si="50"/>
        <v>262.4625391252718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11.247544937714354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11.247544937714354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64.616383388719854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3.3000000000000003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12.100000000000001</v>
      </c>
      <c r="H68" s="67">
        <f t="shared" ref="H68:H131" si="56">(B68+E68+F68)*44/12+(C68+D68)*0.475*44/12</f>
        <v>208.26666666666665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9.2524999999999977</v>
      </c>
      <c r="N68" s="13">
        <f>IF('Données projet'!$A$36&gt;35,N67+M68-V67,IF(A68&lt;'Données projet'!$A$36,$K$205^A68,IF(A68='Données projet'!$A$36,'Données projet'!$B$36,N67+M68-V67)))</f>
        <v>255.70750000000018</v>
      </c>
      <c r="O68" s="13">
        <f>N68*VLOOKUP('Données projet'!$B$9,Paramètres!$A$1:$I$89,3,0)*VLOOKUP('Données projet'!$B$9,Paramètres!$A$1:$I$89,5,0)</f>
        <v>231.36414600000015</v>
      </c>
      <c r="P68" s="13">
        <f t="shared" si="33"/>
        <v>56.57754019728695</v>
      </c>
      <c r="Q68" s="20">
        <f t="shared" si="54"/>
        <v>501.49843679360833</v>
      </c>
      <c r="R68" s="59">
        <f t="shared" si="55"/>
        <v>775.4342861638022</v>
      </c>
      <c r="S68" s="59">
        <f ca="1">AVERAGE(OFFSET($R$3,0,0,'Données projet'!$E$9+1,1))-AVERAGE(OFFSET($H$3,0,0,'Données projet'!$E$9+1,1))</f>
        <v>612.09138396952153</v>
      </c>
      <c r="T68" s="59">
        <f t="shared" si="34"/>
        <v>282.284310393542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11.993375021270419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11.993375021270419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259.28740500000021</v>
      </c>
      <c r="AK68" s="13">
        <f t="shared" si="35"/>
        <v>62.570457244776364</v>
      </c>
      <c r="AL68" s="20">
        <f t="shared" ref="AL68:AL131" si="58">(AJ68+AK68)*0.475*44/12</f>
        <v>560.56911007631913</v>
      </c>
      <c r="AM68" s="59">
        <f t="shared" ref="AM68:AM131" si="59">AL68+(AD68+AE68)*44/12</f>
        <v>834.50495944651288</v>
      </c>
      <c r="AN68" s="59">
        <f ca="1">AVERAGE(OFFSET($AM$3,0,0,'Données projet'!$E$10+1,1))-AVERAGE(OFFSET($H$3,0,0,'Données projet'!$E$10+1,1))</f>
        <v>676.7112666359476</v>
      </c>
      <c r="AO68" s="59">
        <f t="shared" si="36"/>
        <v>309.67876644201385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13.440851316940986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13.440851316940986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255.29836800000021</v>
      </c>
      <c r="BF68" s="13">
        <f t="shared" si="37"/>
        <v>61.719118089047626</v>
      </c>
      <c r="BG68" s="20">
        <f t="shared" ref="BG68:BG131" si="61">(BE68+BF68)*0.475*44/12</f>
        <v>552.13878827175824</v>
      </c>
      <c r="BH68" s="59">
        <f t="shared" ref="BH68:BH131" si="62">BG68+(AY68+AZ68)*44/12</f>
        <v>826.07463764195199</v>
      </c>
      <c r="BI68" s="59">
        <f ca="1">AVERAGE(OFFSET($BH$3,0,0,'Données projet'!$E$11+1,1))-AVERAGE(OFFSET($H$3,0,0,'Données projet'!$E$11+1,1))</f>
        <v>667.4887768032404</v>
      </c>
      <c r="BJ68" s="59">
        <f t="shared" si="38"/>
        <v>305.76944302827178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13.234068988988051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13.234068988988051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243.33125700000016</v>
      </c>
      <c r="CA68" s="13">
        <f t="shared" si="39"/>
        <v>59.155690621706064</v>
      </c>
      <c r="CB68" s="20">
        <f t="shared" ref="CB68:CB131" si="64">(BZ68+CA68)*0.475*44/12</f>
        <v>526.83143377447163</v>
      </c>
      <c r="CC68" s="59">
        <f t="shared" ref="CC68:CC131" si="65">CB68+(BT68+BU68)*44/12</f>
        <v>800.7672831446655</v>
      </c>
      <c r="CD68" s="59">
        <f ca="1">AVERAGE(OFFSET($CC$3,0,0,'Données projet'!$E$12+1,1))-AVERAGE(OFFSET($H$3,0,0,'Données projet'!$E$12+1,1))</f>
        <v>639.80378676828764</v>
      </c>
      <c r="CE68" s="59">
        <f t="shared" si="40"/>
        <v>294.03328334345281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12.61372200512923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12.61372200512923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255</v>
      </c>
      <c r="CR68" s="12">
        <f>VLOOKUP(A68,'Données projet'!$A$139:$I$159,9,0)</f>
        <v>4.4000000000000004</v>
      </c>
      <c r="CS68" s="12">
        <f t="array" ref="CS68">INDEX(CR:CR,MIN(IF(ISNUMBER(CR68:CR264),ROW(CR68:CR264),"")))</f>
        <v>4.4000000000000004</v>
      </c>
      <c r="CT68" s="12">
        <f>IF('Données projet'!$A$140&gt;35,CT67+CS68-DB67,IF(A68&lt;'Données projet'!$A$140,$CQ$205^A68,IF(A68='Données projet'!$A$140,'Données projet'!$B$140,CT67+CS68-DB67)))</f>
        <v>254.99999999999986</v>
      </c>
      <c r="CU68" s="17">
        <f>CT68*VLOOKUP('Données projet'!$B$13,Paramètres!$A$1:$I$89,3,0)*VLOOKUP('Données projet'!$B$13,Paramètres!$A$1:$I$89,5,0)</f>
        <v>222.76799999999989</v>
      </c>
      <c r="CV68" s="13">
        <f t="shared" si="41"/>
        <v>54.716058356609459</v>
      </c>
      <c r="CW68" s="20">
        <f t="shared" ref="CW68:CW131" si="67">(CU68+CV68)*0.475*44/12</f>
        <v>483.28473497109462</v>
      </c>
      <c r="CX68" s="59">
        <f t="shared" ref="CX68:CX131" si="68">CW68+(CO68+CP68)*44/12</f>
        <v>757.22058434128849</v>
      </c>
      <c r="CY68" s="59">
        <f ca="1">AVERAGE(OFFSET($CX$3,0,0,'Données projet'!$E$13+1,1))-AVERAGE(OFFSET($H$3,0,0,'Données projet'!$E$13+1,1))</f>
        <v>340.64710509454375</v>
      </c>
      <c r="CZ68" s="59">
        <f t="shared" si="42"/>
        <v>329.6409514360613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0.318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10.897450792015853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10.897450792015853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9.2524999999999977</v>
      </c>
      <c r="DO68" s="12">
        <f>IF('Données projet'!$A$166&gt;35,DO67+DN68-DW67,IF(A68&lt;'Données projet'!$A$166,$DL$205^A68,IF(A68='Données projet'!$A$166,'Données projet'!$B$166,DO67+DN68-DW67)))</f>
        <v>255.70750000000018</v>
      </c>
      <c r="DP68" s="17">
        <f>DO68*VLOOKUP('Données projet'!$B$14,Paramètres!$A$1:$I$89,3,0)*VLOOKUP('Données projet'!$B$14,Paramètres!$A$1:$I$89,5,0)</f>
        <v>247.32029400000016</v>
      </c>
      <c r="DQ68" s="13">
        <f t="shared" si="43"/>
        <v>60.011762739223698</v>
      </c>
      <c r="DR68" s="20">
        <f t="shared" ref="DR68:DR131" si="70">(DP68+DQ68)*0.475*44/12</f>
        <v>535.26999882081486</v>
      </c>
      <c r="DS68" s="59">
        <f t="shared" ref="DS68:DS131" si="71">DR68+(DJ68+DK68)*44/12</f>
        <v>809.20584819100873</v>
      </c>
      <c r="DT68" s="59">
        <f ca="1">AVERAGE(OFFSET($DS$3,0,0,'Données projet'!$E$14+1,1))-AVERAGE(OFFSET($H$3,0,0,'Données projet'!$E$14+1,1))</f>
        <v>649.03508893149228</v>
      </c>
      <c r="DU68" s="59">
        <f t="shared" si="44"/>
        <v>297.94672581383213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12.82050433308217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12.82050433308217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9.2524999999999977</v>
      </c>
      <c r="EJ68" s="12">
        <f>IF('Données projet'!$A$192&gt;35,EJ67+EI68-ER67,IF(A68&lt;'Données projet'!$A$192,$EG$205^A68,IF(A68='Données projet'!$A$192,'Données projet'!$B$192,EJ67+EI68-ER67)))</f>
        <v>255.70750000000018</v>
      </c>
      <c r="EK68" s="17">
        <f>EJ68*VLOOKUP('Données projet'!$B$15,Paramètres!$A$1:$I$89,3,0)*VLOOKUP('Données projet'!$B$15,Paramètres!$A$1:$I$89,5,0)</f>
        <v>275.24355300000019</v>
      </c>
      <c r="EL68" s="13">
        <f t="shared" si="45"/>
        <v>65.960834782265181</v>
      </c>
      <c r="EM68" s="20">
        <f t="shared" ref="EM68:EM131" si="73">(EK68+EL68)*0.475*44/12</f>
        <v>594.26430872077879</v>
      </c>
      <c r="EN68" s="59">
        <f t="shared" ref="EN68:EN131" si="74">EM68+(EE68+EF68)*44/12</f>
        <v>868.20015809097254</v>
      </c>
      <c r="EO68" s="59">
        <f ca="1">AVERAGE(OFFSET($EN$3,0,0,'Données projet'!$E$15+1,1))-AVERAGE(OFFSET($H$3,0,0,'Données projet'!$E$15+1,1))</f>
        <v>713.57333631602273</v>
      </c>
      <c r="EP68" s="59">
        <f t="shared" si="46"/>
        <v>325.30302392555359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14.267980628752737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14.267980628752737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8.6666666666666661</v>
      </c>
      <c r="FE68" s="12">
        <f>IF('Données projet'!$A$218&gt;35,FE67+FD68-FM67,IF(A68&lt;'Données projet'!$A$218,$FB$205^A68,IF(A68='Données projet'!$A$218,'Données projet'!$B$218,FE67+FD68-FM67)))</f>
        <v>293.33333333333331</v>
      </c>
      <c r="FF68" s="17">
        <f>FE68*VLOOKUP('Données projet'!$B$16,Paramètres!$A$1:$I$89,3,0)*VLOOKUP('Données projet'!$B$16,Paramètres!$A$1:$I$89,5,0)</f>
        <v>228.79999999999998</v>
      </c>
      <c r="FG68" s="13">
        <f t="shared" si="47"/>
        <v>56.023134533701196</v>
      </c>
      <c r="FH68" s="20">
        <f t="shared" ref="FH68:FH131" si="76">(FF68+FG68)*0.475*44/12</f>
        <v>496.06695931286293</v>
      </c>
      <c r="FI68" s="59">
        <f t="shared" ref="FI68:FI131" si="77">FH68+(EZ68+FA68)*44/12</f>
        <v>770.00280868305674</v>
      </c>
      <c r="FJ68" s="59">
        <f ca="1">AVERAGE(OFFSET($FI$3,0,0,'Données projet'!$E$16+1,1))-AVERAGE(OFFSET($H$3,0,0,'Données projet'!$E$16+1,1))</f>
        <v>302.04287561738482</v>
      </c>
      <c r="FK68" s="59">
        <f t="shared" si="48"/>
        <v>296.09828774694802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32.720094059396729</v>
      </c>
      <c r="FR68" s="21">
        <f>EXP(-LN(2)/25)*FR67+(1-EXP(-LN(2)/25))/(LN(2)/25)*Calculateur!FM68*Calculateur!FO68*VLOOKUP('Données projet'!$B$16,Paramètres!$A$1:$I$89,3,0)*0.475*44/12</f>
        <v>16.271684707449751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48.99177876684648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8.5500000000000007</v>
      </c>
      <c r="FZ68" s="12">
        <f>IF('Données projet'!$A$244&gt;35,FZ67+FY68-GH67,IF(A68&lt;'Données projet'!$A$244,$FW$205^A68,IF(A68='Données projet'!$A$244,'Données projet'!$B$244,FZ67+FY68-GH67)))</f>
        <v>195.76000000000013</v>
      </c>
      <c r="GA68" s="17">
        <f>FZ68*VLOOKUP('Données projet'!$B$17,Paramètres!$A$1:$I$89,3,0)*VLOOKUP('Données projet'!$B$17,Paramètres!$A$1:$I$89,5,0)</f>
        <v>164.90822400000013</v>
      </c>
      <c r="GB68" s="13">
        <f t="shared" si="49"/>
        <v>41.947624720052197</v>
      </c>
      <c r="GC68" s="20">
        <f t="shared" ref="GC68:GC131" si="79">(GA68+GB68)*0.475*44/12</f>
        <v>360.27393652075779</v>
      </c>
      <c r="GD68" s="59">
        <f t="shared" ref="GD68:GD131" si="80">GC68+(FU68+FV68)*44/12</f>
        <v>634.20978589095159</v>
      </c>
      <c r="GE68" s="59">
        <f ca="1">AVERAGE(OFFSET($GD$3,0,0,'Données projet'!$E$17+1,1))-AVERAGE(OFFSET($H$3,0,0,'Données projet'!$E$17+1,1))</f>
        <v>385.41819366740276</v>
      </c>
      <c r="GF68" s="59">
        <f t="shared" si="50"/>
        <v>262.4625391252718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11.026987441810787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11.026987441810787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64.709777100961944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3.3000000000000003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12.100000000000001</v>
      </c>
      <c r="H69" s="67">
        <f t="shared" si="56"/>
        <v>208.26666666666665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264.95999999999998</v>
      </c>
      <c r="L69" s="12">
        <f>VLOOKUP(A69,'Données projet'!$A$35:$I$55,9,0)</f>
        <v>9.2524999999999977</v>
      </c>
      <c r="M69" s="12">
        <f t="array" ref="M69">INDEX(L:L,MIN(IF(ISNUMBER(L69:L265),ROW(L69:L265),"")))</f>
        <v>9.2524999999999977</v>
      </c>
      <c r="N69" s="13">
        <f>IF('Données projet'!$A$36&gt;35,N68+M69-V68,IF(A69&lt;'Données projet'!$A$36,$K$205^A69,IF(A69='Données projet'!$A$36,'Données projet'!$B$36,N68+M69-V68)))</f>
        <v>264.96000000000015</v>
      </c>
      <c r="O69" s="13">
        <f>N69*VLOOKUP('Données projet'!$B$9,Paramètres!$A$1:$I$89,3,0)*VLOOKUP('Données projet'!$B$9,Paramètres!$A$1:$I$89,5,0)</f>
        <v>239.73580800000011</v>
      </c>
      <c r="P69" s="13">
        <f t="shared" ref="P69:P132" si="87">EXP(-1.0587+0.8836*LN(O69)+0.284)</f>
        <v>58.38268464325516</v>
      </c>
      <c r="Q69" s="20">
        <f t="shared" si="54"/>
        <v>519.22304135366949</v>
      </c>
      <c r="R69" s="59">
        <f t="shared" si="55"/>
        <v>793.49539370434627</v>
      </c>
      <c r="S69" s="59">
        <f ca="1">AVERAGE(OFFSET($R$3,0,0,'Données projet'!$E$9+1,1))-AVERAGE(OFFSET($H$3,0,0,'Données projet'!$E$9+1,1))</f>
        <v>612.09138396952153</v>
      </c>
      <c r="T69" s="59">
        <f t="shared" ref="T69:T132" si="88">$T$3</f>
        <v>282.284310393542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0.25800000000000001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24.637928753319876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24.637928753319876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268.66944000000018</v>
      </c>
      <c r="AK69" s="13">
        <f t="shared" ref="AK69:AK132" si="89">EXP(-1.0587+0.8836*LN(AJ69)+0.284)</f>
        <v>64.566809737006352</v>
      </c>
      <c r="AL69" s="20">
        <f t="shared" si="58"/>
        <v>580.38646829195295</v>
      </c>
      <c r="AM69" s="59">
        <f t="shared" si="59"/>
        <v>854.65882064262973</v>
      </c>
      <c r="AN69" s="59">
        <f ca="1">AVERAGE(OFFSET($AM$3,0,0,'Données projet'!$E$10+1,1))-AVERAGE(OFFSET($H$3,0,0,'Données projet'!$E$10+1,1))</f>
        <v>676.7112666359476</v>
      </c>
      <c r="AO69" s="59">
        <f t="shared" ref="AO69:AO132" si="90">$AO$3</f>
        <v>309.67876644201385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27.611471878720558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27.611471878720558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264.53606400000018</v>
      </c>
      <c r="BF69" s="13">
        <f t="shared" ref="BF69:BF132" si="91">EXP(-1.0587+0.8836*LN(BE69)+0.284)</f>
        <v>63.688308033325896</v>
      </c>
      <c r="BG69" s="20">
        <f t="shared" si="61"/>
        <v>571.65744795804289</v>
      </c>
      <c r="BH69" s="59">
        <f t="shared" si="62"/>
        <v>845.92980030871968</v>
      </c>
      <c r="BI69" s="59">
        <f ca="1">AVERAGE(OFFSET($BH$3,0,0,'Données projet'!$E$11+1,1))-AVERAGE(OFFSET($H$3,0,0,'Données projet'!$E$11+1,1))</f>
        <v>667.4887768032404</v>
      </c>
      <c r="BJ69" s="59">
        <f t="shared" ref="BJ69:BJ132" si="92">$BJ$3</f>
        <v>305.76944302827178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27.186680003663319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27.186680003663319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252.13593600000013</v>
      </c>
      <c r="CA69" s="13">
        <f t="shared" ref="CA69:CA132" si="93">EXP(-1.0587+0.8836*LN(BZ69)+0.284)</f>
        <v>61.043092689749741</v>
      </c>
      <c r="CB69" s="20">
        <f t="shared" si="64"/>
        <v>545.45347496798104</v>
      </c>
      <c r="CC69" s="59">
        <f t="shared" si="65"/>
        <v>819.72582731865782</v>
      </c>
      <c r="CD69" s="59">
        <f ca="1">AVERAGE(OFFSET($CC$3,0,0,'Données projet'!$E$12+1,1))-AVERAGE(OFFSET($H$3,0,0,'Données projet'!$E$12+1,1))</f>
        <v>639.80378676828764</v>
      </c>
      <c r="CE69" s="59">
        <f t="shared" ref="CE69:CE132" si="94">$CE$3</f>
        <v>294.03328334345281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0.25800000000000001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25.912304378491598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25.912304378491598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3.8</v>
      </c>
      <c r="CT69" s="12">
        <f>IF('Données projet'!$A$140&gt;35,CT68+CS69-DB68,IF(A69&lt;'Données projet'!$A$140,$CQ$205^A69,IF(A69='Données projet'!$A$140,'Données projet'!$B$140,CT68+CS69-DB68)))</f>
        <v>247.79999999999984</v>
      </c>
      <c r="CU69" s="17">
        <f>CT69*VLOOKUP('Données projet'!$B$13,Paramètres!$A$1:$I$89,3,0)*VLOOKUP('Données projet'!$B$13,Paramètres!$A$1:$I$89,5,0)</f>
        <v>216.47807999999986</v>
      </c>
      <c r="CV69" s="13">
        <f t="shared" ref="CV69:CV132" si="95">EXP(-1.0587+0.8836*LN(CU69)+0.284)</f>
        <v>53.348696328338377</v>
      </c>
      <c r="CW69" s="20">
        <f t="shared" si="67"/>
        <v>469.94830210518904</v>
      </c>
      <c r="CX69" s="59">
        <f t="shared" si="68"/>
        <v>744.22065445586588</v>
      </c>
      <c r="CY69" s="59">
        <f ca="1">AVERAGE(OFFSET($CX$3,0,0,'Données projet'!$E$13+1,1))-AVERAGE(OFFSET($H$3,0,0,'Données projet'!$E$13+1,1))</f>
        <v>340.64710509454375</v>
      </c>
      <c r="CZ69" s="59">
        <f t="shared" ref="CZ69:CZ132" si="96">$CZ$3</f>
        <v>329.6409514360613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10.683758428773089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10.683758428773089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264.95999999999998</v>
      </c>
      <c r="DM69" s="12">
        <f>VLOOKUP(A69,'Données projet'!$A$165:$I$185,9,0)</f>
        <v>9.2524999999999977</v>
      </c>
      <c r="DN69" s="12">
        <f t="array" ref="DN69">INDEX(DM:DM,MIN(IF(ISNUMBER(DM69:DM265),ROW(DM69:DM265),"")))</f>
        <v>9.2524999999999977</v>
      </c>
      <c r="DO69" s="12">
        <f>IF('Données projet'!$A$166&gt;35,DO68+DN69-DW68,IF(A69&lt;'Données projet'!$A$166,$DL$205^A69,IF(A69='Données projet'!$A$166,'Données projet'!$B$166,DO68+DN69-DW68)))</f>
        <v>264.96000000000015</v>
      </c>
      <c r="DP69" s="17">
        <f>DO69*VLOOKUP('Données projet'!$B$14,Paramètres!$A$1:$I$89,3,0)*VLOOKUP('Données projet'!$B$14,Paramètres!$A$1:$I$89,5,0)</f>
        <v>256.26931200000018</v>
      </c>
      <c r="DQ69" s="13">
        <f t="shared" ref="DQ69:DQ132" si="97">EXP(-1.0587+0.8836*LN(DP69)+0.284)</f>
        <v>61.926478363546003</v>
      </c>
      <c r="DR69" s="20">
        <f t="shared" si="70"/>
        <v>554.19100154984289</v>
      </c>
      <c r="DS69" s="59">
        <f t="shared" si="71"/>
        <v>828.46335390051968</v>
      </c>
      <c r="DT69" s="59">
        <f ca="1">AVERAGE(OFFSET($DS$3,0,0,'Données projet'!$E$14+1,1))-AVERAGE(OFFSET($H$3,0,0,'Données projet'!$E$14+1,1))</f>
        <v>649.03508893149228</v>
      </c>
      <c r="DU69" s="59">
        <f t="shared" ref="DU69:DU132" si="98">$DU$3</f>
        <v>297.94672581383213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49.91</v>
      </c>
      <c r="DX69" s="16">
        <f>IF(ISNA(VLOOKUP(A69,'Données projet'!$A$165:$I$185,5,0)),0%,VLOOKUP(A69,'Données projet'!$A$165:$I$185,5,0)*VLOOKUP('Données projet'!$B$14,Paramètres!$A$1:$I$89,7,0))</f>
        <v>0.25800000000000001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26.337096253548836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26.337096253548836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>
        <f>VLOOKUP(A69,'Données projet'!$A$191:$I$211,2,0)</f>
        <v>264.95999999999998</v>
      </c>
      <c r="EH69" s="12">
        <f>VLOOKUP(A69,'Données projet'!$A$191:$I$211,9,0)</f>
        <v>9.2524999999999977</v>
      </c>
      <c r="EI69" s="12">
        <f t="array" ref="EI69">INDEX(EH:EH,MIN(IF(ISNUMBER(EH69:EH265),ROW(EH69:EH265),"")))</f>
        <v>9.2524999999999977</v>
      </c>
      <c r="EJ69" s="12">
        <f>IF('Données projet'!$A$192&gt;35,EJ68+EI69-ER68,IF(A69&lt;'Données projet'!$A$192,$EG$205^A69,IF(A69='Données projet'!$A$192,'Données projet'!$B$192,EJ68+EI69-ER68)))</f>
        <v>264.96000000000015</v>
      </c>
      <c r="EK69" s="17">
        <f>EJ69*VLOOKUP('Données projet'!$B$15,Paramètres!$A$1:$I$89,3,0)*VLOOKUP('Données projet'!$B$15,Paramètres!$A$1:$I$89,5,0)</f>
        <v>285.20294400000017</v>
      </c>
      <c r="EL69" s="13">
        <f t="shared" ref="EL69:EL132" si="99">EXP(-1.0587+0.8836*LN(EK69)+0.284)</f>
        <v>68.06535954851401</v>
      </c>
      <c r="EM69" s="20">
        <f t="shared" si="73"/>
        <v>615.27562868032874</v>
      </c>
      <c r="EN69" s="59">
        <f t="shared" si="74"/>
        <v>889.54798103100552</v>
      </c>
      <c r="EO69" s="59">
        <f ca="1">AVERAGE(OFFSET($EN$3,0,0,'Données projet'!$E$15+1,1))-AVERAGE(OFFSET($H$3,0,0,'Données projet'!$E$15+1,1))</f>
        <v>713.57333631602273</v>
      </c>
      <c r="EP69" s="59">
        <f t="shared" ref="EP69:EP132" si="100">$EP$3</f>
        <v>325.30302392555359</v>
      </c>
      <c r="EQ69" s="15">
        <f>IF(ISNA(VLOOKUP(A69,'Données projet'!$A$191:$I$211,3,0)),0,VLOOKUP(A69,'Données projet'!$A$191:$I$211,3,0))</f>
        <v>4</v>
      </c>
      <c r="ER69" s="15">
        <f>IF(ISNA(VLOOKUP(A69,'Données projet'!$A$191:$I$211,4,0)),0,VLOOKUP(A69,'Données projet'!$A$191:$I$211,4,0))</f>
        <v>49.91</v>
      </c>
      <c r="ES69" s="16">
        <f>IF(ISNA(VLOOKUP(A69,'Données projet'!$A$191:$I$211,5,0)),0%,VLOOKUP(A69,'Données projet'!$A$191:$I$211,5,0)*VLOOKUP('Données projet'!$B$15,Paramètres!$A$1:$I$89,7,0))</f>
        <v>0.25800000000000001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29.31063937894951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29.31063937894951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8.6666666666666661</v>
      </c>
      <c r="FE69" s="12">
        <f>IF('Données projet'!$A$218&gt;35,FE68+FD69-FM68,IF(A69&lt;'Données projet'!$A$218,$FB$205^A69,IF(A69='Données projet'!$A$218,'Données projet'!$B$218,FE68+FD69-FM68)))</f>
        <v>302</v>
      </c>
      <c r="FF69" s="17">
        <f>FE69*VLOOKUP('Données projet'!$B$16,Paramètres!$A$1:$I$89,3,0)*VLOOKUP('Données projet'!$B$16,Paramètres!$A$1:$I$89,5,0)</f>
        <v>235.56</v>
      </c>
      <c r="FG69" s="13">
        <f t="shared" ref="FG69:FG132" si="101">EXP(-1.0587+0.8836*LN(FF69)+0.284)</f>
        <v>57.483207143847721</v>
      </c>
      <c r="FH69" s="20">
        <f t="shared" si="76"/>
        <v>510.38358577553481</v>
      </c>
      <c r="FI69" s="59">
        <f t="shared" si="77"/>
        <v>784.65593812621159</v>
      </c>
      <c r="FJ69" s="59">
        <f ca="1">AVERAGE(OFFSET($FI$3,0,0,'Données projet'!$E$16+1,1))-AVERAGE(OFFSET($H$3,0,0,'Données projet'!$E$16+1,1))</f>
        <v>302.04287561738482</v>
      </c>
      <c r="FK69" s="59">
        <f t="shared" ref="FK69:FK132" si="102">$FK$3</f>
        <v>296.09828774694802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32.078472972178716</v>
      </c>
      <c r="FR69" s="21">
        <f>EXP(-LN(2)/25)*FR68+(1-EXP(-LN(2)/25))/(LN(2)/25)*Calculateur!FM69*Calculateur!FO69*VLOOKUP('Données projet'!$B$16,Paramètres!$A$1:$I$89,3,0)*0.475*44/12</f>
        <v>15.826734633433828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47.905207605612546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8.5500000000000007</v>
      </c>
      <c r="FZ69" s="12">
        <f>IF('Données projet'!$A$244&gt;35,FZ68+FY69-GH68,IF(A69&lt;'Données projet'!$A$244,$FW$205^A69,IF(A69='Données projet'!$A$244,'Données projet'!$B$244,FZ68+FY69-GH68)))</f>
        <v>204.31000000000014</v>
      </c>
      <c r="GA69" s="17">
        <f>FZ69*VLOOKUP('Données projet'!$B$17,Paramètres!$A$1:$I$89,3,0)*VLOOKUP('Données projet'!$B$17,Paramètres!$A$1:$I$89,5,0)</f>
        <v>172.11074400000012</v>
      </c>
      <c r="GB69" s="13">
        <f t="shared" ref="GB69:GB132" si="103">EXP(-1.0587+0.8836*LN(GA69)+0.284)</f>
        <v>43.562419985615136</v>
      </c>
      <c r="GC69" s="20">
        <f t="shared" si="79"/>
        <v>375.63076060827984</v>
      </c>
      <c r="GD69" s="59">
        <f t="shared" si="80"/>
        <v>649.90311295895663</v>
      </c>
      <c r="GE69" s="59">
        <f ca="1">AVERAGE(OFFSET($GD$3,0,0,'Données projet'!$E$17+1,1))-AVERAGE(OFFSET($H$3,0,0,'Données projet'!$E$17+1,1))</f>
        <v>385.41819366740276</v>
      </c>
      <c r="GF69" s="59">
        <f t="shared" ref="GF69:GF132" si="104">$GF$3</f>
        <v>262.4625391252718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10.8107549438751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10.8107549438751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64.801550641093684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3.3000000000000003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12.100000000000001</v>
      </c>
      <c r="H70" s="67">
        <f t="shared" si="56"/>
        <v>208.26666666666665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8.8662500000000044</v>
      </c>
      <c r="N70" s="13">
        <f>IF('Données projet'!$A$36&gt;35,N69+M70-V69,IF(A70&lt;'Données projet'!$A$36,$K$205^A70,IF(A70='Données projet'!$A$36,'Données projet'!$B$36,N69+M70-V69)))</f>
        <v>223.91625000000013</v>
      </c>
      <c r="O70" s="13">
        <f>N70*VLOOKUP('Données projet'!$B$9,Paramètres!$A$1:$I$89,3,0)*VLOOKUP('Données projet'!$B$9,Paramètres!$A$1:$I$89,5,0)</f>
        <v>202.59942300000012</v>
      </c>
      <c r="P70" s="13">
        <f t="shared" si="87"/>
        <v>50.315012169520465</v>
      </c>
      <c r="Q70" s="20">
        <f t="shared" si="54"/>
        <v>440.49264125358167</v>
      </c>
      <c r="R70" s="59">
        <f t="shared" si="55"/>
        <v>715.09565901033818</v>
      </c>
      <c r="S70" s="59">
        <f ca="1">AVERAGE(OFFSET($R$3,0,0,'Données projet'!$E$9+1,1))-AVERAGE(OFFSET($H$3,0,0,'Données projet'!$E$9+1,1))</f>
        <v>612.09138396952153</v>
      </c>
      <c r="T70" s="59">
        <f t="shared" si="88"/>
        <v>282.284310393542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24.154793998119956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24.154793998119956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227.05107750000016</v>
      </c>
      <c r="AK70" s="13">
        <f t="shared" si="89"/>
        <v>55.644577455036639</v>
      </c>
      <c r="AL70" s="20">
        <f t="shared" si="58"/>
        <v>492.36159904668904</v>
      </c>
      <c r="AM70" s="59">
        <f t="shared" si="59"/>
        <v>766.96461680344555</v>
      </c>
      <c r="AN70" s="59">
        <f ca="1">AVERAGE(OFFSET($AM$3,0,0,'Données projet'!$E$10+1,1))-AVERAGE(OFFSET($H$3,0,0,'Données projet'!$E$10+1,1))</f>
        <v>676.7112666359476</v>
      </c>
      <c r="AO70" s="59">
        <f t="shared" si="90"/>
        <v>309.67876644201385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27.070027756513749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27.070027756513749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223.55798400000015</v>
      </c>
      <c r="BF70" s="13">
        <f t="shared" si="91"/>
        <v>54.887472430118379</v>
      </c>
      <c r="BG70" s="20">
        <f t="shared" si="61"/>
        <v>484.95916994912301</v>
      </c>
      <c r="BH70" s="59">
        <f t="shared" si="62"/>
        <v>759.56218770587952</v>
      </c>
      <c r="BI70" s="59">
        <f ca="1">AVERAGE(OFFSET($BH$3,0,0,'Données projet'!$E$11+1,1))-AVERAGE(OFFSET($H$3,0,0,'Données projet'!$E$11+1,1))</f>
        <v>667.4887768032404</v>
      </c>
      <c r="BJ70" s="59">
        <f t="shared" si="92"/>
        <v>305.76944302827178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26.653565791028925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26.653565791028925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213.07870350000013</v>
      </c>
      <c r="CA70" s="13">
        <f t="shared" si="93"/>
        <v>52.607788941489872</v>
      </c>
      <c r="CB70" s="20">
        <f t="shared" si="64"/>
        <v>462.73730766892845</v>
      </c>
      <c r="CC70" s="59">
        <f t="shared" si="65"/>
        <v>737.34032542568502</v>
      </c>
      <c r="CD70" s="59">
        <f ca="1">AVERAGE(OFFSET($CC$3,0,0,'Données projet'!$E$12+1,1))-AVERAGE(OFFSET($H$3,0,0,'Données projet'!$E$12+1,1))</f>
        <v>639.80378676828764</v>
      </c>
      <c r="CE70" s="59">
        <f t="shared" si="94"/>
        <v>294.03328334345281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25.40417989457444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25.40417989457444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3.8</v>
      </c>
      <c r="CT70" s="12">
        <f>IF('Données projet'!$A$140&gt;35,CT69+CS70-DB69,IF(A70&lt;'Données projet'!$A$140,$CQ$205^A70,IF(A70='Données projet'!$A$140,'Données projet'!$B$140,CT69+CS70-DB69)))</f>
        <v>251.59999999999985</v>
      </c>
      <c r="CU70" s="17">
        <f>CT70*VLOOKUP('Données projet'!$B$13,Paramètres!$A$1:$I$89,3,0)*VLOOKUP('Données projet'!$B$13,Paramètres!$A$1:$I$89,5,0)</f>
        <v>219.7977599999999</v>
      </c>
      <c r="CV70" s="13">
        <f t="shared" si="95"/>
        <v>54.070927503307338</v>
      </c>
      <c r="CW70" s="20">
        <f t="shared" si="67"/>
        <v>476.98796406826</v>
      </c>
      <c r="CX70" s="59">
        <f t="shared" si="68"/>
        <v>751.59098182501657</v>
      </c>
      <c r="CY70" s="59">
        <f ca="1">AVERAGE(OFFSET($CX$3,0,0,'Données projet'!$E$13+1,1))-AVERAGE(OFFSET($H$3,0,0,'Données projet'!$E$13+1,1))</f>
        <v>340.64710509454375</v>
      </c>
      <c r="CZ70" s="59">
        <f t="shared" si="96"/>
        <v>329.6409514360613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10.474256442434044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10.474256442434044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8.8662500000000044</v>
      </c>
      <c r="DO70" s="12">
        <f>IF('Données projet'!$A$166&gt;35,DO69+DN70-DW69,IF(A70&lt;'Données projet'!$A$166,$DL$205^A70,IF(A70='Données projet'!$A$166,'Données projet'!$B$166,DO69+DN70-DW69)))</f>
        <v>223.91625000000013</v>
      </c>
      <c r="DP70" s="17">
        <f>DO70*VLOOKUP('Données projet'!$B$14,Paramètres!$A$1:$I$89,3,0)*VLOOKUP('Données projet'!$B$14,Paramètres!$A$1:$I$89,5,0)</f>
        <v>216.57179700000012</v>
      </c>
      <c r="DQ70" s="13">
        <f t="shared" si="97"/>
        <v>53.369103039994094</v>
      </c>
      <c r="DR70" s="20">
        <f t="shared" si="70"/>
        <v>470.14706756965666</v>
      </c>
      <c r="DS70" s="59">
        <f t="shared" si="71"/>
        <v>744.75008532641323</v>
      </c>
      <c r="DT70" s="59">
        <f ca="1">AVERAGE(OFFSET($DS$3,0,0,'Données projet'!$E$14+1,1))-AVERAGE(OFFSET($H$3,0,0,'Données projet'!$E$14+1,1))</f>
        <v>649.03508893149228</v>
      </c>
      <c r="DU70" s="59">
        <f t="shared" si="98"/>
        <v>297.94672581383213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25.820641860059265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25.820641860059265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8.8662500000000044</v>
      </c>
      <c r="EJ70" s="12">
        <f>IF('Données projet'!$A$192&gt;35,EJ69+EI70-ER69,IF(A70&lt;'Données projet'!$A$192,$EG$205^A70,IF(A70='Données projet'!$A$192,'Données projet'!$B$192,EJ69+EI70-ER69)))</f>
        <v>223.91625000000013</v>
      </c>
      <c r="EK70" s="17">
        <f>EJ70*VLOOKUP('Données projet'!$B$15,Paramètres!$A$1:$I$89,3,0)*VLOOKUP('Données projet'!$B$15,Paramètres!$A$1:$I$89,5,0)</f>
        <v>241.02345150000011</v>
      </c>
      <c r="EL70" s="13">
        <f t="shared" si="99"/>
        <v>58.659676493686526</v>
      </c>
      <c r="EM70" s="20">
        <f t="shared" si="73"/>
        <v>521.94811458900415</v>
      </c>
      <c r="EN70" s="59">
        <f t="shared" si="74"/>
        <v>796.55113234576061</v>
      </c>
      <c r="EO70" s="59">
        <f ca="1">AVERAGE(OFFSET($EN$3,0,0,'Données projet'!$E$15+1,1))-AVERAGE(OFFSET($H$3,0,0,'Données projet'!$E$15+1,1))</f>
        <v>713.57333631602273</v>
      </c>
      <c r="EP70" s="59">
        <f t="shared" si="100"/>
        <v>325.30302392555359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28.735875618453054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28.735875618453054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8.6666666666666661</v>
      </c>
      <c r="FE70" s="12">
        <f>IF('Données projet'!$A$218&gt;35,FE69+FD70-FM69,IF(A70&lt;'Données projet'!$A$218,$FB$205^A70,IF(A70='Données projet'!$A$218,'Données projet'!$B$218,FE69+FD70-FM69)))</f>
        <v>310.66666666666669</v>
      </c>
      <c r="FF70" s="17">
        <f>FE70*VLOOKUP('Données projet'!$B$16,Paramètres!$A$1:$I$89,3,0)*VLOOKUP('Données projet'!$B$16,Paramètres!$A$1:$I$89,5,0)</f>
        <v>242.32000000000002</v>
      </c>
      <c r="FG70" s="13">
        <f t="shared" si="101"/>
        <v>58.938409961900859</v>
      </c>
      <c r="FH70" s="20">
        <f t="shared" si="76"/>
        <v>524.69173068364398</v>
      </c>
      <c r="FI70" s="59">
        <f t="shared" si="77"/>
        <v>799.29474844040055</v>
      </c>
      <c r="FJ70" s="59">
        <f ca="1">AVERAGE(OFFSET($FI$3,0,0,'Données projet'!$E$16+1,1))-AVERAGE(OFFSET($H$3,0,0,'Données projet'!$E$16+1,1))</f>
        <v>302.04287561738482</v>
      </c>
      <c r="FK70" s="59">
        <f t="shared" si="102"/>
        <v>296.09828774694802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31.449433683130827</v>
      </c>
      <c r="FR70" s="21">
        <f>EXP(-LN(2)/25)*FR69+(1-EXP(-LN(2)/25))/(LN(2)/25)*Calculateur!FM70*Calculateur!FO70*VLOOKUP('Données projet'!$B$16,Paramètres!$A$1:$I$89,3,0)*0.475*44/12</f>
        <v>15.393951742590778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46.843385425721607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>
        <f>VLOOKUP(A70,'Données projet'!$A$243:$I$263,2,0)</f>
        <v>212.86</v>
      </c>
      <c r="FX70" s="12">
        <f>VLOOKUP(A70,'Données projet'!$A$243:$I$263,9,0)</f>
        <v>8.5500000000000007</v>
      </c>
      <c r="FY70" s="12">
        <f t="array" ref="FY70">INDEX(FX:FX,MIN(IF(ISNUMBER(FX70:FX266),ROW(FX70:FX266),"")))</f>
        <v>8.5500000000000007</v>
      </c>
      <c r="FZ70" s="12">
        <f>IF('Données projet'!$A$244&gt;35,FZ69+FY70-GH69,IF(A70&lt;'Données projet'!$A$244,$FW$205^A70,IF(A70='Données projet'!$A$244,'Données projet'!$B$244,FZ69+FY70-GH69)))</f>
        <v>212.86000000000016</v>
      </c>
      <c r="GA70" s="17">
        <f>FZ70*VLOOKUP('Données projet'!$B$17,Paramètres!$A$1:$I$89,3,0)*VLOOKUP('Données projet'!$B$17,Paramètres!$A$1:$I$89,5,0)</f>
        <v>179.31326400000015</v>
      </c>
      <c r="GB70" s="13">
        <f t="shared" si="103"/>
        <v>45.169366085324434</v>
      </c>
      <c r="GC70" s="20">
        <f t="shared" si="79"/>
        <v>390.97391406527368</v>
      </c>
      <c r="GD70" s="59">
        <f t="shared" si="80"/>
        <v>665.57693182203025</v>
      </c>
      <c r="GE70" s="59">
        <f ca="1">AVERAGE(OFFSET($GD$3,0,0,'Données projet'!$E$17+1,1))-AVERAGE(OFFSET($H$3,0,0,'Données projet'!$E$17+1,1))</f>
        <v>385.41819366740276</v>
      </c>
      <c r="GF70" s="59">
        <f t="shared" si="104"/>
        <v>262.4625391252718</v>
      </c>
      <c r="GG70" s="15">
        <f>IF(ISNA(VLOOKUP(A70,'Données projet'!$A$243:$I$263,3,0)),0,VLOOKUP(A70,'Données projet'!$A$243:$I$263,3,0))</f>
        <v>5</v>
      </c>
      <c r="GH70" s="15">
        <f>IF(ISNA(VLOOKUP(A70,'Données projet'!$A$243:$I$263,4,0)),0,VLOOKUP(A70,'Données projet'!$A$243:$I$263,4,0))</f>
        <v>38.229999999999997</v>
      </c>
      <c r="GI70" s="16">
        <f>IF(ISNA(VLOOKUP(A70,'Données projet'!$A$243:$I$263,5,0)),0%,VLOOKUP(A70,'Données projet'!$A$243:$I$263,5,0)*VLOOKUP('Données projet'!$B$17,Paramètres!$A$1:$I$89,7,0))</f>
        <v>0.25800000000000001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19.783980724987487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19.783980724987487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64.891732115479044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3.3000000000000003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12.100000000000001</v>
      </c>
      <c r="H71" s="67">
        <f t="shared" si="56"/>
        <v>208.26666666666665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8.8662500000000044</v>
      </c>
      <c r="N71" s="13">
        <f>IF('Données projet'!$A$36&gt;35,N70+M71-V70,IF(A71&lt;'Données projet'!$A$36,$K$205^A71,IF(A71='Données projet'!$A$36,'Données projet'!$B$36,N70+M71-V70)))</f>
        <v>232.78250000000014</v>
      </c>
      <c r="O71" s="13">
        <f>N71*VLOOKUP('Données projet'!$B$9,Paramètres!$A$1:$I$89,3,0)*VLOOKUP('Données projet'!$B$9,Paramètres!$A$1:$I$89,5,0)</f>
        <v>210.62160600000013</v>
      </c>
      <c r="P71" s="13">
        <f t="shared" si="87"/>
        <v>52.071398873356536</v>
      </c>
      <c r="Q71" s="20">
        <f t="shared" si="54"/>
        <v>457.5236501544295</v>
      </c>
      <c r="R71" s="59">
        <f t="shared" si="55"/>
        <v>732.45159701172724</v>
      </c>
      <c r="S71" s="59">
        <f ca="1">AVERAGE(OFFSET($R$3,0,0,'Données projet'!$E$9+1,1))-AVERAGE(OFFSET($H$3,0,0,'Données projet'!$E$9+1,1))</f>
        <v>612.09138396952153</v>
      </c>
      <c r="T71" s="59">
        <f t="shared" si="88"/>
        <v>282.284310393542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23.681133220786403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23.681133220786403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236.04145500000016</v>
      </c>
      <c r="AK71" s="13">
        <f t="shared" si="89"/>
        <v>57.587007592056594</v>
      </c>
      <c r="AL71" s="20">
        <f t="shared" si="58"/>
        <v>511.40290568116535</v>
      </c>
      <c r="AM71" s="59">
        <f t="shared" si="59"/>
        <v>786.33085253846309</v>
      </c>
      <c r="AN71" s="59">
        <f ca="1">AVERAGE(OFFSET($AM$3,0,0,'Données projet'!$E$10+1,1))-AVERAGE(OFFSET($H$3,0,0,'Données projet'!$E$10+1,1))</f>
        <v>676.7112666359476</v>
      </c>
      <c r="AO71" s="59">
        <f t="shared" si="90"/>
        <v>309.67876644201385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26.53920102329511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26.53920102329511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232.41004800000016</v>
      </c>
      <c r="BF71" s="13">
        <f t="shared" si="91"/>
        <v>56.803473691503896</v>
      </c>
      <c r="BG71" s="20">
        <f t="shared" si="61"/>
        <v>503.7135502793696</v>
      </c>
      <c r="BH71" s="59">
        <f t="shared" si="62"/>
        <v>778.64149713666734</v>
      </c>
      <c r="BI71" s="59">
        <f ca="1">AVERAGE(OFFSET($BH$3,0,0,'Données projet'!$E$11+1,1))-AVERAGE(OFFSET($H$3,0,0,'Données projet'!$E$11+1,1))</f>
        <v>667.4887768032404</v>
      </c>
      <c r="BJ71" s="59">
        <f t="shared" si="92"/>
        <v>305.76944302827178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26.130905622936726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26.130905622936726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221.51582700000012</v>
      </c>
      <c r="CA71" s="13">
        <f t="shared" si="93"/>
        <v>54.444211453000612</v>
      </c>
      <c r="CB71" s="20">
        <f t="shared" si="64"/>
        <v>480.63040030564292</v>
      </c>
      <c r="CC71" s="59">
        <f t="shared" si="65"/>
        <v>755.55834716294066</v>
      </c>
      <c r="CD71" s="59">
        <f ca="1">AVERAGE(OFFSET($CC$3,0,0,'Données projet'!$E$12+1,1))-AVERAGE(OFFSET($H$3,0,0,'Données projet'!$E$12+1,1))</f>
        <v>639.80378676828764</v>
      </c>
      <c r="CE71" s="59">
        <f t="shared" si="94"/>
        <v>294.03328334345281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24.906019421861565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24.906019421861565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3.8</v>
      </c>
      <c r="CT71" s="12">
        <f>IF('Données projet'!$A$140&gt;35,CT70+CS71-DB70,IF(A71&lt;'Données projet'!$A$140,$CQ$205^A71,IF(A71='Données projet'!$A$140,'Données projet'!$B$140,CT70+CS71-DB70)))</f>
        <v>255.39999999999986</v>
      </c>
      <c r="CU71" s="17">
        <f>CT71*VLOOKUP('Données projet'!$B$13,Paramètres!$A$1:$I$89,3,0)*VLOOKUP('Données projet'!$B$13,Paramètres!$A$1:$I$89,5,0)</f>
        <v>223.11743999999993</v>
      </c>
      <c r="CV71" s="13">
        <f t="shared" si="95"/>
        <v>54.791890039639448</v>
      </c>
      <c r="CW71" s="20">
        <f t="shared" si="67"/>
        <v>484.02541648570531</v>
      </c>
      <c r="CX71" s="59">
        <f t="shared" si="68"/>
        <v>758.95336334300305</v>
      </c>
      <c r="CY71" s="59">
        <f ca="1">AVERAGE(OFFSET($CX$3,0,0,'Données projet'!$E$13+1,1))-AVERAGE(OFFSET($H$3,0,0,'Données projet'!$E$13+1,1))</f>
        <v>340.64710509454375</v>
      </c>
      <c r="CZ71" s="59">
        <f t="shared" si="96"/>
        <v>329.6409514360613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10.268862662263514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10.268862662263514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8.8662500000000044</v>
      </c>
      <c r="DO71" s="12">
        <f>IF('Données projet'!$A$166&gt;35,DO70+DN71-DW70,IF(A71&lt;'Données projet'!$A$166,$DL$205^A71,IF(A71='Données projet'!$A$166,'Données projet'!$B$166,DO70+DN71-DW70)))</f>
        <v>232.78250000000014</v>
      </c>
      <c r="DP71" s="17">
        <f>DO71*VLOOKUP('Données projet'!$B$14,Paramètres!$A$1:$I$89,3,0)*VLOOKUP('Données projet'!$B$14,Paramètres!$A$1:$I$89,5,0)</f>
        <v>225.14723400000014</v>
      </c>
      <c r="DQ71" s="13">
        <f t="shared" si="97"/>
        <v>55.232101356665147</v>
      </c>
      <c r="DR71" s="20">
        <f t="shared" si="70"/>
        <v>488.32734241285874</v>
      </c>
      <c r="DS71" s="59">
        <f t="shared" si="71"/>
        <v>763.25528927015648</v>
      </c>
      <c r="DT71" s="59">
        <f ca="1">AVERAGE(OFFSET($DS$3,0,0,'Données projet'!$E$14+1,1))-AVERAGE(OFFSET($H$3,0,0,'Données projet'!$E$14+1,1))</f>
        <v>649.03508893149228</v>
      </c>
      <c r="DU71" s="59">
        <f t="shared" si="98"/>
        <v>297.94672581383213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25.314314822219949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25.314314822219949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8.8662500000000044</v>
      </c>
      <c r="EJ71" s="12">
        <f>IF('Données projet'!$A$192&gt;35,EJ70+EI71-ER70,IF(A71&lt;'Données projet'!$A$192,$EG$205^A71,IF(A71='Données projet'!$A$192,'Données projet'!$B$192,EJ70+EI71-ER70)))</f>
        <v>232.78250000000014</v>
      </c>
      <c r="EK71" s="17">
        <f>EJ71*VLOOKUP('Données projet'!$B$15,Paramètres!$A$1:$I$89,3,0)*VLOOKUP('Données projet'!$B$15,Paramètres!$A$1:$I$89,5,0)</f>
        <v>250.56708300000014</v>
      </c>
      <c r="EL71" s="13">
        <f t="shared" si="99"/>
        <v>60.707357124225084</v>
      </c>
      <c r="EM71" s="20">
        <f t="shared" si="73"/>
        <v>542.13631654969231</v>
      </c>
      <c r="EN71" s="59">
        <f t="shared" si="74"/>
        <v>817.06426340698999</v>
      </c>
      <c r="EO71" s="59">
        <f ca="1">AVERAGE(OFFSET($EN$3,0,0,'Données projet'!$E$15+1,1))-AVERAGE(OFFSET($H$3,0,0,'Données projet'!$E$15+1,1))</f>
        <v>713.57333631602273</v>
      </c>
      <c r="EP71" s="59">
        <f t="shared" si="100"/>
        <v>325.30302392555359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28.172382624728655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28.172382624728655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8.6666666666666661</v>
      </c>
      <c r="FE71" s="12">
        <f>IF('Données projet'!$A$218&gt;35,FE70+FD71-FM70,IF(A71&lt;'Données projet'!$A$218,$FB$205^A71,IF(A71='Données projet'!$A$218,'Données projet'!$B$218,FE70+FD71-FM70)))</f>
        <v>319.33333333333337</v>
      </c>
      <c r="FF71" s="17">
        <f>FE71*VLOOKUP('Données projet'!$B$16,Paramètres!$A$1:$I$89,3,0)*VLOOKUP('Données projet'!$B$16,Paramètres!$A$1:$I$89,5,0)</f>
        <v>249.08000000000004</v>
      </c>
      <c r="FG71" s="13">
        <f t="shared" si="101"/>
        <v>60.388894447487807</v>
      </c>
      <c r="FH71" s="20">
        <f t="shared" si="76"/>
        <v>538.99165782937473</v>
      </c>
      <c r="FI71" s="59">
        <f t="shared" si="77"/>
        <v>813.91960468667253</v>
      </c>
      <c r="FJ71" s="59">
        <f ca="1">AVERAGE(OFFSET($FI$3,0,0,'Données projet'!$E$16+1,1))-AVERAGE(OFFSET($H$3,0,0,'Données projet'!$E$16+1,1))</f>
        <v>302.04287561738482</v>
      </c>
      <c r="FK71" s="59">
        <f t="shared" si="102"/>
        <v>296.09828774694802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30.832729470865086</v>
      </c>
      <c r="FR71" s="21">
        <f>EXP(-LN(2)/25)*FR70+(1-EXP(-LN(2)/25))/(LN(2)/25)*Calculateur!FM71*Calculateur!FO71*VLOOKUP('Données projet'!$B$16,Paramètres!$A$1:$I$89,3,0)*0.475*44/12</f>
        <v>14.973003322656893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45.805732793521983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8.4087499999999977</v>
      </c>
      <c r="FZ71" s="12">
        <f>IF('Données projet'!$A$244&gt;35,FZ70+FY71-GH70,IF(A71&lt;'Données projet'!$A$244,$FW$205^A71,IF(A71='Données projet'!$A$244,'Données projet'!$B$244,FZ70+FY71-GH70)))</f>
        <v>183.03875000000016</v>
      </c>
      <c r="GA71" s="17">
        <f>FZ71*VLOOKUP('Données projet'!$B$17,Paramètres!$A$1:$I$89,3,0)*VLOOKUP('Données projet'!$B$17,Paramètres!$A$1:$I$89,5,0)</f>
        <v>154.19184300000015</v>
      </c>
      <c r="GB71" s="13">
        <f t="shared" si="103"/>
        <v>39.529663502319345</v>
      </c>
      <c r="GC71" s="20">
        <f t="shared" si="79"/>
        <v>337.3982904915398</v>
      </c>
      <c r="GD71" s="59">
        <f t="shared" si="80"/>
        <v>612.32623734883759</v>
      </c>
      <c r="GE71" s="59">
        <f ca="1">AVERAGE(OFFSET($GD$3,0,0,'Données projet'!$E$17+1,1))-AVERAGE(OFFSET($H$3,0,0,'Données projet'!$E$17+1,1))</f>
        <v>385.41819366740276</v>
      </c>
      <c r="GF71" s="59">
        <f t="shared" si="104"/>
        <v>262.4625391252718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19.396028930007205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19.396028930007205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64.980349142899385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3.3000000000000003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12.100000000000001</v>
      </c>
      <c r="H72" s="67">
        <f t="shared" si="56"/>
        <v>208.26666666666665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8.8662500000000044</v>
      </c>
      <c r="N72" s="13">
        <f>IF('Données projet'!$A$36&gt;35,N71+M72-V71,IF(A72&lt;'Données projet'!$A$36,$K$205^A72,IF(A72='Données projet'!$A$36,'Données projet'!$B$36,N71+M72-V71)))</f>
        <v>241.64875000000015</v>
      </c>
      <c r="O72" s="13">
        <f>N72*VLOOKUP('Données projet'!$B$9,Paramètres!$A$1:$I$89,3,0)*VLOOKUP('Données projet'!$B$9,Paramètres!$A$1:$I$89,5,0)</f>
        <v>218.64378900000014</v>
      </c>
      <c r="P72" s="13">
        <f t="shared" si="87"/>
        <v>53.820013961218514</v>
      </c>
      <c r="Q72" s="20">
        <f t="shared" si="54"/>
        <v>474.54112349078923</v>
      </c>
      <c r="R72" s="59">
        <f t="shared" si="55"/>
        <v>749.78836265516657</v>
      </c>
      <c r="S72" s="59">
        <f ca="1">AVERAGE(OFFSET($R$3,0,0,'Données projet'!$E$9+1,1))-AVERAGE(OFFSET($H$3,0,0,'Données projet'!$E$9+1,1))</f>
        <v>612.09138396952153</v>
      </c>
      <c r="T72" s="59">
        <f t="shared" si="88"/>
        <v>282.284310393542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23.216760642391815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23.216760642391815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245.03183250000018</v>
      </c>
      <c r="AK72" s="13">
        <f t="shared" si="89"/>
        <v>59.520842912770703</v>
      </c>
      <c r="AL72" s="20">
        <f t="shared" si="58"/>
        <v>530.42924301057599</v>
      </c>
      <c r="AM72" s="59">
        <f t="shared" si="59"/>
        <v>805.67648217495321</v>
      </c>
      <c r="AN72" s="59">
        <f ca="1">AVERAGE(OFFSET($AM$3,0,0,'Données projet'!$E$10+1,1))-AVERAGE(OFFSET($H$3,0,0,'Données projet'!$E$10+1,1))</f>
        <v>676.7112666359476</v>
      </c>
      <c r="AO72" s="59">
        <f t="shared" si="90"/>
        <v>309.67876644201385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26.018783478542552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26.018783478542552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241.26211200000014</v>
      </c>
      <c r="BF72" s="13">
        <f t="shared" si="91"/>
        <v>58.710997078411744</v>
      </c>
      <c r="BG72" s="20">
        <f t="shared" si="61"/>
        <v>522.45316497823399</v>
      </c>
      <c r="BH72" s="59">
        <f t="shared" si="62"/>
        <v>797.70040414261121</v>
      </c>
      <c r="BI72" s="59">
        <f ca="1">AVERAGE(OFFSET($BH$3,0,0,'Données projet'!$E$11+1,1))-AVERAGE(OFFSET($H$3,0,0,'Données projet'!$E$11+1,1))</f>
        <v>667.4887768032404</v>
      </c>
      <c r="BJ72" s="59">
        <f t="shared" si="92"/>
        <v>305.76944302827178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25.618494501949591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25.618494501949591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229.95295050000016</v>
      </c>
      <c r="CA72" s="13">
        <f t="shared" si="93"/>
        <v>56.272508208096568</v>
      </c>
      <c r="CB72" s="20">
        <f t="shared" si="64"/>
        <v>498.50934058326834</v>
      </c>
      <c r="CC72" s="59">
        <f t="shared" si="65"/>
        <v>773.75657974764567</v>
      </c>
      <c r="CD72" s="59">
        <f ca="1">AVERAGE(OFFSET($CC$3,0,0,'Données projet'!$E$12+1,1))-AVERAGE(OFFSET($H$3,0,0,'Données projet'!$E$12+1,1))</f>
        <v>639.80378676828764</v>
      </c>
      <c r="CE72" s="59">
        <f t="shared" si="94"/>
        <v>294.03328334345281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24.417627572170705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24.417627572170705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3.8</v>
      </c>
      <c r="CT72" s="12">
        <f>IF('Données projet'!$A$140&gt;35,CT71+CS72-DB71,IF(A72&lt;'Données projet'!$A$140,$CQ$205^A72,IF(A72='Données projet'!$A$140,'Données projet'!$B$140,CT71+CS72-DB71)))</f>
        <v>259.19999999999987</v>
      </c>
      <c r="CU72" s="17">
        <f>CT72*VLOOKUP('Données projet'!$B$13,Paramètres!$A$1:$I$89,3,0)*VLOOKUP('Données projet'!$B$13,Paramètres!$A$1:$I$89,5,0)</f>
        <v>226.43711999999991</v>
      </c>
      <c r="CV72" s="13">
        <f t="shared" si="95"/>
        <v>55.5116049933753</v>
      </c>
      <c r="CW72" s="20">
        <f t="shared" si="67"/>
        <v>491.06069603012844</v>
      </c>
      <c r="CX72" s="59">
        <f t="shared" si="68"/>
        <v>766.30793519450572</v>
      </c>
      <c r="CY72" s="59">
        <f ca="1">AVERAGE(OFFSET($CX$3,0,0,'Données projet'!$E$13+1,1))-AVERAGE(OFFSET($H$3,0,0,'Données projet'!$E$13+1,1))</f>
        <v>340.64710509454375</v>
      </c>
      <c r="CZ72" s="59">
        <f t="shared" si="96"/>
        <v>329.6409514360613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10.067496528844291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10.067496528844291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8.8662500000000044</v>
      </c>
      <c r="DO72" s="12">
        <f>IF('Données projet'!$A$166&gt;35,DO71+DN72-DW71,IF(A72&lt;'Données projet'!$A$166,$DL$205^A72,IF(A72='Données projet'!$A$166,'Données projet'!$B$166,DO71+DN72-DW71)))</f>
        <v>241.64875000000015</v>
      </c>
      <c r="DP72" s="17">
        <f>DO72*VLOOKUP('Données projet'!$B$14,Paramètres!$A$1:$I$89,3,0)*VLOOKUP('Données projet'!$B$14,Paramètres!$A$1:$I$89,5,0)</f>
        <v>233.72267100000013</v>
      </c>
      <c r="DQ72" s="13">
        <f t="shared" si="97"/>
        <v>57.086856324963186</v>
      </c>
      <c r="DR72" s="20">
        <f t="shared" si="70"/>
        <v>506.49326009097769</v>
      </c>
      <c r="DS72" s="59">
        <f t="shared" si="71"/>
        <v>781.74049925535496</v>
      </c>
      <c r="DT72" s="59">
        <f ca="1">AVERAGE(OFFSET($DS$3,0,0,'Données projet'!$E$14+1,1))-AVERAGE(OFFSET($H$3,0,0,'Données projet'!$E$14+1,1))</f>
        <v>649.03508893149228</v>
      </c>
      <c r="DU72" s="59">
        <f t="shared" si="98"/>
        <v>297.94672581383213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24.817916548763662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24.817916548763662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8.8662500000000044</v>
      </c>
      <c r="EJ72" s="12">
        <f>IF('Données projet'!$A$192&gt;35,EJ71+EI72-ER71,IF(A72&lt;'Données projet'!$A$192,$EG$205^A72,IF(A72='Données projet'!$A$192,'Données projet'!$B$192,EJ71+EI72-ER71)))</f>
        <v>241.64875000000015</v>
      </c>
      <c r="EK72" s="17">
        <f>EJ72*VLOOKUP('Données projet'!$B$15,Paramètres!$A$1:$I$89,3,0)*VLOOKUP('Données projet'!$B$15,Paramètres!$A$1:$I$89,5,0)</f>
        <v>260.11071450000014</v>
      </c>
      <c r="EL72" s="13">
        <f t="shared" si="99"/>
        <v>62.745977228705485</v>
      </c>
      <c r="EM72" s="20">
        <f t="shared" si="73"/>
        <v>562.30873809416232</v>
      </c>
      <c r="EN72" s="59">
        <f t="shared" si="74"/>
        <v>837.55597725853954</v>
      </c>
      <c r="EO72" s="59">
        <f ca="1">AVERAGE(OFFSET($EN$3,0,0,'Données projet'!$E$15+1,1))-AVERAGE(OFFSET($H$3,0,0,'Données projet'!$E$15+1,1))</f>
        <v>713.57333631602273</v>
      </c>
      <c r="EP72" s="59">
        <f t="shared" si="100"/>
        <v>325.30302392555359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27.619939384914403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27.619939384914403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>
        <f>VLOOKUP(A72,'Données projet'!$A$217:$I$237,2,0)</f>
        <v>328</v>
      </c>
      <c r="FC72" s="12">
        <f>VLOOKUP(A72,'Données projet'!$A$217:$I$237,9,0)</f>
        <v>8.6666666666666661</v>
      </c>
      <c r="FD72" s="12">
        <f t="array" ref="FD72">INDEX(FC:FC,MIN(IF(ISNUMBER(FC72:FC268),ROW(FC72:FC268),"")))</f>
        <v>8.6666666666666661</v>
      </c>
      <c r="FE72" s="12">
        <f>IF('Données projet'!$A$218&gt;35,FE71+FD72-FM71,IF(A72&lt;'Données projet'!$A$218,$FB$205^A72,IF(A72='Données projet'!$A$218,'Données projet'!$B$218,FE71+FD72-FM71)))</f>
        <v>328.00000000000006</v>
      </c>
      <c r="FF72" s="17">
        <f>FE72*VLOOKUP('Données projet'!$B$16,Paramètres!$A$1:$I$89,3,0)*VLOOKUP('Données projet'!$B$16,Paramètres!$A$1:$I$89,5,0)</f>
        <v>255.84000000000006</v>
      </c>
      <c r="FG72" s="13">
        <f t="shared" si="101"/>
        <v>61.834803371075836</v>
      </c>
      <c r="FH72" s="20">
        <f t="shared" si="76"/>
        <v>553.28361587129041</v>
      </c>
      <c r="FI72" s="59">
        <f t="shared" si="77"/>
        <v>828.53085503566763</v>
      </c>
      <c r="FJ72" s="59">
        <f ca="1">AVERAGE(OFFSET($FI$3,0,0,'Données projet'!$E$16+1,1))-AVERAGE(OFFSET($H$3,0,0,'Données projet'!$E$16+1,1))</f>
        <v>302.04287561738482</v>
      </c>
      <c r="FK72" s="59">
        <f t="shared" si="102"/>
        <v>296.09828774694802</v>
      </c>
      <c r="FL72" s="15">
        <f>IF(ISNA(VLOOKUP(A72,'Données projet'!$A$217:$I$237,3,0)),0,VLOOKUP(A72,'Données projet'!$A$217:$I$237,3,0))</f>
        <v>9</v>
      </c>
      <c r="FM72" s="15">
        <f>IF(ISNA(VLOOKUP(A72,'Données projet'!$A$217:$I$237,4,0)),0,VLOOKUP(A72,'Données projet'!$A$217:$I$237,4,0))</f>
        <v>328</v>
      </c>
      <c r="FN72" s="16">
        <f>IF(ISNA(VLOOKUP(A72,'Données projet'!$A$217:$I$237,5,0)),0%,VLOOKUP(A72,'Données projet'!$A$217:$I$237,5,0)*VLOOKUP('Données projet'!$B$16,Paramètres!$A$1:$I$89,7,0))</f>
        <v>0.25800000000000001</v>
      </c>
      <c r="FO72" s="16">
        <f>IF(ISNA(VLOOKUP(A72,'Données projet'!$A$217:$I$237,6,0)),0%,VLOOKUP(A72,'Données projet'!$A$217:$I$237,6,0)*VLOOKUP('Données projet'!$B$16,Paramètres!$A$1:$I$89,7,0))</f>
        <v>0.129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103.19659226217462</v>
      </c>
      <c r="FR72" s="21">
        <f>EXP(-LN(2)/25)*FR71+(1-EXP(-LN(2)/25))/(LN(2)/25)*Calculateur!FM72*Calculateur!FO72*VLOOKUP('Données projet'!$B$16,Paramètres!$A$1:$I$89,3,0)*0.475*44/12</f>
        <v>50.904150322186041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154.10074258436066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8.4087499999999977</v>
      </c>
      <c r="FZ72" s="12">
        <f>IF('Données projet'!$A$244&gt;35,FZ71+FY72-GH71,IF(A72&lt;'Données projet'!$A$244,$FW$205^A72,IF(A72='Données projet'!$A$244,'Données projet'!$B$244,FZ71+FY72-GH71)))</f>
        <v>191.44750000000016</v>
      </c>
      <c r="GA72" s="17">
        <f>FZ72*VLOOKUP('Données projet'!$B$17,Paramètres!$A$1:$I$89,3,0)*VLOOKUP('Données projet'!$B$17,Paramètres!$A$1:$I$89,5,0)</f>
        <v>161.27537400000014</v>
      </c>
      <c r="GB72" s="13">
        <f t="shared" si="103"/>
        <v>41.130046514208587</v>
      </c>
      <c r="GC72" s="20">
        <f t="shared" si="79"/>
        <v>352.52277406224692</v>
      </c>
      <c r="GD72" s="59">
        <f t="shared" si="80"/>
        <v>627.7700132266242</v>
      </c>
      <c r="GE72" s="59">
        <f ca="1">AVERAGE(OFFSET($GD$3,0,0,'Données projet'!$E$17+1,1))-AVERAGE(OFFSET($H$3,0,0,'Données projet'!$E$17+1,1))</f>
        <v>385.41819366740276</v>
      </c>
      <c r="GF72" s="59">
        <f t="shared" si="104"/>
        <v>262.4625391252718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19.015684633099255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19.015684633099255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65.067428863011983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3.3000000000000003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12.100000000000001</v>
      </c>
      <c r="H73" s="67">
        <f t="shared" si="56"/>
        <v>208.26666666666665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8.8662500000000044</v>
      </c>
      <c r="N73" s="13">
        <f>IF('Données projet'!$A$36&gt;35,N72+M73-V72,IF(A73&lt;'Données projet'!$A$36,$K$205^A73,IF(A73='Données projet'!$A$36,'Données projet'!$B$36,N72+M73-V72)))</f>
        <v>250.51500000000016</v>
      </c>
      <c r="O73" s="13">
        <f>N73*VLOOKUP('Données projet'!$B$9,Paramètres!$A$1:$I$89,3,0)*VLOOKUP('Données projet'!$B$9,Paramètres!$A$1:$I$89,5,0)</f>
        <v>226.66597200000012</v>
      </c>
      <c r="P73" s="13">
        <f t="shared" si="87"/>
        <v>55.561175235972904</v>
      </c>
      <c r="Q73" s="20">
        <f t="shared" si="54"/>
        <v>491.54561476931968</v>
      </c>
      <c r="R73" s="59">
        <f t="shared" si="55"/>
        <v>767.10660723307933</v>
      </c>
      <c r="S73" s="59">
        <f ca="1">AVERAGE(OFFSET($R$3,0,0,'Données projet'!$E$9+1,1))-AVERAGE(OFFSET($H$3,0,0,'Données projet'!$E$9+1,1))</f>
        <v>612.09138396952153</v>
      </c>
      <c r="T73" s="59">
        <f t="shared" si="88"/>
        <v>282.284310393542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22.761494127020239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22.761494127020239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254.02221000000017</v>
      </c>
      <c r="AK73" s="13">
        <f t="shared" si="89"/>
        <v>61.446434882983361</v>
      </c>
      <c r="AL73" s="20">
        <f t="shared" si="58"/>
        <v>549.44122317119627</v>
      </c>
      <c r="AM73" s="59">
        <f t="shared" si="59"/>
        <v>825.00221563495586</v>
      </c>
      <c r="AN73" s="59">
        <f ca="1">AVERAGE(OFFSET($AM$3,0,0,'Données projet'!$E$10+1,1))-AVERAGE(OFFSET($H$3,0,0,'Données projet'!$E$10+1,1))</f>
        <v>676.7112666359476</v>
      </c>
      <c r="AO73" s="59">
        <f t="shared" si="90"/>
        <v>309.67876644201385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25.508571004419235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25.508571004419235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250.11417600000019</v>
      </c>
      <c r="BF73" s="13">
        <f t="shared" si="91"/>
        <v>60.610389274571467</v>
      </c>
      <c r="BG73" s="20">
        <f t="shared" si="61"/>
        <v>541.17861785321224</v>
      </c>
      <c r="BH73" s="59">
        <f t="shared" si="62"/>
        <v>816.73961031697183</v>
      </c>
      <c r="BI73" s="59">
        <f ca="1">AVERAGE(OFFSET($BH$3,0,0,'Données projet'!$E$11+1,1))-AVERAGE(OFFSET($H$3,0,0,'Données projet'!$E$11+1,1))</f>
        <v>667.4887768032404</v>
      </c>
      <c r="BJ73" s="59">
        <f t="shared" si="92"/>
        <v>305.76944302827178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25.116131450505094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25.116131450505094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238.39007400000017</v>
      </c>
      <c r="CA73" s="13">
        <f t="shared" si="93"/>
        <v>58.09301149142599</v>
      </c>
      <c r="CB73" s="20">
        <f t="shared" si="64"/>
        <v>516.37470723090053</v>
      </c>
      <c r="CC73" s="59">
        <f t="shared" si="65"/>
        <v>791.93569969466012</v>
      </c>
      <c r="CD73" s="59">
        <f ca="1">AVERAGE(OFFSET($CC$3,0,0,'Données projet'!$E$12+1,1))-AVERAGE(OFFSET($H$3,0,0,'Données projet'!$E$12+1,1))</f>
        <v>639.80378676828764</v>
      </c>
      <c r="CE73" s="59">
        <f t="shared" si="94"/>
        <v>294.03328334345281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23.938812788762668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23.938812788762668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3.8</v>
      </c>
      <c r="CS73" s="12">
        <f t="array" ref="CS73">INDEX(CR:CR,MIN(IF(ISNUMBER(CR73:CR269),ROW(CR73:CR269),"")))</f>
        <v>3.8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229.75679999999991</v>
      </c>
      <c r="CV73" s="13">
        <f t="shared" si="95"/>
        <v>56.23009276772752</v>
      </c>
      <c r="CW73" s="20">
        <f t="shared" si="67"/>
        <v>498.09383823712528</v>
      </c>
      <c r="CX73" s="59">
        <f t="shared" si="68"/>
        <v>773.65483070088487</v>
      </c>
      <c r="CY73" s="59">
        <f ca="1">AVERAGE(OFFSET($CX$3,0,0,'Données projet'!$E$13+1,1))-AVERAGE(OFFSET($H$3,0,0,'Données projet'!$E$13+1,1))</f>
        <v>340.64710509454375</v>
      </c>
      <c r="CZ73" s="59">
        <f t="shared" si="96"/>
        <v>329.6409514360613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0.318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12.94112883940096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12.94112883940096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8.8662500000000044</v>
      </c>
      <c r="DO73" s="12">
        <f>IF('Données projet'!$A$166&gt;35,DO72+DN73-DW72,IF(A73&lt;'Données projet'!$A$166,$DL$205^A73,IF(A73='Données projet'!$A$166,'Données projet'!$B$166,DO72+DN73-DW72)))</f>
        <v>250.51500000000016</v>
      </c>
      <c r="DP73" s="17">
        <f>DO73*VLOOKUP('Données projet'!$B$14,Paramètres!$A$1:$I$89,3,0)*VLOOKUP('Données projet'!$B$14,Paramètres!$A$1:$I$89,5,0)</f>
        <v>242.29810800000013</v>
      </c>
      <c r="DQ73" s="13">
        <f t="shared" si="97"/>
        <v>58.933705038196834</v>
      </c>
      <c r="DR73" s="20">
        <f t="shared" si="70"/>
        <v>524.64540770819303</v>
      </c>
      <c r="DS73" s="59">
        <f t="shared" si="71"/>
        <v>800.20640017195262</v>
      </c>
      <c r="DT73" s="59">
        <f ca="1">AVERAGE(OFFSET($DS$3,0,0,'Données projet'!$E$14+1,1))-AVERAGE(OFFSET($H$3,0,0,'Données projet'!$E$14+1,1))</f>
        <v>649.03508893149228</v>
      </c>
      <c r="DU73" s="59">
        <f t="shared" si="98"/>
        <v>297.94672581383213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24.331252342676805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24.331252342676805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8.8662500000000044</v>
      </c>
      <c r="EJ73" s="12">
        <f>IF('Données projet'!$A$192&gt;35,EJ72+EI73-ER72,IF(A73&lt;'Données projet'!$A$192,$EG$205^A73,IF(A73='Données projet'!$A$192,'Données projet'!$B$192,EJ72+EI73-ER72)))</f>
        <v>250.51500000000016</v>
      </c>
      <c r="EK73" s="17">
        <f>EJ73*VLOOKUP('Données projet'!$B$15,Paramètres!$A$1:$I$89,3,0)*VLOOKUP('Données projet'!$B$15,Paramètres!$A$1:$I$89,5,0)</f>
        <v>269.65434600000015</v>
      </c>
      <c r="EL73" s="13">
        <f t="shared" si="99"/>
        <v>64.775907317091679</v>
      </c>
      <c r="EM73" s="20">
        <f t="shared" si="73"/>
        <v>582.46602452726813</v>
      </c>
      <c r="EN73" s="59">
        <f t="shared" si="74"/>
        <v>858.02701699102772</v>
      </c>
      <c r="EO73" s="59">
        <f ca="1">AVERAGE(OFFSET($EN$3,0,0,'Données projet'!$E$15+1,1))-AVERAGE(OFFSET($H$3,0,0,'Données projet'!$E$15+1,1))</f>
        <v>713.57333631602273</v>
      </c>
      <c r="EP73" s="59">
        <f t="shared" si="100"/>
        <v>325.30302392555359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27.078329220075801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27.078329220075801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5.6843418860808015E-14</v>
      </c>
      <c r="FF73" s="17">
        <f>FE73*VLOOKUP('Données projet'!$B$16,Paramètres!$A$1:$I$89,3,0)*VLOOKUP('Données projet'!$B$16,Paramètres!$A$1:$I$89,5,0)</f>
        <v>4.4337866711430253E-14</v>
      </c>
      <c r="FG73" s="13">
        <f t="shared" si="101"/>
        <v>7.3222115536967035E-13</v>
      </c>
      <c r="FH73" s="20">
        <f t="shared" si="76"/>
        <v>1.3525069634579169E-12</v>
      </c>
      <c r="FI73" s="59">
        <f t="shared" si="77"/>
        <v>275.56099246376095</v>
      </c>
      <c r="FJ73" s="59">
        <f ca="1">AVERAGE(OFFSET($FI$3,0,0,'Données projet'!$E$16+1,1))-AVERAGE(OFFSET($H$3,0,0,'Données projet'!$E$16+1,1))</f>
        <v>302.04287561738482</v>
      </c>
      <c r="FK73" s="59">
        <f t="shared" si="102"/>
        <v>296.09828774694802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101.17297003161949</v>
      </c>
      <c r="FR73" s="21">
        <f>EXP(-LN(2)/25)*FR72+(1-EXP(-LN(2)/25))/(LN(2)/25)*Calculateur!FM73*Calculateur!FO73*VLOOKUP('Données projet'!$B$16,Paramètres!$A$1:$I$89,3,0)*0.475*44/12</f>
        <v>49.512173654692944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150.68514368631241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8.4087499999999977</v>
      </c>
      <c r="FZ73" s="12">
        <f>IF('Données projet'!$A$244&gt;35,FZ72+FY73-GH72,IF(A73&lt;'Données projet'!$A$244,$FW$205^A73,IF(A73='Données projet'!$A$244,'Données projet'!$B$244,FZ72+FY73-GH72)))</f>
        <v>199.85625000000016</v>
      </c>
      <c r="GA73" s="17">
        <f>FZ73*VLOOKUP('Données projet'!$B$17,Paramètres!$A$1:$I$89,3,0)*VLOOKUP('Données projet'!$B$17,Paramètres!$A$1:$I$89,5,0)</f>
        <v>168.35890500000014</v>
      </c>
      <c r="GB73" s="13">
        <f t="shared" si="103"/>
        <v>42.722265649387637</v>
      </c>
      <c r="GC73" s="20">
        <f t="shared" si="79"/>
        <v>367.633038881017</v>
      </c>
      <c r="GD73" s="59">
        <f t="shared" si="80"/>
        <v>643.19403134477659</v>
      </c>
      <c r="GE73" s="59">
        <f ca="1">AVERAGE(OFFSET($GD$3,0,0,'Données projet'!$E$17+1,1))-AVERAGE(OFFSET($H$3,0,0,'Données projet'!$E$17+1,1))</f>
        <v>385.41819366740276</v>
      </c>
      <c r="GF73" s="59">
        <f t="shared" si="104"/>
        <v>262.4625391252718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18.642798655866557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18.642798655866557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65.152997944661706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3.3000000000000003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12.100000000000001</v>
      </c>
      <c r="H74" s="67">
        <f t="shared" si="56"/>
        <v>208.26666666666665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8.8662500000000044</v>
      </c>
      <c r="N74" s="13">
        <f>IF('Données projet'!$A$36&gt;35,N73+M74-V73,IF(A74&lt;'Données projet'!$A$36,$K$205^A74,IF(A74='Données projet'!$A$36,'Données projet'!$B$36,N73+M74-V73)))</f>
        <v>259.38125000000014</v>
      </c>
      <c r="O74" s="13">
        <f>N74*VLOOKUP('Données projet'!$B$9,Paramètres!$A$1:$I$89,3,0)*VLOOKUP('Données projet'!$B$9,Paramètres!$A$1:$I$89,5,0)</f>
        <v>234.68815500000011</v>
      </c>
      <c r="P74" s="13">
        <f t="shared" si="87"/>
        <v>57.295176729679312</v>
      </c>
      <c r="Q74" s="20">
        <f t="shared" si="54"/>
        <v>508.53763609585832</v>
      </c>
      <c r="R74" s="59">
        <f t="shared" si="55"/>
        <v>784.4069389407033</v>
      </c>
      <c r="S74" s="59">
        <f ca="1">AVERAGE(OFFSET($R$3,0,0,'Données projet'!$E$9+1,1))-AVERAGE(OFFSET($H$3,0,0,'Données projet'!$E$9+1,1))</f>
        <v>612.09138396952153</v>
      </c>
      <c r="T74" s="59">
        <f t="shared" si="88"/>
        <v>282.284310393542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22.315155110329943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22.315155110329943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263.01258750000017</v>
      </c>
      <c r="AK74" s="13">
        <f t="shared" si="89"/>
        <v>63.364108679793951</v>
      </c>
      <c r="AL74" s="20">
        <f t="shared" si="58"/>
        <v>568.43941251314141</v>
      </c>
      <c r="AM74" s="59">
        <f t="shared" si="59"/>
        <v>844.30871535798633</v>
      </c>
      <c r="AN74" s="59">
        <f ca="1">AVERAGE(OFFSET($AM$3,0,0,'Données projet'!$E$10+1,1))-AVERAGE(OFFSET($H$3,0,0,'Données projet'!$E$10+1,1))</f>
        <v>676.7112666359476</v>
      </c>
      <c r="AO74" s="59">
        <f t="shared" si="90"/>
        <v>309.67876644201385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25.008363485714593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25.008363485714593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258.9662400000002</v>
      </c>
      <c r="BF74" s="13">
        <f t="shared" si="91"/>
        <v>62.501971032694378</v>
      </c>
      <c r="BG74" s="20">
        <f t="shared" si="61"/>
        <v>559.89046754860965</v>
      </c>
      <c r="BH74" s="59">
        <f t="shared" si="62"/>
        <v>835.75977039345457</v>
      </c>
      <c r="BI74" s="59">
        <f ca="1">AVERAGE(OFFSET($BH$3,0,0,'Données projet'!$E$11+1,1))-AVERAGE(OFFSET($H$3,0,0,'Données projet'!$E$11+1,1))</f>
        <v>667.4887768032404</v>
      </c>
      <c r="BJ74" s="59">
        <f t="shared" si="92"/>
        <v>305.76944302827178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24.623619432088216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24.623619432088216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246.82719750000012</v>
      </c>
      <c r="CA74" s="13">
        <f t="shared" si="93"/>
        <v>59.906028733631878</v>
      </c>
      <c r="CB74" s="20">
        <f t="shared" si="64"/>
        <v>534.22703569024236</v>
      </c>
      <c r="CC74" s="59">
        <f t="shared" si="65"/>
        <v>810.0963385350874</v>
      </c>
      <c r="CD74" s="59">
        <f ca="1">AVERAGE(OFFSET($CC$3,0,0,'Données projet'!$E$12+1,1))-AVERAGE(OFFSET($H$3,0,0,'Données projet'!$E$12+1,1))</f>
        <v>639.80378676828764</v>
      </c>
      <c r="CE74" s="59">
        <f t="shared" si="94"/>
        <v>294.03328334345281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23.469387271209079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23.469387271209079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3.4</v>
      </c>
      <c r="CT74" s="12">
        <f>IF('Données projet'!$A$140&gt;35,CT73+CS74-DB73,IF(A74&lt;'Données projet'!$A$140,$CQ$205^A74,IF(A74='Données projet'!$A$140,'Données projet'!$B$140,CT73+CS74-DB73)))</f>
        <v>256.39999999999986</v>
      </c>
      <c r="CU74" s="17">
        <f>CT74*VLOOKUP('Données projet'!$B$13,Paramètres!$A$1:$I$89,3,0)*VLOOKUP('Données projet'!$B$13,Paramètres!$A$1:$I$89,5,0)</f>
        <v>223.99103999999991</v>
      </c>
      <c r="CV74" s="13">
        <f t="shared" si="95"/>
        <v>54.981408824201552</v>
      </c>
      <c r="CW74" s="20">
        <f t="shared" si="67"/>
        <v>485.87701503548419</v>
      </c>
      <c r="CX74" s="59">
        <f t="shared" si="68"/>
        <v>761.74631788032912</v>
      </c>
      <c r="CY74" s="59">
        <f ca="1">AVERAGE(OFFSET($CX$3,0,0,'Données projet'!$E$13+1,1))-AVERAGE(OFFSET($H$3,0,0,'Données projet'!$E$13+1,1))</f>
        <v>340.64710509454375</v>
      </c>
      <c r="CZ74" s="59">
        <f t="shared" si="96"/>
        <v>329.6409514360613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12.687361196169499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12.687361196169499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8.8662500000000044</v>
      </c>
      <c r="DO74" s="12">
        <f>IF('Données projet'!$A$166&gt;35,DO73+DN74-DW73,IF(A74&lt;'Données projet'!$A$166,$DL$205^A74,IF(A74='Données projet'!$A$166,'Données projet'!$B$166,DO73+DN74-DW73)))</f>
        <v>259.38125000000014</v>
      </c>
      <c r="DP74" s="17">
        <f>DO74*VLOOKUP('Données projet'!$B$14,Paramètres!$A$1:$I$89,3,0)*VLOOKUP('Données projet'!$B$14,Paramètres!$A$1:$I$89,5,0)</f>
        <v>250.87354500000012</v>
      </c>
      <c r="DQ74" s="13">
        <f t="shared" si="97"/>
        <v>60.772959375994262</v>
      </c>
      <c r="DR74" s="20">
        <f t="shared" si="70"/>
        <v>542.78432845485679</v>
      </c>
      <c r="DS74" s="59">
        <f t="shared" si="71"/>
        <v>818.65363129970183</v>
      </c>
      <c r="DT74" s="59">
        <f ca="1">AVERAGE(OFFSET($DS$3,0,0,'Données projet'!$E$14+1,1))-AVERAGE(OFFSET($H$3,0,0,'Données projet'!$E$14+1,1))</f>
        <v>649.03508893149228</v>
      </c>
      <c r="DU74" s="59">
        <f t="shared" si="98"/>
        <v>297.94672581383213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23.854131324835453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23.854131324835453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8.8662500000000044</v>
      </c>
      <c r="EJ74" s="12">
        <f>IF('Données projet'!$A$192&gt;35,EJ73+EI74-ER73,IF(A74&lt;'Données projet'!$A$192,$EG$205^A74,IF(A74='Données projet'!$A$192,'Données projet'!$B$192,EJ73+EI74-ER73)))</f>
        <v>259.38125000000014</v>
      </c>
      <c r="EK74" s="17">
        <f>EJ74*VLOOKUP('Données projet'!$B$15,Paramètres!$A$1:$I$89,3,0)*VLOOKUP('Données projet'!$B$15,Paramètres!$A$1:$I$89,5,0)</f>
        <v>279.19797750000015</v>
      </c>
      <c r="EL74" s="13">
        <f t="shared" si="99"/>
        <v>66.797490186190217</v>
      </c>
      <c r="EM74" s="20">
        <f t="shared" si="73"/>
        <v>602.60877288678148</v>
      </c>
      <c r="EN74" s="59">
        <f t="shared" si="74"/>
        <v>878.4780757316264</v>
      </c>
      <c r="EO74" s="59">
        <f ca="1">AVERAGE(OFFSET($EN$3,0,0,'Données projet'!$E$15+1,1))-AVERAGE(OFFSET($H$3,0,0,'Données projet'!$E$15+1,1))</f>
        <v>713.57333631602273</v>
      </c>
      <c r="EP74" s="59">
        <f t="shared" si="100"/>
        <v>325.30302392555359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26.547339700220103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26.547339700220103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5.6843418860808015E-14</v>
      </c>
      <c r="FF74" s="17">
        <f>FE74*VLOOKUP('Données projet'!$B$16,Paramètres!$A$1:$I$89,3,0)*VLOOKUP('Données projet'!$B$16,Paramètres!$A$1:$I$89,5,0)</f>
        <v>4.4337866711430253E-14</v>
      </c>
      <c r="FG74" s="13">
        <f t="shared" si="101"/>
        <v>7.3222115536967035E-13</v>
      </c>
      <c r="FH74" s="20">
        <f t="shared" si="76"/>
        <v>1.3525069634579169E-12</v>
      </c>
      <c r="FI74" s="59">
        <f t="shared" si="77"/>
        <v>275.86930284484635</v>
      </c>
      <c r="FJ74" s="59">
        <f ca="1">AVERAGE(OFFSET($FI$3,0,0,'Données projet'!$E$16+1,1))-AVERAGE(OFFSET($H$3,0,0,'Données projet'!$E$16+1,1))</f>
        <v>302.04287561738482</v>
      </c>
      <c r="FK74" s="59">
        <f t="shared" si="102"/>
        <v>296.09828774694802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99.189029798717854</v>
      </c>
      <c r="FR74" s="21">
        <f>EXP(-LN(2)/25)*FR73+(1-EXP(-LN(2)/25))/(LN(2)/25)*Calculateur!FM74*Calculateur!FO74*VLOOKUP('Données projet'!$B$16,Paramètres!$A$1:$I$89,3,0)*0.475*44/12</f>
        <v>48.158260662373316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147.34729046109118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8.4087499999999977</v>
      </c>
      <c r="FZ74" s="12">
        <f>IF('Données projet'!$A$244&gt;35,FZ73+FY74-GH73,IF(A74&lt;'Données projet'!$A$244,$FW$205^A74,IF(A74='Données projet'!$A$244,'Données projet'!$B$244,FZ73+FY74-GH73)))</f>
        <v>208.26500000000016</v>
      </c>
      <c r="GA74" s="17">
        <f>FZ74*VLOOKUP('Données projet'!$B$17,Paramètres!$A$1:$I$89,3,0)*VLOOKUP('Données projet'!$B$17,Paramètres!$A$1:$I$89,5,0)</f>
        <v>175.44243600000016</v>
      </c>
      <c r="GB74" s="13">
        <f t="shared" si="103"/>
        <v>44.306703669500294</v>
      </c>
      <c r="GC74" s="20">
        <f t="shared" si="79"/>
        <v>382.72975159104658</v>
      </c>
      <c r="GD74" s="59">
        <f t="shared" si="80"/>
        <v>658.5990544358915</v>
      </c>
      <c r="GE74" s="59">
        <f ca="1">AVERAGE(OFFSET($GD$3,0,0,'Données projet'!$E$17+1,1))-AVERAGE(OFFSET($H$3,0,0,'Données projet'!$E$17+1,1))</f>
        <v>385.41819366740276</v>
      </c>
      <c r="GF74" s="59">
        <f t="shared" si="104"/>
        <v>262.4625391252718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18.277224745209402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18.277224745209402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65.23708259404863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3.3000000000000003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12.100000000000001</v>
      </c>
      <c r="H75" s="67">
        <f t="shared" si="56"/>
        <v>208.26666666666665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8.8662500000000044</v>
      </c>
      <c r="N75" s="13">
        <f>IF('Données projet'!$A$36&gt;35,N74+M75-V74,IF(A75&lt;'Données projet'!$A$36,$K$205^A75,IF(A75='Données projet'!$A$36,'Données projet'!$B$36,N74+M75-V74)))</f>
        <v>268.24750000000012</v>
      </c>
      <c r="O75" s="13">
        <f>N75*VLOOKUP('Données projet'!$B$9,Paramètres!$A$1:$I$89,3,0)*VLOOKUP('Données projet'!$B$9,Paramètres!$A$1:$I$89,5,0)</f>
        <v>242.71033800000009</v>
      </c>
      <c r="P75" s="13">
        <f t="shared" si="87"/>
        <v>59.022291232778812</v>
      </c>
      <c r="Q75" s="20">
        <f t="shared" si="54"/>
        <v>525.51766258042323</v>
      </c>
      <c r="R75" s="59">
        <f t="shared" si="55"/>
        <v>801.68992731052049</v>
      </c>
      <c r="S75" s="59">
        <f ca="1">AVERAGE(OFFSET($R$3,0,0,'Données projet'!$E$9+1,1))-AVERAGE(OFFSET($H$3,0,0,'Données projet'!$E$9+1,1))</f>
        <v>612.09138396952153</v>
      </c>
      <c r="T75" s="59">
        <f t="shared" si="88"/>
        <v>282.284310393542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21.877568529517024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21.877568529517024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272.00296500000013</v>
      </c>
      <c r="AK75" s="13">
        <f t="shared" si="89"/>
        <v>65.274165988687102</v>
      </c>
      <c r="AL75" s="20">
        <f t="shared" si="58"/>
        <v>587.42433647196356</v>
      </c>
      <c r="AM75" s="59">
        <f t="shared" si="59"/>
        <v>863.59660120206081</v>
      </c>
      <c r="AN75" s="59">
        <f ca="1">AVERAGE(OFFSET($AM$3,0,0,'Données projet'!$E$10+1,1))-AVERAGE(OFFSET($H$3,0,0,'Données projet'!$E$10+1,1))</f>
        <v>676.7112666359476</v>
      </c>
      <c r="AO75" s="59">
        <f t="shared" si="90"/>
        <v>309.67876644201385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24.517964731355288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24.517964731355288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267.81830400000013</v>
      </c>
      <c r="BF75" s="13">
        <f t="shared" si="91"/>
        <v>64.3860399335056</v>
      </c>
      <c r="BG75" s="20">
        <f t="shared" si="61"/>
        <v>578.5892323508557</v>
      </c>
      <c r="BH75" s="59">
        <f t="shared" si="62"/>
        <v>854.76149708095295</v>
      </c>
      <c r="BI75" s="59">
        <f ca="1">AVERAGE(OFFSET($BH$3,0,0,'Données projet'!$E$11+1,1))-AVERAGE(OFFSET($H$3,0,0,'Données projet'!$E$11+1,1))</f>
        <v>667.4887768032404</v>
      </c>
      <c r="BJ75" s="59">
        <f t="shared" si="92"/>
        <v>305.76944302827178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24.140765273949825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24.140765273949825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255.26432100000011</v>
      </c>
      <c r="CA75" s="13">
        <f t="shared" si="93"/>
        <v>61.711845155790719</v>
      </c>
      <c r="CB75" s="20">
        <f t="shared" si="64"/>
        <v>552.06682272133571</v>
      </c>
      <c r="CC75" s="59">
        <f t="shared" si="65"/>
        <v>828.23908745143285</v>
      </c>
      <c r="CD75" s="59">
        <f ca="1">AVERAGE(OFFSET($CC$3,0,0,'Données projet'!$E$12+1,1))-AVERAGE(OFFSET($H$3,0,0,'Données projet'!$E$12+1,1))</f>
        <v>639.80378676828764</v>
      </c>
      <c r="CE75" s="59">
        <f t="shared" si="94"/>
        <v>294.03328334345281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23.009166901733426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23.009166901733426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3.4</v>
      </c>
      <c r="CT75" s="12">
        <f>IF('Données projet'!$A$140&gt;35,CT74+CS75-DB74,IF(A75&lt;'Données projet'!$A$140,$CQ$205^A75,IF(A75='Données projet'!$A$140,'Données projet'!$B$140,CT74+CS75-DB74)))</f>
        <v>259.79999999999984</v>
      </c>
      <c r="CU75" s="17">
        <f>CT75*VLOOKUP('Données projet'!$B$13,Paramètres!$A$1:$I$89,3,0)*VLOOKUP('Données projet'!$B$13,Paramètres!$A$1:$I$89,5,0)</f>
        <v>226.96127999999987</v>
      </c>
      <c r="CV75" s="13">
        <f t="shared" si="95"/>
        <v>55.625131501998617</v>
      </c>
      <c r="CW75" s="20">
        <f t="shared" si="67"/>
        <v>492.17133336598067</v>
      </c>
      <c r="CX75" s="59">
        <f t="shared" si="68"/>
        <v>768.34359809607781</v>
      </c>
      <c r="CY75" s="59">
        <f ca="1">AVERAGE(OFFSET($CX$3,0,0,'Données projet'!$E$13+1,1))-AVERAGE(OFFSET($H$3,0,0,'Données projet'!$E$13+1,1))</f>
        <v>340.64710509454375</v>
      </c>
      <c r="CZ75" s="59">
        <f t="shared" si="96"/>
        <v>329.6409514360613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12.438569781638829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12.438569781638829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8.8662500000000044</v>
      </c>
      <c r="DO75" s="12">
        <f>IF('Données projet'!$A$166&gt;35,DO74+DN75-DW74,IF(A75&lt;'Données projet'!$A$166,$DL$205^A75,IF(A75='Données projet'!$A$166,'Données projet'!$B$166,DO74+DN75-DW74)))</f>
        <v>268.24750000000012</v>
      </c>
      <c r="DP75" s="17">
        <f>DO75*VLOOKUP('Données projet'!$B$14,Paramètres!$A$1:$I$89,3,0)*VLOOKUP('Données projet'!$B$14,Paramètres!$A$1:$I$89,5,0)</f>
        <v>259.44898200000011</v>
      </c>
      <c r="DQ75" s="13">
        <f t="shared" si="97"/>
        <v>62.604908687011665</v>
      </c>
      <c r="DR75" s="20">
        <f t="shared" si="70"/>
        <v>560.91052627987881</v>
      </c>
      <c r="DS75" s="59">
        <f t="shared" si="71"/>
        <v>837.08279100997606</v>
      </c>
      <c r="DT75" s="59">
        <f ca="1">AVERAGE(OFFSET($DS$3,0,0,'Données projet'!$E$14+1,1))-AVERAGE(OFFSET($H$3,0,0,'Données projet'!$E$14+1,1))</f>
        <v>649.03508893149228</v>
      </c>
      <c r="DU75" s="59">
        <f t="shared" si="98"/>
        <v>297.94672581383213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23.386366359138886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23.386366359138886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8.8662500000000044</v>
      </c>
      <c r="EJ75" s="12">
        <f>IF('Données projet'!$A$192&gt;35,EJ74+EI75-ER74,IF(A75&lt;'Données projet'!$A$192,$EG$205^A75,IF(A75='Données projet'!$A$192,'Données projet'!$B$192,EJ74+EI75-ER74)))</f>
        <v>268.24750000000012</v>
      </c>
      <c r="EK75" s="17">
        <f>EJ75*VLOOKUP('Données projet'!$B$15,Paramètres!$A$1:$I$89,3,0)*VLOOKUP('Données projet'!$B$15,Paramètres!$A$1:$I$89,5,0)</f>
        <v>288.7416090000001</v>
      </c>
      <c r="EL75" s="13">
        <f t="shared" si="99"/>
        <v>68.811043868300743</v>
      </c>
      <c r="EM75" s="20">
        <f t="shared" si="73"/>
        <v>622.73753707895719</v>
      </c>
      <c r="EN75" s="59">
        <f t="shared" si="74"/>
        <v>898.90980180905444</v>
      </c>
      <c r="EO75" s="59">
        <f ca="1">AVERAGE(OFFSET($EN$3,0,0,'Données projet'!$E$15+1,1))-AVERAGE(OFFSET($H$3,0,0,'Données projet'!$E$15+1,1))</f>
        <v>713.57333631602273</v>
      </c>
      <c r="EP75" s="59">
        <f t="shared" si="100"/>
        <v>325.30302392555359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26.026762560977151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26.026762560977151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5.6843418860808015E-14</v>
      </c>
      <c r="FF75" s="17">
        <f>FE75*VLOOKUP('Données projet'!$B$16,Paramètres!$A$1:$I$89,3,0)*VLOOKUP('Données projet'!$B$16,Paramètres!$A$1:$I$89,5,0)</f>
        <v>4.4337866711430253E-14</v>
      </c>
      <c r="FG75" s="13">
        <f t="shared" si="101"/>
        <v>7.3222115536967035E-13</v>
      </c>
      <c r="FH75" s="20">
        <f t="shared" si="76"/>
        <v>1.3525069634579169E-12</v>
      </c>
      <c r="FI75" s="59">
        <f t="shared" si="77"/>
        <v>276.17226473009856</v>
      </c>
      <c r="FJ75" s="59">
        <f ca="1">AVERAGE(OFFSET($FI$3,0,0,'Données projet'!$E$16+1,1))-AVERAGE(OFFSET($H$3,0,0,'Données projet'!$E$16+1,1))</f>
        <v>302.04287561738482</v>
      </c>
      <c r="FK75" s="59">
        <f t="shared" si="102"/>
        <v>296.09828774694802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97.243993423699365</v>
      </c>
      <c r="FR75" s="21">
        <f>EXP(-LN(2)/25)*FR74+(1-EXP(-LN(2)/25))/(LN(2)/25)*Calculateur!FM75*Calculateur!FO75*VLOOKUP('Données projet'!$B$16,Paramètres!$A$1:$I$89,3,0)*0.475*44/12</f>
        <v>46.841370492027856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144.08536391572721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8.4087499999999977</v>
      </c>
      <c r="FZ75" s="12">
        <f>IF('Données projet'!$A$244&gt;35,FZ74+FY75-GH74,IF(A75&lt;'Données projet'!$A$244,$FW$205^A75,IF(A75='Données projet'!$A$244,'Données projet'!$B$244,FZ74+FY75-GH74)))</f>
        <v>216.67375000000015</v>
      </c>
      <c r="GA75" s="17">
        <f>FZ75*VLOOKUP('Données projet'!$B$17,Paramètres!$A$1:$I$89,3,0)*VLOOKUP('Données projet'!$B$17,Paramètres!$A$1:$I$89,5,0)</f>
        <v>182.52596700000015</v>
      </c>
      <c r="GB75" s="13">
        <f t="shared" si="103"/>
        <v>45.883710678698044</v>
      </c>
      <c r="GC75" s="20">
        <f t="shared" si="79"/>
        <v>397.81352195706603</v>
      </c>
      <c r="GD75" s="59">
        <f t="shared" si="80"/>
        <v>673.98578668716323</v>
      </c>
      <c r="GE75" s="59">
        <f ca="1">AVERAGE(OFFSET($GD$3,0,0,'Données projet'!$E$17+1,1))-AVERAGE(OFFSET($H$3,0,0,'Données projet'!$E$17+1,1))</f>
        <v>385.41819366740276</v>
      </c>
      <c r="GF75" s="59">
        <f t="shared" si="104"/>
        <v>262.4625391252718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17.918819515962166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17.918819515962166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65.319708562753789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3.3000000000000003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12.100000000000001</v>
      </c>
      <c r="H76" s="67">
        <f t="shared" si="56"/>
        <v>208.26666666666665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8.8662500000000044</v>
      </c>
      <c r="N76" s="13">
        <f>IF('Données projet'!$A$36&gt;35,N75+M76-V75,IF(A76&lt;'Données projet'!$A$36,$K$205^A76,IF(A76='Données projet'!$A$36,'Données projet'!$B$36,N75+M76-V75)))</f>
        <v>277.1137500000001</v>
      </c>
      <c r="O76" s="13">
        <f>N76*VLOOKUP('Données projet'!$B$9,Paramètres!$A$1:$I$89,3,0)*VLOOKUP('Données projet'!$B$9,Paramètres!$A$1:$I$89,5,0)</f>
        <v>250.73252100000005</v>
      </c>
      <c r="P76" s="13">
        <f t="shared" si="87"/>
        <v>60.74277247950485</v>
      </c>
      <c r="Q76" s="20">
        <f t="shared" si="54"/>
        <v>542.48613614347107</v>
      </c>
      <c r="R76" s="59">
        <f t="shared" si="55"/>
        <v>818.95610704743285</v>
      </c>
      <c r="S76" s="59">
        <f ca="1">AVERAGE(OFFSET($R$3,0,0,'Données projet'!$E$9+1,1))-AVERAGE(OFFSET($H$3,0,0,'Données projet'!$E$9+1,1))</f>
        <v>612.09138396952153</v>
      </c>
      <c r="T76" s="59">
        <f t="shared" si="88"/>
        <v>282.284310393542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21.448562754652389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21.448562754652389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280.9933425000001</v>
      </c>
      <c r="AK76" s="13">
        <f t="shared" si="89"/>
        <v>67.176887420430603</v>
      </c>
      <c r="AL76" s="20">
        <f t="shared" si="58"/>
        <v>606.39648377808339</v>
      </c>
      <c r="AM76" s="59">
        <f t="shared" si="59"/>
        <v>882.86645468204506</v>
      </c>
      <c r="AN76" s="59">
        <f ca="1">AVERAGE(OFFSET($AM$3,0,0,'Données projet'!$E$10+1,1))-AVERAGE(OFFSET($H$3,0,0,'Données projet'!$E$10+1,1))</f>
        <v>676.7112666359476</v>
      </c>
      <c r="AO76" s="59">
        <f t="shared" si="90"/>
        <v>309.67876644201385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24.037182397455265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24.037182397455265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276.67036800000011</v>
      </c>
      <c r="BF76" s="13">
        <f t="shared" si="91"/>
        <v>66.262872769758317</v>
      </c>
      <c r="BG76" s="20">
        <f t="shared" si="61"/>
        <v>597.2753943406625</v>
      </c>
      <c r="BH76" s="59">
        <f t="shared" si="62"/>
        <v>873.74536524462428</v>
      </c>
      <c r="BI76" s="59">
        <f ca="1">AVERAGE(OFFSET($BH$3,0,0,'Données projet'!$E$11+1,1))-AVERAGE(OFFSET($H$3,0,0,'Données projet'!$E$11+1,1))</f>
        <v>667.4887768032404</v>
      </c>
      <c r="BJ76" s="59">
        <f t="shared" si="92"/>
        <v>305.76944302827178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23.66737959134057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23.66737959134057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263.70144450000009</v>
      </c>
      <c r="CA76" s="13">
        <f t="shared" si="93"/>
        <v>63.510726054410156</v>
      </c>
      <c r="CB76" s="20">
        <f t="shared" si="64"/>
        <v>569.89453038226452</v>
      </c>
      <c r="CC76" s="59">
        <f t="shared" si="65"/>
        <v>846.36450128622619</v>
      </c>
      <c r="CD76" s="59">
        <f ca="1">AVERAGE(OFFSET($CC$3,0,0,'Données projet'!$E$12+1,1))-AVERAGE(OFFSET($H$3,0,0,'Données projet'!$E$12+1,1))</f>
        <v>639.80378676828764</v>
      </c>
      <c r="CE76" s="59">
        <f t="shared" si="94"/>
        <v>294.03328334345281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22.557971172996481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22.557971172996481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3.4</v>
      </c>
      <c r="CT76" s="12">
        <f>IF('Données projet'!$A$140&gt;35,CT75+CS76-DB75,IF(A76&lt;'Données projet'!$A$140,$CQ$205^A76,IF(A76='Données projet'!$A$140,'Données projet'!$B$140,CT75+CS76-DB75)))</f>
        <v>263.19999999999982</v>
      </c>
      <c r="CU76" s="17">
        <f>CT76*VLOOKUP('Données projet'!$B$13,Paramètres!$A$1:$I$89,3,0)*VLOOKUP('Données projet'!$B$13,Paramètres!$A$1:$I$89,5,0)</f>
        <v>229.93151999999986</v>
      </c>
      <c r="CV76" s="13">
        <f t="shared" si="95"/>
        <v>56.26787429746841</v>
      </c>
      <c r="CW76" s="20">
        <f t="shared" si="67"/>
        <v>498.4639450680906</v>
      </c>
      <c r="CX76" s="59">
        <f t="shared" si="68"/>
        <v>774.93391597205232</v>
      </c>
      <c r="CY76" s="59">
        <f ca="1">AVERAGE(OFFSET($CX$3,0,0,'Données projet'!$E$13+1,1))-AVERAGE(OFFSET($H$3,0,0,'Données projet'!$E$13+1,1))</f>
        <v>340.64710509454375</v>
      </c>
      <c r="CZ76" s="59">
        <f t="shared" si="96"/>
        <v>329.6409514360613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12.194657014999327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12.194657014999327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8.8662500000000044</v>
      </c>
      <c r="DO76" s="12">
        <f>IF('Données projet'!$A$166&gt;35,DO75+DN76-DW75,IF(A76&lt;'Données projet'!$A$166,$DL$205^A76,IF(A76='Données projet'!$A$166,'Données projet'!$B$166,DO75+DN76-DW75)))</f>
        <v>277.1137500000001</v>
      </c>
      <c r="DP76" s="17">
        <f>DO76*VLOOKUP('Données projet'!$B$14,Paramètres!$A$1:$I$89,3,0)*VLOOKUP('Données projet'!$B$14,Paramètres!$A$1:$I$89,5,0)</f>
        <v>268.02441900000014</v>
      </c>
      <c r="DQ76" s="13">
        <f t="shared" si="97"/>
        <v>64.429822106997378</v>
      </c>
      <c r="DR76" s="20">
        <f t="shared" si="70"/>
        <v>579.02446992802072</v>
      </c>
      <c r="DS76" s="59">
        <f t="shared" si="71"/>
        <v>855.4944408319825</v>
      </c>
      <c r="DT76" s="59">
        <f ca="1">AVERAGE(OFFSET($DS$3,0,0,'Données projet'!$E$14+1,1))-AVERAGE(OFFSET($H$3,0,0,'Données projet'!$E$14+1,1))</f>
        <v>649.03508893149228</v>
      </c>
      <c r="DU76" s="59">
        <f t="shared" si="98"/>
        <v>297.94672581383213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22.927773979111173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22.927773979111173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8.8662500000000044</v>
      </c>
      <c r="EJ76" s="12">
        <f>IF('Données projet'!$A$192&gt;35,EJ75+EI76-ER75,IF(A76&lt;'Données projet'!$A$192,$EG$205^A76,IF(A76='Données projet'!$A$192,'Données projet'!$B$192,EJ75+EI76-ER75)))</f>
        <v>277.1137500000001</v>
      </c>
      <c r="EK76" s="17">
        <f>EJ76*VLOOKUP('Données projet'!$B$15,Paramètres!$A$1:$I$89,3,0)*VLOOKUP('Données projet'!$B$15,Paramètres!$A$1:$I$89,5,0)</f>
        <v>298.2852405000001</v>
      </c>
      <c r="EL76" s="13">
        <f t="shared" si="99"/>
        <v>70.816864179073477</v>
      </c>
      <c r="EM76" s="20">
        <f t="shared" si="73"/>
        <v>642.8528323160532</v>
      </c>
      <c r="EN76" s="59">
        <f t="shared" si="74"/>
        <v>919.32280322001498</v>
      </c>
      <c r="EO76" s="59">
        <f ca="1">AVERAGE(OFFSET($EN$3,0,0,'Données projet'!$E$15+1,1))-AVERAGE(OFFSET($H$3,0,0,'Données projet'!$E$15+1,1))</f>
        <v>713.57333631602273</v>
      </c>
      <c r="EP76" s="59">
        <f t="shared" si="100"/>
        <v>325.30302392555359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25.516393621914048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25.516393621914048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5.6843418860808015E-14</v>
      </c>
      <c r="FF76" s="17">
        <f>FE76*VLOOKUP('Données projet'!$B$16,Paramètres!$A$1:$I$89,3,0)*VLOOKUP('Données projet'!$B$16,Paramètres!$A$1:$I$89,5,0)</f>
        <v>4.4337866711430253E-14</v>
      </c>
      <c r="FG76" s="13">
        <f t="shared" si="101"/>
        <v>7.3222115536967035E-13</v>
      </c>
      <c r="FH76" s="20">
        <f t="shared" si="76"/>
        <v>1.3525069634579169E-12</v>
      </c>
      <c r="FI76" s="59">
        <f t="shared" si="77"/>
        <v>276.46997090396309</v>
      </c>
      <c r="FJ76" s="59">
        <f ca="1">AVERAGE(OFFSET($FI$3,0,0,'Données projet'!$E$16+1,1))-AVERAGE(OFFSET($H$3,0,0,'Données projet'!$E$16+1,1))</f>
        <v>302.04287561738482</v>
      </c>
      <c r="FK76" s="59">
        <f t="shared" si="102"/>
        <v>296.09828774694802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95.337098025639932</v>
      </c>
      <c r="FR76" s="21">
        <f>EXP(-LN(2)/25)*FR75+(1-EXP(-LN(2)/25))/(LN(2)/25)*Calculateur!FM76*Calculateur!FO76*VLOOKUP('Données projet'!$B$16,Paramètres!$A$1:$I$89,3,0)*0.475*44/12</f>
        <v>45.560490752642735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140.89758877828268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8.4087499999999977</v>
      </c>
      <c r="FZ76" s="12">
        <f>IF('Données projet'!$A$244&gt;35,FZ75+FY76-GH75,IF(A76&lt;'Données projet'!$A$244,$FW$205^A76,IF(A76='Données projet'!$A$244,'Données projet'!$B$244,FZ75+FY76-GH75)))</f>
        <v>225.08250000000015</v>
      </c>
      <c r="GA76" s="17">
        <f>FZ76*VLOOKUP('Données projet'!$B$17,Paramètres!$A$1:$I$89,3,0)*VLOOKUP('Données projet'!$B$17,Paramètres!$A$1:$I$89,5,0)</f>
        <v>189.60949800000014</v>
      </c>
      <c r="GB76" s="13">
        <f t="shared" si="103"/>
        <v>47.453608068490468</v>
      </c>
      <c r="GC76" s="20">
        <f t="shared" si="79"/>
        <v>412.88490973595452</v>
      </c>
      <c r="GD76" s="59">
        <f t="shared" si="80"/>
        <v>689.35488063991625</v>
      </c>
      <c r="GE76" s="59">
        <f ca="1">AVERAGE(OFFSET($GD$3,0,0,'Données projet'!$E$17+1,1))-AVERAGE(OFFSET($H$3,0,0,'Données projet'!$E$17+1,1))</f>
        <v>385.41819366740276</v>
      </c>
      <c r="GF76" s="59">
        <f t="shared" si="104"/>
        <v>262.4625391252718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17.567442394654865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17.567442394654865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65.400901155625917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3.3000000000000003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12.100000000000001</v>
      </c>
      <c r="H77" s="67">
        <f t="shared" si="56"/>
        <v>208.26666666666665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285.98</v>
      </c>
      <c r="L77" s="12">
        <f>VLOOKUP(A77,'Données projet'!$A$35:$I$55,9,0)</f>
        <v>8.8662500000000044</v>
      </c>
      <c r="M77" s="12">
        <f t="array" ref="M77">INDEX(L:L,MIN(IF(ISNUMBER(L77:L273),ROW(L77:L273),"")))</f>
        <v>8.8662500000000044</v>
      </c>
      <c r="N77" s="13">
        <f>IF('Données projet'!$A$36&gt;35,N76+M77-V76,IF(A77&lt;'Données projet'!$A$36,$K$205^A77,IF(A77='Données projet'!$A$36,'Données projet'!$B$36,N76+M77-V76)))</f>
        <v>285.98000000000008</v>
      </c>
      <c r="O77" s="13">
        <f>N77*VLOOKUP('Données projet'!$B$9,Paramètres!$A$1:$I$89,3,0)*VLOOKUP('Données projet'!$B$9,Paramètres!$A$1:$I$89,5,0)</f>
        <v>258.75470400000006</v>
      </c>
      <c r="P77" s="13">
        <f t="shared" si="87"/>
        <v>62.456857045748947</v>
      </c>
      <c r="Q77" s="20">
        <f t="shared" si="54"/>
        <v>559.4434688213463</v>
      </c>
      <c r="R77" s="59">
        <f t="shared" si="55"/>
        <v>836.2059813626272</v>
      </c>
      <c r="S77" s="59">
        <f ca="1">AVERAGE(OFFSET($R$3,0,0,'Données projet'!$E$9+1,1))-AVERAGE(OFFSET($H$3,0,0,'Données projet'!$E$9+1,1))</f>
        <v>612.09138396952153</v>
      </c>
      <c r="T77" s="59">
        <f t="shared" si="88"/>
        <v>282.284310393542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0.25800000000000001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33.259977338364926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33.259977338364926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289.98372000000012</v>
      </c>
      <c r="AK77" s="13">
        <f t="shared" si="89"/>
        <v>69.072534609971271</v>
      </c>
      <c r="AL77" s="20">
        <f t="shared" si="58"/>
        <v>625.35631011236683</v>
      </c>
      <c r="AM77" s="59">
        <f t="shared" si="59"/>
        <v>902.11882265364773</v>
      </c>
      <c r="AN77" s="59">
        <f ca="1">AVERAGE(OFFSET($AM$3,0,0,'Données projet'!$E$10+1,1))-AVERAGE(OFFSET($H$3,0,0,'Données projet'!$E$10+1,1))</f>
        <v>676.7112666359476</v>
      </c>
      <c r="AO77" s="59">
        <f t="shared" si="90"/>
        <v>309.67876644201385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37.274112534374488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37.274112534374488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285.52243200000009</v>
      </c>
      <c r="BF77" s="13">
        <f t="shared" si="91"/>
        <v>68.132727616570946</v>
      </c>
      <c r="BG77" s="20">
        <f t="shared" si="61"/>
        <v>615.94940299886127</v>
      </c>
      <c r="BH77" s="59">
        <f t="shared" si="62"/>
        <v>892.71191554014217</v>
      </c>
      <c r="BI77" s="59">
        <f ca="1">AVERAGE(OFFSET($BH$3,0,0,'Données projet'!$E$11+1,1))-AVERAGE(OFFSET($H$3,0,0,'Données projet'!$E$11+1,1))</f>
        <v>667.4887768032404</v>
      </c>
      <c r="BJ77" s="59">
        <f t="shared" si="92"/>
        <v>305.76944302827178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36.700664649230262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36.700664649230262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272.13856800000008</v>
      </c>
      <c r="CA77" s="13">
        <f t="shared" si="93"/>
        <v>65.302918785776711</v>
      </c>
      <c r="CB77" s="20">
        <f t="shared" si="64"/>
        <v>587.71058948522784</v>
      </c>
      <c r="CC77" s="59">
        <f t="shared" si="65"/>
        <v>864.47310202650874</v>
      </c>
      <c r="CD77" s="59">
        <f ca="1">AVERAGE(OFFSET($CC$3,0,0,'Données projet'!$E$12+1,1))-AVERAGE(OFFSET($H$3,0,0,'Données projet'!$E$12+1,1))</f>
        <v>639.80378676828764</v>
      </c>
      <c r="CE77" s="59">
        <f t="shared" si="94"/>
        <v>294.03328334345281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0.25800000000000001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34.980320993797598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34.980320993797598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3.4</v>
      </c>
      <c r="CT77" s="12">
        <f>IF('Données projet'!$A$140&gt;35,CT76+CS77-DB76,IF(A77&lt;'Données projet'!$A$140,$CQ$205^A77,IF(A77='Données projet'!$A$140,'Données projet'!$B$140,CT76+CS77-DB76)))</f>
        <v>266.5999999999998</v>
      </c>
      <c r="CU77" s="17">
        <f>CT77*VLOOKUP('Données projet'!$B$13,Paramètres!$A$1:$I$89,3,0)*VLOOKUP('Données projet'!$B$13,Paramètres!$A$1:$I$89,5,0)</f>
        <v>232.90175999999985</v>
      </c>
      <c r="CV77" s="13">
        <f t="shared" si="95"/>
        <v>56.909651332233778</v>
      </c>
      <c r="CW77" s="20">
        <f t="shared" si="67"/>
        <v>504.75487473697353</v>
      </c>
      <c r="CX77" s="59">
        <f t="shared" si="68"/>
        <v>781.51738727825443</v>
      </c>
      <c r="CY77" s="59">
        <f ca="1">AVERAGE(OFFSET($CX$3,0,0,'Données projet'!$E$13+1,1))-AVERAGE(OFFSET($H$3,0,0,'Données projet'!$E$13+1,1))</f>
        <v>340.64710509454375</v>
      </c>
      <c r="CZ77" s="59">
        <f t="shared" si="96"/>
        <v>329.6409514360613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11.955527228941527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11.955527228941527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285.98</v>
      </c>
      <c r="DM77" s="12">
        <f>VLOOKUP(A77,'Données projet'!$A$165:$I$185,9,0)</f>
        <v>8.8662500000000044</v>
      </c>
      <c r="DN77" s="12">
        <f t="array" ref="DN77">INDEX(DM:DM,MIN(IF(ISNUMBER(DM77:DM273),ROW(DM77:DM273),"")))</f>
        <v>8.8662500000000044</v>
      </c>
      <c r="DO77" s="12">
        <f>IF('Données projet'!$A$166&gt;35,DO76+DN77-DW76,IF(A77&lt;'Données projet'!$A$166,$DL$205^A77,IF(A77='Données projet'!$A$166,'Données projet'!$B$166,DO76+DN77-DW76)))</f>
        <v>285.98000000000008</v>
      </c>
      <c r="DP77" s="17">
        <f>DO77*VLOOKUP('Données projet'!$B$14,Paramètres!$A$1:$I$89,3,0)*VLOOKUP('Données projet'!$B$14,Paramètres!$A$1:$I$89,5,0)</f>
        <v>276.59985600000005</v>
      </c>
      <c r="DQ77" s="13">
        <f t="shared" si="97"/>
        <v>66.247950571856578</v>
      </c>
      <c r="DR77" s="20">
        <f t="shared" si="70"/>
        <v>597.12659644598352</v>
      </c>
      <c r="DS77" s="59">
        <f t="shared" si="71"/>
        <v>873.88910898726442</v>
      </c>
      <c r="DT77" s="59">
        <f ca="1">AVERAGE(OFFSET($DS$3,0,0,'Données projet'!$E$14+1,1))-AVERAGE(OFFSET($H$3,0,0,'Données projet'!$E$14+1,1))</f>
        <v>649.03508893149228</v>
      </c>
      <c r="DU77" s="59">
        <f t="shared" si="98"/>
        <v>297.94672581383213</v>
      </c>
      <c r="DV77" s="15">
        <f>IF(ISNA(VLOOKUP(A77,'Données projet'!$A$165:$I$185,3,0)),0,VLOOKUP(A77,'Données projet'!$A$165:$I$185,3,0))</f>
        <v>5</v>
      </c>
      <c r="DW77" s="15">
        <f>IF(ISNA(VLOOKUP(A77,'Données projet'!$A$165:$I$185,4,0)),0,VLOOKUP(A77,'Données projet'!$A$165:$I$185,4,0))</f>
        <v>47.4</v>
      </c>
      <c r="DX77" s="16">
        <f>IF(ISNA(VLOOKUP(A77,'Données projet'!$A$165:$I$185,5,0)),0%,VLOOKUP(A77,'Données projet'!$A$165:$I$185,5,0)*VLOOKUP('Données projet'!$B$14,Paramètres!$A$1:$I$89,7,0))</f>
        <v>0.25800000000000001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35.553768878941817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35.553768878941817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>
        <f>VLOOKUP(A77,'Données projet'!$A$191:$I$211,2,0)</f>
        <v>285.98</v>
      </c>
      <c r="EH77" s="12">
        <f>VLOOKUP(A77,'Données projet'!$A$191:$I$211,9,0)</f>
        <v>8.8662500000000044</v>
      </c>
      <c r="EI77" s="12">
        <f t="array" ref="EI77">INDEX(EH:EH,MIN(IF(ISNUMBER(EH77:EH273),ROW(EH77:EH273),"")))</f>
        <v>8.8662500000000044</v>
      </c>
      <c r="EJ77" s="12">
        <f>IF('Données projet'!$A$192&gt;35,EJ76+EI77-ER76,IF(A77&lt;'Données projet'!$A$192,$EG$205^A77,IF(A77='Données projet'!$A$192,'Données projet'!$B$192,EJ76+EI77-ER76)))</f>
        <v>285.98000000000008</v>
      </c>
      <c r="EK77" s="17">
        <f>EJ77*VLOOKUP('Données projet'!$B$15,Paramètres!$A$1:$I$89,3,0)*VLOOKUP('Données projet'!$B$15,Paramètres!$A$1:$I$89,5,0)</f>
        <v>307.82887200000005</v>
      </c>
      <c r="EL77" s="13">
        <f t="shared" si="99"/>
        <v>72.81522693013352</v>
      </c>
      <c r="EM77" s="20">
        <f t="shared" si="73"/>
        <v>662.95513896998261</v>
      </c>
      <c r="EN77" s="59">
        <f t="shared" si="74"/>
        <v>939.71765151126351</v>
      </c>
      <c r="EO77" s="59">
        <f ca="1">AVERAGE(OFFSET($EN$3,0,0,'Données projet'!$E$15+1,1))-AVERAGE(OFFSET($H$3,0,0,'Données projet'!$E$15+1,1))</f>
        <v>713.57333631602273</v>
      </c>
      <c r="EP77" s="59">
        <f t="shared" si="100"/>
        <v>325.30302392555359</v>
      </c>
      <c r="EQ77" s="15">
        <f>IF(ISNA(VLOOKUP(A77,'Données projet'!$A$191:$I$211,3,0)),0,VLOOKUP(A77,'Données projet'!$A$191:$I$211,3,0))</f>
        <v>5</v>
      </c>
      <c r="ER77" s="15">
        <f>IF(ISNA(VLOOKUP(A77,'Données projet'!$A$191:$I$211,4,0)),0,VLOOKUP(A77,'Données projet'!$A$191:$I$211,4,0))</f>
        <v>47.4</v>
      </c>
      <c r="ES77" s="16">
        <f>IF(ISNA(VLOOKUP(A77,'Données projet'!$A$191:$I$211,5,0)),0%,VLOOKUP(A77,'Données projet'!$A$191:$I$211,5,0)*VLOOKUP('Données projet'!$B$15,Paramètres!$A$1:$I$89,7,0))</f>
        <v>0.25800000000000001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39.567904074951372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39.567904074951372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5.6843418860808015E-14</v>
      </c>
      <c r="FF77" s="17">
        <f>FE77*VLOOKUP('Données projet'!$B$16,Paramètres!$A$1:$I$89,3,0)*VLOOKUP('Données projet'!$B$16,Paramètres!$A$1:$I$89,5,0)</f>
        <v>4.4337866711430253E-14</v>
      </c>
      <c r="FG77" s="13">
        <f t="shared" si="101"/>
        <v>7.3222115536967035E-13</v>
      </c>
      <c r="FH77" s="20">
        <f t="shared" si="76"/>
        <v>1.3525069634579169E-12</v>
      </c>
      <c r="FI77" s="59">
        <f t="shared" si="77"/>
        <v>276.76251254128226</v>
      </c>
      <c r="FJ77" s="59">
        <f ca="1">AVERAGE(OFFSET($FI$3,0,0,'Données projet'!$E$16+1,1))-AVERAGE(OFFSET($H$3,0,0,'Données projet'!$E$16+1,1))</f>
        <v>302.04287561738482</v>
      </c>
      <c r="FK77" s="59">
        <f t="shared" si="102"/>
        <v>296.09828774694802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93.467595683245108</v>
      </c>
      <c r="FR77" s="21">
        <f>EXP(-LN(2)/25)*FR76+(1-EXP(-LN(2)/25))/(LN(2)/25)*Calculateur!FM77*Calculateur!FO77*VLOOKUP('Données projet'!$B$16,Paramètres!$A$1:$I$89,3,0)*0.475*44/12</f>
        <v>44.314636737089643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137.78223242033476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8.4087499999999977</v>
      </c>
      <c r="FZ77" s="12">
        <f>IF('Données projet'!$A$244&gt;35,FZ76+FY77-GH76,IF(A77&lt;'Données projet'!$A$244,$FW$205^A77,IF(A77='Données projet'!$A$244,'Données projet'!$B$244,FZ76+FY77-GH76)))</f>
        <v>233.49125000000015</v>
      </c>
      <c r="GA77" s="17">
        <f>FZ77*VLOOKUP('Données projet'!$B$17,Paramètres!$A$1:$I$89,3,0)*VLOOKUP('Données projet'!$B$17,Paramètres!$A$1:$I$89,5,0)</f>
        <v>196.69302900000017</v>
      </c>
      <c r="GB77" s="13">
        <f t="shared" si="103"/>
        <v>49.016691856527288</v>
      </c>
      <c r="GC77" s="20">
        <f t="shared" si="79"/>
        <v>427.94443049178523</v>
      </c>
      <c r="GD77" s="59">
        <f t="shared" si="80"/>
        <v>704.70694303306618</v>
      </c>
      <c r="GE77" s="59">
        <f ca="1">AVERAGE(OFFSET($GD$3,0,0,'Données projet'!$E$17+1,1))-AVERAGE(OFFSET($H$3,0,0,'Données projet'!$E$17+1,1))</f>
        <v>385.41819366740276</v>
      </c>
      <c r="GF77" s="59">
        <f t="shared" si="104"/>
        <v>262.4625391252718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17.222955564377518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17.222955564377518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65.480685238531152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3.3000000000000003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12.100000000000001</v>
      </c>
      <c r="H78" s="67">
        <f t="shared" si="56"/>
        <v>208.26666666666665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8.6770000000000014</v>
      </c>
      <c r="N78" s="13">
        <f>IF('Données projet'!$A$36&gt;35,N77+M78-V77,IF(A78&lt;'Données projet'!$A$36,$K$205^A78,IF(A78='Données projet'!$A$36,'Données projet'!$B$36,N77+M78-V77)))</f>
        <v>247.25700000000009</v>
      </c>
      <c r="O78" s="13">
        <f>N78*VLOOKUP('Données projet'!$B$9,Paramètres!$A$1:$I$89,3,0)*VLOOKUP('Données projet'!$B$9,Paramètres!$A$1:$I$89,5,0)</f>
        <v>223.71813360000007</v>
      </c>
      <c r="P78" s="13">
        <f t="shared" si="87"/>
        <v>54.92221376571495</v>
      </c>
      <c r="Q78" s="20">
        <f t="shared" si="54"/>
        <v>485.29860499528695</v>
      </c>
      <c r="R78" s="59">
        <f t="shared" si="55"/>
        <v>762.34858423050468</v>
      </c>
      <c r="S78" s="59">
        <f ca="1">AVERAGE(OFFSET($R$3,0,0,'Données projet'!$E$9+1,1))-AVERAGE(OFFSET($H$3,0,0,'Données projet'!$E$9+1,1))</f>
        <v>612.09138396952153</v>
      </c>
      <c r="T78" s="59">
        <f t="shared" si="88"/>
        <v>282.284310393542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32.607769469342635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32.607769469342635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250.7185980000001</v>
      </c>
      <c r="AK78" s="13">
        <f t="shared" si="89"/>
        <v>60.739792084155006</v>
      </c>
      <c r="AL78" s="20">
        <f t="shared" si="58"/>
        <v>542.45669606323679</v>
      </c>
      <c r="AM78" s="59">
        <f t="shared" si="59"/>
        <v>819.50667529845452</v>
      </c>
      <c r="AN78" s="59">
        <f ca="1">AVERAGE(OFFSET($AM$3,0,0,'Données projet'!$E$10+1,1))-AVERAGE(OFFSET($H$3,0,0,'Données projet'!$E$10+1,1))</f>
        <v>676.7112666359476</v>
      </c>
      <c r="AO78" s="59">
        <f t="shared" si="90"/>
        <v>309.67876644201385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36.543189922539156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36.543189922539156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246.8613888000001</v>
      </c>
      <c r="BF78" s="13">
        <f t="shared" si="91"/>
        <v>59.913361119941833</v>
      </c>
      <c r="BG78" s="20">
        <f t="shared" si="61"/>
        <v>534.29935611056555</v>
      </c>
      <c r="BH78" s="59">
        <f t="shared" si="62"/>
        <v>811.34933534578329</v>
      </c>
      <c r="BI78" s="59">
        <f ca="1">AVERAGE(OFFSET($BH$3,0,0,'Données projet'!$E$11+1,1))-AVERAGE(OFFSET($H$3,0,0,'Données projet'!$E$11+1,1))</f>
        <v>667.4887768032404</v>
      </c>
      <c r="BJ78" s="59">
        <f t="shared" si="92"/>
        <v>305.76944302827178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35.98098700065394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35.98098700065394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235.28976120000007</v>
      </c>
      <c r="CA78" s="13">
        <f t="shared" si="93"/>
        <v>57.424933541731441</v>
      </c>
      <c r="CB78" s="20">
        <f t="shared" si="64"/>
        <v>509.81142667518242</v>
      </c>
      <c r="CC78" s="59">
        <f t="shared" si="65"/>
        <v>786.86140591040021</v>
      </c>
      <c r="CD78" s="59">
        <f ca="1">AVERAGE(OFFSET($CC$3,0,0,'Données projet'!$E$12+1,1))-AVERAGE(OFFSET($H$3,0,0,'Données projet'!$E$12+1,1))</f>
        <v>639.80378676828764</v>
      </c>
      <c r="CE78" s="59">
        <f t="shared" si="94"/>
        <v>294.03328334345281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34.294378234998291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34.294378234998291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270</v>
      </c>
      <c r="CR78" s="12">
        <f>VLOOKUP(A78,'Données projet'!$A$139:$I$159,9,0)</f>
        <v>3.4</v>
      </c>
      <c r="CS78" s="12">
        <f t="array" ref="CS78">INDEX(CR:CR,MIN(IF(ISNUMBER(CR78:CR274),ROW(CR78:CR274),"")))</f>
        <v>3.4</v>
      </c>
      <c r="CT78" s="12">
        <f>IF('Données projet'!$A$140&gt;35,CT77+CS78-DB77,IF(A78&lt;'Données projet'!$A$140,$CQ$205^A78,IF(A78='Données projet'!$A$140,'Données projet'!$B$140,CT77+CS78-DB77)))</f>
        <v>269.99999999999977</v>
      </c>
      <c r="CU78" s="17">
        <f>CT78*VLOOKUP('Données projet'!$B$13,Paramètres!$A$1:$I$89,3,0)*VLOOKUP('Données projet'!$B$13,Paramètres!$A$1:$I$89,5,0)</f>
        <v>235.87199999999982</v>
      </c>
      <c r="CV78" s="13">
        <f t="shared" si="95"/>
        <v>57.55047634701522</v>
      </c>
      <c r="CW78" s="20">
        <f t="shared" si="67"/>
        <v>511.04414630438458</v>
      </c>
      <c r="CX78" s="59">
        <f t="shared" si="68"/>
        <v>788.09412553960237</v>
      </c>
      <c r="CY78" s="59">
        <f ca="1">AVERAGE(OFFSET($CX$3,0,0,'Données projet'!$E$13+1,1))-AVERAGE(OFFSET($H$3,0,0,'Données projet'!$E$13+1,1))</f>
        <v>340.64710509454375</v>
      </c>
      <c r="CZ78" s="59">
        <f t="shared" si="96"/>
        <v>329.6409514360613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0.318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14.485031431362232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14.485031431362232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8.6770000000000014</v>
      </c>
      <c r="DO78" s="12">
        <f>IF('Données projet'!$A$166&gt;35,DO77+DN78-DW77,IF(A78&lt;'Données projet'!$A$166,$DL$205^A78,IF(A78='Données projet'!$A$166,'Données projet'!$B$166,DO77+DN78-DW77)))</f>
        <v>247.25700000000009</v>
      </c>
      <c r="DP78" s="17">
        <f>DO78*VLOOKUP('Données projet'!$B$14,Paramètres!$A$1:$I$89,3,0)*VLOOKUP('Données projet'!$B$14,Paramètres!$A$1:$I$89,5,0)</f>
        <v>239.1469704000001</v>
      </c>
      <c r="DQ78" s="13">
        <f t="shared" si="97"/>
        <v>58.255958992346976</v>
      </c>
      <c r="DR78" s="20">
        <f t="shared" si="70"/>
        <v>517.97676869167117</v>
      </c>
      <c r="DS78" s="59">
        <f t="shared" si="71"/>
        <v>795.0267479268889</v>
      </c>
      <c r="DT78" s="59">
        <f ca="1">AVERAGE(OFFSET($DS$3,0,0,'Données projet'!$E$14+1,1))-AVERAGE(OFFSET($H$3,0,0,'Données projet'!$E$14+1,1))</f>
        <v>649.03508893149228</v>
      </c>
      <c r="DU78" s="59">
        <f t="shared" si="98"/>
        <v>297.94672581383213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34.8565811568835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34.8565811568835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8.6770000000000014</v>
      </c>
      <c r="EJ78" s="12">
        <f>IF('Données projet'!$A$192&gt;35,EJ77+EI78-ER77,IF(A78&lt;'Données projet'!$A$192,$EG$205^A78,IF(A78='Données projet'!$A$192,'Données projet'!$B$192,EJ77+EI78-ER77)))</f>
        <v>247.25700000000009</v>
      </c>
      <c r="EK78" s="17">
        <f>EJ78*VLOOKUP('Données projet'!$B$15,Paramètres!$A$1:$I$89,3,0)*VLOOKUP('Données projet'!$B$15,Paramètres!$A$1:$I$89,5,0)</f>
        <v>266.1474348000001</v>
      </c>
      <c r="EL78" s="13">
        <f t="shared" si="99"/>
        <v>64.03097510856955</v>
      </c>
      <c r="EM78" s="20">
        <f t="shared" si="73"/>
        <v>575.06073059075879</v>
      </c>
      <c r="EN78" s="59">
        <f t="shared" si="74"/>
        <v>852.11070982597653</v>
      </c>
      <c r="EO78" s="59">
        <f ca="1">AVERAGE(OFFSET($EN$3,0,0,'Données projet'!$E$15+1,1))-AVERAGE(OFFSET($H$3,0,0,'Données projet'!$E$15+1,1))</f>
        <v>713.57333631602273</v>
      </c>
      <c r="EP78" s="59">
        <f t="shared" si="100"/>
        <v>325.30302392555359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38.792001610080021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38.792001610080021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5.6843418860808015E-14</v>
      </c>
      <c r="FF78" s="17">
        <f>FE78*VLOOKUP('Données projet'!$B$16,Paramètres!$A$1:$I$89,3,0)*VLOOKUP('Données projet'!$B$16,Paramètres!$A$1:$I$89,5,0)</f>
        <v>4.4337866711430253E-14</v>
      </c>
      <c r="FG78" s="13">
        <f t="shared" si="101"/>
        <v>7.3222115536967035E-13</v>
      </c>
      <c r="FH78" s="20">
        <f t="shared" si="76"/>
        <v>1.3525069634579169E-12</v>
      </c>
      <c r="FI78" s="59">
        <f t="shared" si="77"/>
        <v>277.0499792352191</v>
      </c>
      <c r="FJ78" s="59">
        <f ca="1">AVERAGE(OFFSET($FI$3,0,0,'Données projet'!$E$16+1,1))-AVERAGE(OFFSET($H$3,0,0,'Données projet'!$E$16+1,1))</f>
        <v>302.04287561738482</v>
      </c>
      <c r="FK78" s="59">
        <f t="shared" si="102"/>
        <v>296.09828774694802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91.634753141500809</v>
      </c>
      <c r="FR78" s="21">
        <f>EXP(-LN(2)/25)*FR77+(1-EXP(-LN(2)/25))/(LN(2)/25)*Calculateur!FM78*Calculateur!FO78*VLOOKUP('Données projet'!$B$16,Paramètres!$A$1:$I$89,3,0)*0.475*44/12</f>
        <v>43.102850665108463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134.73760380660929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241.9</v>
      </c>
      <c r="FX78" s="12">
        <f>VLOOKUP(A78,'Données projet'!$A$243:$I$263,9,0)</f>
        <v>8.4087499999999977</v>
      </c>
      <c r="FY78" s="12">
        <f t="array" ref="FY78">INDEX(FX:FX,MIN(IF(ISNUMBER(FX78:FX274),ROW(FX78:FX274),"")))</f>
        <v>8.4087499999999977</v>
      </c>
      <c r="FZ78" s="12">
        <f>IF('Données projet'!$A$244&gt;35,FZ77+FY78-GH77,IF(A78&lt;'Données projet'!$A$244,$FW$205^A78,IF(A78='Données projet'!$A$244,'Données projet'!$B$244,FZ77+FY78-GH77)))</f>
        <v>241.90000000000015</v>
      </c>
      <c r="GA78" s="17">
        <f>FZ78*VLOOKUP('Données projet'!$B$17,Paramètres!$A$1:$I$89,3,0)*VLOOKUP('Données projet'!$B$17,Paramètres!$A$1:$I$89,5,0)</f>
        <v>203.77656000000016</v>
      </c>
      <c r="GB78" s="13">
        <f t="shared" si="103"/>
        <v>50.573235530903794</v>
      </c>
      <c r="GC78" s="20">
        <f t="shared" si="79"/>
        <v>442.99256054965764</v>
      </c>
      <c r="GD78" s="59">
        <f t="shared" si="80"/>
        <v>720.04253978487532</v>
      </c>
      <c r="GE78" s="59">
        <f ca="1">AVERAGE(OFFSET($GD$3,0,0,'Données projet'!$E$17+1,1))-AVERAGE(OFFSET($H$3,0,0,'Données projet'!$E$17+1,1))</f>
        <v>385.41819366740276</v>
      </c>
      <c r="GF78" s="59">
        <f t="shared" si="104"/>
        <v>262.4625391252718</v>
      </c>
      <c r="GG78" s="15">
        <f>IF(ISNA(VLOOKUP(A78,'Données projet'!$A$243:$I$263,3,0)),0,VLOOKUP(A78,'Données projet'!$A$243:$I$263,3,0))</f>
        <v>6</v>
      </c>
      <c r="GH78" s="15">
        <f>IF(ISNA(VLOOKUP(A78,'Données projet'!$A$243:$I$263,4,0)),0,VLOOKUP(A78,'Données projet'!$A$243:$I$263,4,0))</f>
        <v>38.909999999999997</v>
      </c>
      <c r="GI78" s="16">
        <f>IF(ISNA(VLOOKUP(A78,'Données projet'!$A$243:$I$263,5,0)),0%,VLOOKUP(A78,'Données projet'!$A$243:$I$263,5,0)*VLOOKUP('Données projet'!$B$17,Paramètres!$A$1:$I$89,7,0))</f>
        <v>0.25800000000000001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26.233820194957786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26.233820194957786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65.559085245968475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3.3000000000000003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12.100000000000001</v>
      </c>
      <c r="H79" s="67">
        <f t="shared" si="56"/>
        <v>208.26666666666665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8.6770000000000014</v>
      </c>
      <c r="N79" s="13">
        <f>IF('Données projet'!$A$36&gt;35,N78+M79-V78,IF(A79&lt;'Données projet'!$A$36,$K$205^A79,IF(A79='Données projet'!$A$36,'Données projet'!$B$36,N78+M79-V78)))</f>
        <v>255.93400000000008</v>
      </c>
      <c r="O79" s="13">
        <f>N79*VLOOKUP('Données projet'!$B$9,Paramètres!$A$1:$I$89,3,0)*VLOOKUP('Données projet'!$B$9,Paramètres!$A$1:$I$89,5,0)</f>
        <v>231.56908320000005</v>
      </c>
      <c r="P79" s="13">
        <f t="shared" si="87"/>
        <v>56.621819638037671</v>
      </c>
      <c r="Q79" s="20">
        <f t="shared" si="54"/>
        <v>501.93248910958238</v>
      </c>
      <c r="R79" s="59">
        <f t="shared" si="55"/>
        <v>779.26494813427644</v>
      </c>
      <c r="S79" s="59">
        <f ca="1">AVERAGE(OFFSET($R$3,0,0,'Données projet'!$E$9+1,1))-AVERAGE(OFFSET($H$3,0,0,'Données projet'!$E$9+1,1))</f>
        <v>612.09138396952153</v>
      </c>
      <c r="T79" s="59">
        <f t="shared" si="88"/>
        <v>282.284310393542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31.968350998824349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31.968350998824349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259.51707600000009</v>
      </c>
      <c r="AK79" s="13">
        <f t="shared" si="89"/>
        <v>62.619426939193161</v>
      </c>
      <c r="AL79" s="20">
        <f t="shared" si="58"/>
        <v>561.05440928576149</v>
      </c>
      <c r="AM79" s="59">
        <f t="shared" si="59"/>
        <v>838.3868683104555</v>
      </c>
      <c r="AN79" s="59">
        <f ca="1">AVERAGE(OFFSET($AM$3,0,0,'Données projet'!$E$10+1,1))-AVERAGE(OFFSET($H$3,0,0,'Données projet'!$E$10+1,1))</f>
        <v>676.7112666359476</v>
      </c>
      <c r="AO79" s="59">
        <f t="shared" si="90"/>
        <v>309.67876644201385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35.826600257303149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35.826600257303149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255.52450560000011</v>
      </c>
      <c r="BF79" s="13">
        <f t="shared" si="91"/>
        <v>61.767421497486396</v>
      </c>
      <c r="BG79" s="20">
        <f t="shared" si="61"/>
        <v>552.61677302812234</v>
      </c>
      <c r="BH79" s="59">
        <f t="shared" si="62"/>
        <v>829.94923205281634</v>
      </c>
      <c r="BI79" s="59">
        <f ca="1">AVERAGE(OFFSET($BH$3,0,0,'Données projet'!$E$11+1,1))-AVERAGE(OFFSET($H$3,0,0,'Données projet'!$E$11+1,1))</f>
        <v>667.4887768032404</v>
      </c>
      <c r="BJ79" s="59">
        <f t="shared" si="92"/>
        <v>305.76944302827178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35.275421791806174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35.275421791806174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243.54679440000007</v>
      </c>
      <c r="CA79" s="13">
        <f t="shared" si="93"/>
        <v>59.201987807635689</v>
      </c>
      <c r="CB79" s="20">
        <f t="shared" si="64"/>
        <v>527.28746234496555</v>
      </c>
      <c r="CC79" s="59">
        <f t="shared" si="65"/>
        <v>804.61992136965955</v>
      </c>
      <c r="CD79" s="59">
        <f ca="1">AVERAGE(OFFSET($CC$3,0,0,'Données projet'!$E$12+1,1))-AVERAGE(OFFSET($H$3,0,0,'Données projet'!$E$12+1,1))</f>
        <v>639.80378676828764</v>
      </c>
      <c r="CE79" s="59">
        <f t="shared" si="94"/>
        <v>294.03328334345281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33.621886395315265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33.621886395315265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2.8</v>
      </c>
      <c r="CT79" s="12">
        <f>IF('Données projet'!$A$140&gt;35,CT78+CS79-DB78,IF(A79&lt;'Données projet'!$A$140,$CQ$205^A79,IF(A79='Données projet'!$A$140,'Données projet'!$B$140,CT78+CS79-DB78)))</f>
        <v>263.79999999999978</v>
      </c>
      <c r="CU79" s="17">
        <f>CT79*VLOOKUP('Données projet'!$B$13,Paramètres!$A$1:$I$89,3,0)*VLOOKUP('Données projet'!$B$13,Paramètres!$A$1:$I$89,5,0)</f>
        <v>230.45567999999983</v>
      </c>
      <c r="CV79" s="13">
        <f t="shared" si="95"/>
        <v>56.381198848277869</v>
      </c>
      <c r="CW79" s="20">
        <f t="shared" si="67"/>
        <v>499.57423066075035</v>
      </c>
      <c r="CX79" s="59">
        <f t="shared" si="68"/>
        <v>776.90668968544435</v>
      </c>
      <c r="CY79" s="59">
        <f ca="1">AVERAGE(OFFSET($CX$3,0,0,'Données projet'!$E$13+1,1))-AVERAGE(OFFSET($H$3,0,0,'Données projet'!$E$13+1,1))</f>
        <v>340.64710509454375</v>
      </c>
      <c r="CZ79" s="59">
        <f t="shared" si="96"/>
        <v>329.6409514360613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14.200988799990009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14.200988799990009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8.6770000000000014</v>
      </c>
      <c r="DO79" s="12">
        <f>IF('Données projet'!$A$166&gt;35,DO78+DN79-DW78,IF(A79&lt;'Données projet'!$A$166,$DL$205^A79,IF(A79='Données projet'!$A$166,'Données projet'!$B$166,DO78+DN79-DW78)))</f>
        <v>255.93400000000008</v>
      </c>
      <c r="DP79" s="17">
        <f>DO79*VLOOKUP('Données projet'!$B$14,Paramètres!$A$1:$I$89,3,0)*VLOOKUP('Données projet'!$B$14,Paramètres!$A$1:$I$89,5,0)</f>
        <v>247.5393648000001</v>
      </c>
      <c r="DQ79" s="13">
        <f t="shared" si="97"/>
        <v>60.058729915302607</v>
      </c>
      <c r="DR79" s="20">
        <f t="shared" si="70"/>
        <v>535.73334829581881</v>
      </c>
      <c r="DS79" s="59">
        <f t="shared" si="71"/>
        <v>813.06580732051282</v>
      </c>
      <c r="DT79" s="59">
        <f ca="1">AVERAGE(OFFSET($DS$3,0,0,'Données projet'!$E$14+1,1))-AVERAGE(OFFSET($H$3,0,0,'Données projet'!$E$14+1,1))</f>
        <v>649.03508893149228</v>
      </c>
      <c r="DU79" s="59">
        <f t="shared" si="98"/>
        <v>297.94672581383213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34.173064860812232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34.173064860812232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8.6770000000000014</v>
      </c>
      <c r="EJ79" s="12">
        <f>IF('Données projet'!$A$192&gt;35,EJ78+EI79-ER78,IF(A79&lt;'Données projet'!$A$192,$EG$205^A79,IF(A79='Données projet'!$A$192,'Données projet'!$B$192,EJ78+EI79-ER78)))</f>
        <v>255.93400000000008</v>
      </c>
      <c r="EK79" s="17">
        <f>EJ79*VLOOKUP('Données projet'!$B$15,Paramètres!$A$1:$I$89,3,0)*VLOOKUP('Données projet'!$B$15,Paramètres!$A$1:$I$89,5,0)</f>
        <v>275.48735760000011</v>
      </c>
      <c r="EL79" s="13">
        <f t="shared" si="99"/>
        <v>66.012457897469986</v>
      </c>
      <c r="EM79" s="20">
        <f t="shared" si="73"/>
        <v>594.77884532476037</v>
      </c>
      <c r="EN79" s="59">
        <f t="shared" si="74"/>
        <v>872.11130434945437</v>
      </c>
      <c r="EO79" s="59">
        <f ca="1">AVERAGE(OFFSET($EN$3,0,0,'Données projet'!$E$15+1,1))-AVERAGE(OFFSET($H$3,0,0,'Données projet'!$E$15+1,1))</f>
        <v>713.57333631602273</v>
      </c>
      <c r="EP79" s="59">
        <f t="shared" si="100"/>
        <v>325.30302392555359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38.031314119291025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38.031314119291025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5.6843418860808015E-14</v>
      </c>
      <c r="FF79" s="17">
        <f>FE79*VLOOKUP('Données projet'!$B$16,Paramètres!$A$1:$I$89,3,0)*VLOOKUP('Données projet'!$B$16,Paramètres!$A$1:$I$89,5,0)</f>
        <v>4.4337866711430253E-14</v>
      </c>
      <c r="FG79" s="13">
        <f t="shared" si="101"/>
        <v>7.3222115536967035E-13</v>
      </c>
      <c r="FH79" s="20">
        <f t="shared" si="76"/>
        <v>1.3525069634579169E-12</v>
      </c>
      <c r="FI79" s="59">
        <f t="shared" si="77"/>
        <v>277.33245902469537</v>
      </c>
      <c r="FJ79" s="59">
        <f ca="1">AVERAGE(OFFSET($FI$3,0,0,'Données projet'!$E$16+1,1))-AVERAGE(OFFSET($H$3,0,0,'Données projet'!$E$16+1,1))</f>
        <v>302.04287561738482</v>
      </c>
      <c r="FK79" s="59">
        <f t="shared" si="102"/>
        <v>296.09828774694802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89.837851524076555</v>
      </c>
      <c r="FR79" s="21">
        <f>EXP(-LN(2)/25)*FR78+(1-EXP(-LN(2)/25))/(LN(2)/25)*Calculateur!FM79*Calculateur!FO79*VLOOKUP('Données projet'!$B$16,Paramètres!$A$1:$I$89,3,0)*0.475*44/12</f>
        <v>41.924200946990666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131.76205247106722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8.2100000000000009</v>
      </c>
      <c r="FZ79" s="12">
        <f>IF('Données projet'!$A$244&gt;35,FZ78+FY79-GH78,IF(A79&lt;'Données projet'!$A$244,$FW$205^A79,IF(A79='Données projet'!$A$244,'Données projet'!$B$244,FZ78+FY79-GH78)))</f>
        <v>211.20000000000016</v>
      </c>
      <c r="GA79" s="17">
        <f>FZ79*VLOOKUP('Données projet'!$B$17,Paramètres!$A$1:$I$89,3,0)*VLOOKUP('Données projet'!$B$17,Paramètres!$A$1:$I$89,5,0)</f>
        <v>177.91488000000015</v>
      </c>
      <c r="GB79" s="13">
        <f t="shared" si="103"/>
        <v>44.857971269354906</v>
      </c>
      <c r="GC79" s="20">
        <f t="shared" si="79"/>
        <v>387.99604929412675</v>
      </c>
      <c r="GD79" s="59">
        <f t="shared" si="80"/>
        <v>665.3285083188207</v>
      </c>
      <c r="GE79" s="59">
        <f ca="1">AVERAGE(OFFSET($GD$3,0,0,'Données projet'!$E$17+1,1))-AVERAGE(OFFSET($H$3,0,0,'Données projet'!$E$17+1,1))</f>
        <v>385.41819366740276</v>
      </c>
      <c r="GF79" s="59">
        <f t="shared" si="104"/>
        <v>262.4625391252718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25.719390981985011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25.719390981985011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65.63612518855291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3.3000000000000003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12.100000000000001</v>
      </c>
      <c r="H80" s="67">
        <f t="shared" si="56"/>
        <v>208.26666666666665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8.6770000000000014</v>
      </c>
      <c r="N80" s="13">
        <f>IF('Données projet'!$A$36&gt;35,N79+M80-V79,IF(A80&lt;'Données projet'!$A$36,$K$205^A80,IF(A80='Données projet'!$A$36,'Données projet'!$B$36,N79+M80-V79)))</f>
        <v>264.6110000000001</v>
      </c>
      <c r="O80" s="13">
        <f>N80*VLOOKUP('Données projet'!$B$9,Paramètres!$A$1:$I$89,3,0)*VLOOKUP('Données projet'!$B$9,Paramètres!$A$1:$I$89,5,0)</f>
        <v>239.42003280000009</v>
      </c>
      <c r="P80" s="13">
        <f t="shared" si="87"/>
        <v>58.314730148380967</v>
      </c>
      <c r="Q80" s="20">
        <f t="shared" si="54"/>
        <v>518.55471213509702</v>
      </c>
      <c r="R80" s="59">
        <f t="shared" si="55"/>
        <v>796.16475055645014</v>
      </c>
      <c r="S80" s="59">
        <f ca="1">AVERAGE(OFFSET($R$3,0,0,'Données projet'!$E$9+1,1))-AVERAGE(OFFSET($H$3,0,0,'Données projet'!$E$9+1,1))</f>
        <v>612.09138396952153</v>
      </c>
      <c r="T80" s="59">
        <f t="shared" si="88"/>
        <v>282.284310393542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31.341471134506168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31.341471134506168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268.31555400000013</v>
      </c>
      <c r="AK80" s="13">
        <f t="shared" si="89"/>
        <v>64.491657233004062</v>
      </c>
      <c r="AL80" s="20">
        <f t="shared" si="58"/>
        <v>579.63922623081567</v>
      </c>
      <c r="AM80" s="59">
        <f t="shared" si="59"/>
        <v>857.24926465216868</v>
      </c>
      <c r="AN80" s="59">
        <f ca="1">AVERAGE(OFFSET($AM$3,0,0,'Données projet'!$E$10+1,1))-AVERAGE(OFFSET($H$3,0,0,'Données projet'!$E$10+1,1))</f>
        <v>676.7112666359476</v>
      </c>
      <c r="AO80" s="59">
        <f t="shared" si="90"/>
        <v>309.67876644201385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35.124062478325875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35.124062478325875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264.18762240000012</v>
      </c>
      <c r="BF80" s="13">
        <f t="shared" si="91"/>
        <v>63.614178060916458</v>
      </c>
      <c r="BG80" s="20">
        <f t="shared" si="61"/>
        <v>570.92146913609633</v>
      </c>
      <c r="BH80" s="59">
        <f t="shared" si="62"/>
        <v>848.53150755744946</v>
      </c>
      <c r="BI80" s="59">
        <f ca="1">AVERAGE(OFFSET($BH$3,0,0,'Données projet'!$E$11+1,1))-AVERAGE(OFFSET($H$3,0,0,'Données projet'!$E$11+1,1))</f>
        <v>667.4887768032404</v>
      </c>
      <c r="BJ80" s="59">
        <f t="shared" si="92"/>
        <v>305.76944302827178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34.583692286351628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34.583692286351628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251.80382760000009</v>
      </c>
      <c r="CA80" s="13">
        <f t="shared" si="93"/>
        <v>60.972041614338686</v>
      </c>
      <c r="CB80" s="20">
        <f t="shared" si="64"/>
        <v>544.75130554830673</v>
      </c>
      <c r="CC80" s="59">
        <f t="shared" si="65"/>
        <v>822.36134396965986</v>
      </c>
      <c r="CD80" s="59">
        <f ca="1">AVERAGE(OFFSET($CC$3,0,0,'Données projet'!$E$12+1,1))-AVERAGE(OFFSET($H$3,0,0,'Données projet'!$E$12+1,1))</f>
        <v>639.80378676828764</v>
      </c>
      <c r="CE80" s="59">
        <f t="shared" si="94"/>
        <v>294.03328334345281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32.962581710428907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32.962581710428907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2.8</v>
      </c>
      <c r="CT80" s="12">
        <f>IF('Données projet'!$A$140&gt;35,CT79+CS80-DB79,IF(A80&lt;'Données projet'!$A$140,$CQ$205^A80,IF(A80='Données projet'!$A$140,'Données projet'!$B$140,CT79+CS80-DB79)))</f>
        <v>266.5999999999998</v>
      </c>
      <c r="CU80" s="17">
        <f>CT80*VLOOKUP('Données projet'!$B$13,Paramètres!$A$1:$I$89,3,0)*VLOOKUP('Données projet'!$B$13,Paramètres!$A$1:$I$89,5,0)</f>
        <v>232.90175999999985</v>
      </c>
      <c r="CV80" s="13">
        <f t="shared" si="95"/>
        <v>56.909651332233778</v>
      </c>
      <c r="CW80" s="20">
        <f t="shared" si="67"/>
        <v>504.75487473697353</v>
      </c>
      <c r="CX80" s="59">
        <f t="shared" si="68"/>
        <v>782.36491315832654</v>
      </c>
      <c r="CY80" s="59">
        <f ca="1">AVERAGE(OFFSET($CX$3,0,0,'Données projet'!$E$13+1,1))-AVERAGE(OFFSET($H$3,0,0,'Données projet'!$E$13+1,1))</f>
        <v>340.64710509454375</v>
      </c>
      <c r="CZ80" s="59">
        <f t="shared" si="96"/>
        <v>329.6409514360613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13.922516071370097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13.922516071370097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8.6770000000000014</v>
      </c>
      <c r="DO80" s="12">
        <f>IF('Données projet'!$A$166&gt;35,DO79+DN80-DW79,IF(A80&lt;'Données projet'!$A$166,$DL$205^A80,IF(A80='Données projet'!$A$166,'Données projet'!$B$166,DO79+DN80-DW79)))</f>
        <v>264.6110000000001</v>
      </c>
      <c r="DP80" s="17">
        <f>DO80*VLOOKUP('Données projet'!$B$14,Paramètres!$A$1:$I$89,3,0)*VLOOKUP('Données projet'!$B$14,Paramètres!$A$1:$I$89,5,0)</f>
        <v>255.9317592000001</v>
      </c>
      <c r="DQ80" s="13">
        <f t="shared" si="97"/>
        <v>61.854399071847673</v>
      </c>
      <c r="DR80" s="20">
        <f t="shared" si="70"/>
        <v>553.47755899013487</v>
      </c>
      <c r="DS80" s="59">
        <f t="shared" si="71"/>
        <v>831.08759741148788</v>
      </c>
      <c r="DT80" s="59">
        <f ca="1">AVERAGE(OFFSET($DS$3,0,0,'Données projet'!$E$14+1,1))-AVERAGE(OFFSET($H$3,0,0,'Données projet'!$E$14+1,1))</f>
        <v>649.03508893149228</v>
      </c>
      <c r="DU80" s="59">
        <f t="shared" si="98"/>
        <v>297.94672581383213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33.50295190240314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33.50295190240314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8.6770000000000014</v>
      </c>
      <c r="EJ80" s="12">
        <f>IF('Données projet'!$A$192&gt;35,EJ79+EI80-ER79,IF(A80&lt;'Données projet'!$A$192,$EG$205^A80,IF(A80='Données projet'!$A$192,'Données projet'!$B$192,EJ79+EI80-ER79)))</f>
        <v>264.6110000000001</v>
      </c>
      <c r="EK80" s="17">
        <f>EJ80*VLOOKUP('Données projet'!$B$15,Paramètres!$A$1:$I$89,3,0)*VLOOKUP('Données projet'!$B$15,Paramètres!$A$1:$I$89,5,0)</f>
        <v>284.82728040000012</v>
      </c>
      <c r="EL80" s="13">
        <f t="shared" si="99"/>
        <v>67.986134909311318</v>
      </c>
      <c r="EM80" s="20">
        <f t="shared" si="73"/>
        <v>614.48336499705067</v>
      </c>
      <c r="EN80" s="59">
        <f t="shared" si="74"/>
        <v>892.0934034184038</v>
      </c>
      <c r="EO80" s="59">
        <f ca="1">AVERAGE(OFFSET($EN$3,0,0,'Données projet'!$E$15+1,1))-AVERAGE(OFFSET($H$3,0,0,'Données projet'!$E$15+1,1))</f>
        <v>713.57333631602273</v>
      </c>
      <c r="EP80" s="59">
        <f t="shared" si="100"/>
        <v>325.30302392555359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37.285543246222844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37.285543246222844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5.6843418860808015E-14</v>
      </c>
      <c r="FF80" s="17">
        <f>FE80*VLOOKUP('Données projet'!$B$16,Paramètres!$A$1:$I$89,3,0)*VLOOKUP('Données projet'!$B$16,Paramètres!$A$1:$I$89,5,0)</f>
        <v>4.4337866711430253E-14</v>
      </c>
      <c r="FG80" s="13">
        <f t="shared" si="101"/>
        <v>7.3222115536967035E-13</v>
      </c>
      <c r="FH80" s="20">
        <f t="shared" si="76"/>
        <v>1.3525069634579169E-12</v>
      </c>
      <c r="FI80" s="59">
        <f t="shared" si="77"/>
        <v>277.61003842135443</v>
      </c>
      <c r="FJ80" s="59">
        <f ca="1">AVERAGE(OFFSET($FI$3,0,0,'Données projet'!$E$16+1,1))-AVERAGE(OFFSET($H$3,0,0,'Données projet'!$E$16+1,1))</f>
        <v>302.04287561738482</v>
      </c>
      <c r="FK80" s="59">
        <f t="shared" si="102"/>
        <v>296.09828774694802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88.076186051368225</v>
      </c>
      <c r="FR80" s="21">
        <f>EXP(-LN(2)/25)*FR79+(1-EXP(-LN(2)/25))/(LN(2)/25)*Calculateur!FM80*Calculateur!FO80*VLOOKUP('Données projet'!$B$16,Paramètres!$A$1:$I$89,3,0)*0.475*44/12</f>
        <v>40.777781467397297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128.85396751876553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8.2100000000000009</v>
      </c>
      <c r="FZ80" s="12">
        <f>IF('Données projet'!$A$244&gt;35,FZ79+FY80-GH79,IF(A80&lt;'Données projet'!$A$244,$FW$205^A80,IF(A80='Données projet'!$A$244,'Données projet'!$B$244,FZ79+FY80-GH79)))</f>
        <v>219.41000000000017</v>
      </c>
      <c r="GA80" s="17">
        <f>FZ80*VLOOKUP('Données projet'!$B$17,Paramètres!$A$1:$I$89,3,0)*VLOOKUP('Données projet'!$B$17,Paramètres!$A$1:$I$89,5,0)</f>
        <v>184.83098400000014</v>
      </c>
      <c r="GB80" s="13">
        <f t="shared" si="103"/>
        <v>46.395328769790581</v>
      </c>
      <c r="GC80" s="20">
        <f t="shared" si="79"/>
        <v>402.71916140738546</v>
      </c>
      <c r="GD80" s="59">
        <f t="shared" si="80"/>
        <v>680.32919982873852</v>
      </c>
      <c r="GE80" s="59">
        <f ca="1">AVERAGE(OFFSET($GD$3,0,0,'Données projet'!$E$17+1,1))-AVERAGE(OFFSET($H$3,0,0,'Données projet'!$E$17+1,1))</f>
        <v>385.41819366740276</v>
      </c>
      <c r="GF80" s="59">
        <f t="shared" si="104"/>
        <v>262.4625391252718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25.215049412107795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25.215049412107795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65.711828660369022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3.3000000000000003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12.100000000000001</v>
      </c>
      <c r="H81" s="67">
        <f t="shared" si="56"/>
        <v>208.26666666666665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8.6770000000000014</v>
      </c>
      <c r="N81" s="13">
        <f>IF('Données projet'!$A$36&gt;35,N80+M81-V80,IF(A81&lt;'Données projet'!$A$36,$K$205^A81,IF(A81='Données projet'!$A$36,'Données projet'!$B$36,N80+M81-V80)))</f>
        <v>273.28800000000012</v>
      </c>
      <c r="O81" s="13">
        <f>N81*VLOOKUP('Données projet'!$B$9,Paramètres!$A$1:$I$89,3,0)*VLOOKUP('Données projet'!$B$9,Paramètres!$A$1:$I$89,5,0)</f>
        <v>247.27098240000012</v>
      </c>
      <c r="P81" s="13">
        <f t="shared" si="87"/>
        <v>60.001190025553029</v>
      </c>
      <c r="Q81" s="20">
        <f t="shared" si="54"/>
        <v>535.16570030783839</v>
      </c>
      <c r="R81" s="59">
        <f t="shared" si="55"/>
        <v>813.0485027438931</v>
      </c>
      <c r="S81" s="59">
        <f ca="1">AVERAGE(OFFSET($R$3,0,0,'Données projet'!$E$9+1,1))-AVERAGE(OFFSET($H$3,0,0,'Données projet'!$E$9+1,1))</f>
        <v>612.09138396952153</v>
      </c>
      <c r="T81" s="59">
        <f t="shared" si="88"/>
        <v>282.284310393542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30.726884001968305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30.726884001968305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277.11403200000018</v>
      </c>
      <c r="AK81" s="13">
        <f t="shared" si="89"/>
        <v>66.356753617040368</v>
      </c>
      <c r="AL81" s="20">
        <f t="shared" si="58"/>
        <v>598.21161828301217</v>
      </c>
      <c r="AM81" s="59">
        <f t="shared" si="59"/>
        <v>876.09442071906687</v>
      </c>
      <c r="AN81" s="59">
        <f ca="1">AVERAGE(OFFSET($AM$3,0,0,'Données projet'!$E$10+1,1))-AVERAGE(OFFSET($H$3,0,0,'Données projet'!$E$10+1,1))</f>
        <v>676.7112666359476</v>
      </c>
      <c r="AO81" s="59">
        <f t="shared" si="90"/>
        <v>309.67876644201385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34.435301036688614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34.435301036688614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272.85073920000013</v>
      </c>
      <c r="BF81" s="13">
        <f t="shared" si="91"/>
        <v>65.453897779176927</v>
      </c>
      <c r="BG81" s="20">
        <f t="shared" si="61"/>
        <v>589.21390940540005</v>
      </c>
      <c r="BH81" s="59">
        <f t="shared" si="62"/>
        <v>867.09671184145463</v>
      </c>
      <c r="BI81" s="59">
        <f ca="1">AVERAGE(OFFSET($BH$3,0,0,'Données projet'!$E$11+1,1))-AVERAGE(OFFSET($H$3,0,0,'Données projet'!$E$11+1,1))</f>
        <v>667.4887768032404</v>
      </c>
      <c r="BJ81" s="59">
        <f t="shared" si="92"/>
        <v>305.76944302827178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33.905527174585714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33.905527174585714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260.06086080000017</v>
      </c>
      <c r="CA81" s="13">
        <f t="shared" si="93"/>
        <v>62.735350842559512</v>
      </c>
      <c r="CB81" s="20">
        <f t="shared" si="64"/>
        <v>562.20340194412472</v>
      </c>
      <c r="CC81" s="59">
        <f t="shared" si="65"/>
        <v>840.08620438017942</v>
      </c>
      <c r="CD81" s="59">
        <f ca="1">AVERAGE(OFFSET($CC$3,0,0,'Données projet'!$E$12+1,1))-AVERAGE(OFFSET($H$3,0,0,'Données projet'!$E$12+1,1))</f>
        <v>639.80378676828764</v>
      </c>
      <c r="CE81" s="59">
        <f t="shared" si="94"/>
        <v>294.03328334345281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32.316205588277015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32.316205588277015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2.8</v>
      </c>
      <c r="CT81" s="12">
        <f>IF('Données projet'!$A$140&gt;35,CT80+CS81-DB80,IF(A81&lt;'Données projet'!$A$140,$CQ$205^A81,IF(A81='Données projet'!$A$140,'Données projet'!$B$140,CT80+CS81-DB80)))</f>
        <v>269.39999999999981</v>
      </c>
      <c r="CU81" s="17">
        <f>CT81*VLOOKUP('Données projet'!$B$13,Paramètres!$A$1:$I$89,3,0)*VLOOKUP('Données projet'!$B$13,Paramètres!$A$1:$I$89,5,0)</f>
        <v>235.34783999999988</v>
      </c>
      <c r="CV81" s="13">
        <f t="shared" si="95"/>
        <v>57.437458162232033</v>
      </c>
      <c r="CW81" s="20">
        <f t="shared" si="67"/>
        <v>509.93439429922063</v>
      </c>
      <c r="CX81" s="59">
        <f t="shared" si="68"/>
        <v>787.81719673527527</v>
      </c>
      <c r="CY81" s="59">
        <f ca="1">AVERAGE(OFFSET($CX$3,0,0,'Données projet'!$E$13+1,1))-AVERAGE(OFFSET($H$3,0,0,'Données projet'!$E$13+1,1))</f>
        <v>340.64710509454375</v>
      </c>
      <c r="CZ81" s="59">
        <f t="shared" si="96"/>
        <v>329.6409514360613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13.649504023106829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13.649504023106829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8.6770000000000014</v>
      </c>
      <c r="DO81" s="12">
        <f>IF('Données projet'!$A$166&gt;35,DO80+DN81-DW80,IF(A81&lt;'Données projet'!$A$166,$DL$205^A81,IF(A81='Données projet'!$A$166,'Données projet'!$B$166,DO80+DN81-DW80)))</f>
        <v>273.28800000000012</v>
      </c>
      <c r="DP81" s="17">
        <f>DO81*VLOOKUP('Données projet'!$B$14,Paramètres!$A$1:$I$89,3,0)*VLOOKUP('Données projet'!$B$14,Paramètres!$A$1:$I$89,5,0)</f>
        <v>264.32415360000016</v>
      </c>
      <c r="DQ81" s="13">
        <f t="shared" si="97"/>
        <v>63.643226045681423</v>
      </c>
      <c r="DR81" s="20">
        <f t="shared" si="70"/>
        <v>571.20985288289546</v>
      </c>
      <c r="DS81" s="59">
        <f t="shared" si="71"/>
        <v>849.09265531895016</v>
      </c>
      <c r="DT81" s="59">
        <f ca="1">AVERAGE(OFFSET($DS$3,0,0,'Données projet'!$E$14+1,1))-AVERAGE(OFFSET($H$3,0,0,'Données projet'!$E$14+1,1))</f>
        <v>649.03508893149228</v>
      </c>
      <c r="DU81" s="59">
        <f t="shared" si="98"/>
        <v>297.94672581383213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32.845979450379907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32.845979450379907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8.6770000000000014</v>
      </c>
      <c r="EJ81" s="12">
        <f>IF('Données projet'!$A$192&gt;35,EJ80+EI81-ER80,IF(A81&lt;'Données projet'!$A$192,$EG$205^A81,IF(A81='Données projet'!$A$192,'Données projet'!$B$192,EJ80+EI81-ER80)))</f>
        <v>273.28800000000012</v>
      </c>
      <c r="EK81" s="17">
        <f>EJ81*VLOOKUP('Données projet'!$B$15,Paramètres!$A$1:$I$89,3,0)*VLOOKUP('Données projet'!$B$15,Paramètres!$A$1:$I$89,5,0)</f>
        <v>294.16720320000013</v>
      </c>
      <c r="EL81" s="13">
        <f t="shared" si="99"/>
        <v>69.9522914607833</v>
      </c>
      <c r="EM81" s="20">
        <f t="shared" si="73"/>
        <v>634.17478653419778</v>
      </c>
      <c r="EN81" s="59">
        <f t="shared" si="74"/>
        <v>912.05758897025248</v>
      </c>
      <c r="EO81" s="59">
        <f ca="1">AVERAGE(OFFSET($EN$3,0,0,'Données projet'!$E$15+1,1))-AVERAGE(OFFSET($H$3,0,0,'Données projet'!$E$15+1,1))</f>
        <v>713.57333631602273</v>
      </c>
      <c r="EP81" s="59">
        <f t="shared" si="100"/>
        <v>325.30302392555359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36.554396485100213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36.554396485100213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5.6843418860808015E-14</v>
      </c>
      <c r="FF81" s="17">
        <f>FE81*VLOOKUP('Données projet'!$B$16,Paramètres!$A$1:$I$89,3,0)*VLOOKUP('Données projet'!$B$16,Paramètres!$A$1:$I$89,5,0)</f>
        <v>4.4337866711430253E-14</v>
      </c>
      <c r="FG81" s="13">
        <f t="shared" si="101"/>
        <v>7.3222115536967035E-13</v>
      </c>
      <c r="FH81" s="20">
        <f t="shared" si="76"/>
        <v>1.3525069634579169E-12</v>
      </c>
      <c r="FI81" s="59">
        <f t="shared" si="77"/>
        <v>277.88280243605601</v>
      </c>
      <c r="FJ81" s="59">
        <f ca="1">AVERAGE(OFFSET($FI$3,0,0,'Données projet'!$E$16+1,1))-AVERAGE(OFFSET($H$3,0,0,'Données projet'!$E$16+1,1))</f>
        <v>302.04287561738482</v>
      </c>
      <c r="FK81" s="59">
        <f t="shared" si="102"/>
        <v>296.09828774694802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86.349065764069863</v>
      </c>
      <c r="FR81" s="21">
        <f>EXP(-LN(2)/25)*FR80+(1-EXP(-LN(2)/25))/(LN(2)/25)*Calculateur!FM81*Calculateur!FO81*VLOOKUP('Données projet'!$B$16,Paramètres!$A$1:$I$89,3,0)*0.475*44/12</f>
        <v>39.662710888760991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126.01177665283086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8.2100000000000009</v>
      </c>
      <c r="FZ81" s="12">
        <f>IF('Données projet'!$A$244&gt;35,FZ80+FY81-GH80,IF(A81&lt;'Données projet'!$A$244,$FW$205^A81,IF(A81='Données projet'!$A$244,'Données projet'!$B$244,FZ80+FY81-GH80)))</f>
        <v>227.62000000000018</v>
      </c>
      <c r="GA81" s="17">
        <f>FZ81*VLOOKUP('Données projet'!$B$17,Paramètres!$A$1:$I$89,3,0)*VLOOKUP('Données projet'!$B$17,Paramètres!$A$1:$I$89,5,0)</f>
        <v>191.74708800000016</v>
      </c>
      <c r="GB81" s="13">
        <f t="shared" si="103"/>
        <v>47.926003197206867</v>
      </c>
      <c r="GC81" s="20">
        <f t="shared" si="79"/>
        <v>417.43063383513555</v>
      </c>
      <c r="GD81" s="59">
        <f t="shared" si="80"/>
        <v>695.3134362711902</v>
      </c>
      <c r="GE81" s="59">
        <f ca="1">AVERAGE(OFFSET($GD$3,0,0,'Données projet'!$E$17+1,1))-AVERAGE(OFFSET($H$3,0,0,'Données projet'!$E$17+1,1))</f>
        <v>385.41819366740276</v>
      </c>
      <c r="GF81" s="59">
        <f t="shared" si="104"/>
        <v>262.4625391252718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24.720597672797886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24.720597672797886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65.786218846196718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3.3000000000000003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12.100000000000001</v>
      </c>
      <c r="H82" s="67">
        <f t="shared" si="56"/>
        <v>208.26666666666665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8.6770000000000014</v>
      </c>
      <c r="N82" s="13">
        <f>IF('Données projet'!$A$36&gt;35,N81+M82-V81,IF(A82&lt;'Données projet'!$A$36,$K$205^A82,IF(A82='Données projet'!$A$36,'Données projet'!$B$36,N81+M82-V81)))</f>
        <v>281.96500000000015</v>
      </c>
      <c r="O82" s="13">
        <f>N82*VLOOKUP('Données projet'!$B$9,Paramètres!$A$1:$I$89,3,0)*VLOOKUP('Données projet'!$B$9,Paramètres!$A$1:$I$89,5,0)</f>
        <v>255.1219320000001</v>
      </c>
      <c r="P82" s="13">
        <f t="shared" si="87"/>
        <v>61.681427575411924</v>
      </c>
      <c r="Q82" s="20">
        <f t="shared" si="54"/>
        <v>551.76585126050918</v>
      </c>
      <c r="R82" s="59">
        <f t="shared" si="55"/>
        <v>829.91668586541937</v>
      </c>
      <c r="S82" s="59">
        <f ca="1">AVERAGE(OFFSET($R$3,0,0,'Données projet'!$E$9+1,1))-AVERAGE(OFFSET($H$3,0,0,'Données projet'!$E$9+1,1))</f>
        <v>612.09138396952153</v>
      </c>
      <c r="T82" s="59">
        <f t="shared" si="88"/>
        <v>282.284310393542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30.124348548238373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30.124348548238373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285.91251000000017</v>
      </c>
      <c r="AK82" s="13">
        <f t="shared" si="89"/>
        <v>68.214968580220258</v>
      </c>
      <c r="AL82" s="20">
        <f t="shared" si="58"/>
        <v>616.77202519388391</v>
      </c>
      <c r="AM82" s="59">
        <f t="shared" si="59"/>
        <v>894.92285979879409</v>
      </c>
      <c r="AN82" s="59">
        <f ca="1">AVERAGE(OFFSET($AM$3,0,0,'Données projet'!$E$10+1,1))-AVERAGE(OFFSET($H$3,0,0,'Données projet'!$E$10+1,1))</f>
        <v>676.7112666359476</v>
      </c>
      <c r="AO82" s="59">
        <f t="shared" si="90"/>
        <v>309.67876644201385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33.760045786818864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33.760045786818864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281.51385600000015</v>
      </c>
      <c r="BF82" s="13">
        <f t="shared" si="91"/>
        <v>67.28682970579969</v>
      </c>
      <c r="BG82" s="20">
        <f t="shared" si="61"/>
        <v>607.494527604268</v>
      </c>
      <c r="BH82" s="59">
        <f t="shared" si="62"/>
        <v>885.64536220917819</v>
      </c>
      <c r="BI82" s="59">
        <f ca="1">AVERAGE(OFFSET($BH$3,0,0,'Données projet'!$E$11+1,1))-AVERAGE(OFFSET($H$3,0,0,'Données projet'!$E$11+1,1))</f>
        <v>667.4887768032404</v>
      </c>
      <c r="BJ82" s="59">
        <f t="shared" si="92"/>
        <v>305.76944302827178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33.240660467021655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33.240660467021655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268.31789400000014</v>
      </c>
      <c r="CA82" s="13">
        <f t="shared" si="93"/>
        <v>64.492154201698639</v>
      </c>
      <c r="CB82" s="20">
        <f t="shared" si="64"/>
        <v>579.6441672846255</v>
      </c>
      <c r="CC82" s="59">
        <f t="shared" si="65"/>
        <v>857.79500188953568</v>
      </c>
      <c r="CD82" s="59">
        <f ca="1">AVERAGE(OFFSET($CC$3,0,0,'Données projet'!$E$12+1,1))-AVERAGE(OFFSET($H$3,0,0,'Données projet'!$E$12+1,1))</f>
        <v>639.80378676828764</v>
      </c>
      <c r="CE82" s="59">
        <f t="shared" si="94"/>
        <v>294.03328334345281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31.682504507630018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31.682504507630018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2.8</v>
      </c>
      <c r="CT82" s="12">
        <f>IF('Données projet'!$A$140&gt;35,CT81+CS82-DB81,IF(A82&lt;'Données projet'!$A$140,$CQ$205^A82,IF(A82='Données projet'!$A$140,'Données projet'!$B$140,CT81+CS82-DB81)))</f>
        <v>272.19999999999982</v>
      </c>
      <c r="CU82" s="17">
        <f>CT82*VLOOKUP('Données projet'!$B$13,Paramètres!$A$1:$I$89,3,0)*VLOOKUP('Données projet'!$B$13,Paramètres!$A$1:$I$89,5,0)</f>
        <v>237.79391999999984</v>
      </c>
      <c r="CV82" s="13">
        <f t="shared" si="95"/>
        <v>57.96462682570845</v>
      </c>
      <c r="CW82" s="20">
        <f t="shared" si="67"/>
        <v>515.11280238810866</v>
      </c>
      <c r="CX82" s="59">
        <f t="shared" si="68"/>
        <v>793.26363699301885</v>
      </c>
      <c r="CY82" s="59">
        <f ca="1">AVERAGE(OFFSET($CX$3,0,0,'Données projet'!$E$13+1,1))-AVERAGE(OFFSET($H$3,0,0,'Données projet'!$E$13+1,1))</f>
        <v>340.64710509454375</v>
      </c>
      <c r="CZ82" s="59">
        <f t="shared" si="96"/>
        <v>329.6409514360613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13.381845574589095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13.381845574589095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8.6770000000000014</v>
      </c>
      <c r="DO82" s="12">
        <f>IF('Données projet'!$A$166&gt;35,DO81+DN82-DW81,IF(A82&lt;'Données projet'!$A$166,$DL$205^A82,IF(A82='Données projet'!$A$166,'Données projet'!$B$166,DO81+DN82-DW81)))</f>
        <v>281.96500000000015</v>
      </c>
      <c r="DP82" s="17">
        <f>DO82*VLOOKUP('Données projet'!$B$14,Paramètres!$A$1:$I$89,3,0)*VLOOKUP('Données projet'!$B$14,Paramètres!$A$1:$I$89,5,0)</f>
        <v>272.71654800000016</v>
      </c>
      <c r="DQ82" s="13">
        <f t="shared" si="97"/>
        <v>65.425453000689586</v>
      </c>
      <c r="DR82" s="20">
        <f t="shared" si="70"/>
        <v>588.93065174286789</v>
      </c>
      <c r="DS82" s="59">
        <f t="shared" si="71"/>
        <v>867.08148634777808</v>
      </c>
      <c r="DT82" s="59">
        <f ca="1">AVERAGE(OFFSET($DS$3,0,0,'Données projet'!$E$14+1,1))-AVERAGE(OFFSET($H$3,0,0,'Données projet'!$E$14+1,1))</f>
        <v>649.03508893149228</v>
      </c>
      <c r="DU82" s="59">
        <f t="shared" si="98"/>
        <v>297.94672581383213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32.201889827427223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32.201889827427223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8.6770000000000014</v>
      </c>
      <c r="EJ82" s="12">
        <f>IF('Données projet'!$A$192&gt;35,EJ81+EI82-ER81,IF(A82&lt;'Données projet'!$A$192,$EG$205^A82,IF(A82='Données projet'!$A$192,'Données projet'!$B$192,EJ81+EI82-ER81)))</f>
        <v>281.96500000000015</v>
      </c>
      <c r="EK82" s="17">
        <f>EJ82*VLOOKUP('Données projet'!$B$15,Paramètres!$A$1:$I$89,3,0)*VLOOKUP('Données projet'!$B$15,Paramètres!$A$1:$I$89,5,0)</f>
        <v>303.50712600000014</v>
      </c>
      <c r="EL82" s="13">
        <f t="shared" si="99"/>
        <v>71.911193721905491</v>
      </c>
      <c r="EM82" s="20">
        <f t="shared" si="73"/>
        <v>653.85357351565222</v>
      </c>
      <c r="EN82" s="59">
        <f t="shared" si="74"/>
        <v>932.0044081205624</v>
      </c>
      <c r="EO82" s="59">
        <f ca="1">AVERAGE(OFFSET($EN$3,0,0,'Données projet'!$E$15+1,1))-AVERAGE(OFFSET($H$3,0,0,'Données projet'!$E$15+1,1))</f>
        <v>713.57333631602273</v>
      </c>
      <c r="EP82" s="59">
        <f t="shared" si="100"/>
        <v>325.30302392555359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35.837587066007707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35.837587066007707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5.6843418860808015E-14</v>
      </c>
      <c r="FF82" s="17">
        <f>FE82*VLOOKUP('Données projet'!$B$16,Paramètres!$A$1:$I$89,3,0)*VLOOKUP('Données projet'!$B$16,Paramètres!$A$1:$I$89,5,0)</f>
        <v>4.4337866711430253E-14</v>
      </c>
      <c r="FG82" s="13">
        <f t="shared" si="101"/>
        <v>7.3222115536967035E-13</v>
      </c>
      <c r="FH82" s="20">
        <f t="shared" si="76"/>
        <v>1.3525069634579169E-12</v>
      </c>
      <c r="FI82" s="59">
        <f t="shared" si="77"/>
        <v>278.15083460491155</v>
      </c>
      <c r="FJ82" s="59">
        <f ca="1">AVERAGE(OFFSET($FI$3,0,0,'Données projet'!$E$16+1,1))-AVERAGE(OFFSET($H$3,0,0,'Données projet'!$E$16+1,1))</f>
        <v>302.04287561738482</v>
      </c>
      <c r="FK82" s="59">
        <f t="shared" si="102"/>
        <v>296.09828774694802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84.65581325216607</v>
      </c>
      <c r="FR82" s="21">
        <f>EXP(-LN(2)/25)*FR81+(1-EXP(-LN(2)/25))/(LN(2)/25)*Calculateur!FM82*Calculateur!FO82*VLOOKUP('Données projet'!$B$16,Paramètres!$A$1:$I$89,3,0)*0.475*44/12</f>
        <v>38.578131973736504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123.23394522590257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8.2100000000000009</v>
      </c>
      <c r="FZ82" s="12">
        <f>IF('Données projet'!$A$244&gt;35,FZ81+FY82-GH81,IF(A82&lt;'Données projet'!$A$244,$FW$205^A82,IF(A82='Données projet'!$A$244,'Données projet'!$B$244,FZ81+FY82-GH81)))</f>
        <v>235.83000000000018</v>
      </c>
      <c r="GA82" s="17">
        <f>FZ82*VLOOKUP('Données projet'!$B$17,Paramètres!$A$1:$I$89,3,0)*VLOOKUP('Données projet'!$B$17,Paramètres!$A$1:$I$89,5,0)</f>
        <v>198.66319200000018</v>
      </c>
      <c r="GB82" s="13">
        <f t="shared" si="103"/>
        <v>49.450263215298527</v>
      </c>
      <c r="GC82" s="20">
        <f t="shared" si="79"/>
        <v>432.13093449997854</v>
      </c>
      <c r="GD82" s="59">
        <f t="shared" si="80"/>
        <v>710.28176910488878</v>
      </c>
      <c r="GE82" s="59">
        <f ca="1">AVERAGE(OFFSET($GD$3,0,0,'Données projet'!$E$17+1,1))-AVERAGE(OFFSET($H$3,0,0,'Données projet'!$E$17+1,1))</f>
        <v>385.41819366740276</v>
      </c>
      <c r="GF82" s="59">
        <f t="shared" si="104"/>
        <v>262.4625391252718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24.235841830510065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24.235841830510065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65.859318528611865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3.3000000000000003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12.100000000000001</v>
      </c>
      <c r="H83" s="67">
        <f t="shared" si="56"/>
        <v>208.26666666666665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8.6770000000000014</v>
      </c>
      <c r="N83" s="13">
        <f>IF('Données projet'!$A$36&gt;35,N82+M83-V82,IF(A83&lt;'Données projet'!$A$36,$K$205^A83,IF(A83='Données projet'!$A$36,'Données projet'!$B$36,N82+M83-V82)))</f>
        <v>290.64200000000017</v>
      </c>
      <c r="O83" s="13">
        <f>N83*VLOOKUP('Données projet'!$B$9,Paramètres!$A$1:$I$89,3,0)*VLOOKUP('Données projet'!$B$9,Paramètres!$A$1:$I$89,5,0)</f>
        <v>262.97288160000016</v>
      </c>
      <c r="P83" s="13">
        <f t="shared" si="87"/>
        <v>63.355656254051972</v>
      </c>
      <c r="Q83" s="20">
        <f t="shared" si="54"/>
        <v>568.35553676247412</v>
      </c>
      <c r="R83" s="59">
        <f t="shared" si="55"/>
        <v>846.76975377734027</v>
      </c>
      <c r="S83" s="59">
        <f ca="1">AVERAGE(OFFSET($R$3,0,0,'Données projet'!$E$9+1,1))-AVERAGE(OFFSET($H$3,0,0,'Données projet'!$E$9+1,1))</f>
        <v>612.09138396952153</v>
      </c>
      <c r="T83" s="59">
        <f t="shared" si="88"/>
        <v>282.284310393542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29.533628447245746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29.533628447245746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294.71098800000021</v>
      </c>
      <c r="AK83" s="13">
        <f t="shared" si="89"/>
        <v>70.066538188752801</v>
      </c>
      <c r="AL83" s="20">
        <f t="shared" si="58"/>
        <v>635.3208581120781</v>
      </c>
      <c r="AM83" s="59">
        <f t="shared" si="59"/>
        <v>913.73507512694425</v>
      </c>
      <c r="AN83" s="59">
        <f ca="1">AVERAGE(OFFSET($AM$3,0,0,'Données projet'!$E$10+1,1))-AVERAGE(OFFSET($H$3,0,0,'Données projet'!$E$10+1,1))</f>
        <v>676.7112666359476</v>
      </c>
      <c r="AO83" s="59">
        <f t="shared" si="90"/>
        <v>309.67876644201385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33.098031880534023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33.098031880534023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290.17697280000016</v>
      </c>
      <c r="BF83" s="13">
        <f t="shared" si="91"/>
        <v>69.113206695056178</v>
      </c>
      <c r="BG83" s="20">
        <f t="shared" si="61"/>
        <v>625.7637292872231</v>
      </c>
      <c r="BH83" s="59">
        <f t="shared" si="62"/>
        <v>904.17794630208925</v>
      </c>
      <c r="BI83" s="59">
        <f ca="1">AVERAGE(OFFSET($BH$3,0,0,'Données projet'!$E$11+1,1))-AVERAGE(OFFSET($H$3,0,0,'Données projet'!$E$11+1,1))</f>
        <v>667.4887768032404</v>
      </c>
      <c r="BJ83" s="59">
        <f t="shared" si="92"/>
        <v>305.76944302827178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32.588831390064279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32.588831390064279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276.57492720000016</v>
      </c>
      <c r="CA83" s="13">
        <f t="shared" si="93"/>
        <v>66.242674874712534</v>
      </c>
      <c r="CB83" s="20">
        <f t="shared" si="64"/>
        <v>597.07399028012458</v>
      </c>
      <c r="CC83" s="59">
        <f t="shared" si="65"/>
        <v>875.48820729499073</v>
      </c>
      <c r="CD83" s="59">
        <f ca="1">AVERAGE(OFFSET($CC$3,0,0,'Données projet'!$E$12+1,1))-AVERAGE(OFFSET($H$3,0,0,'Données projet'!$E$12+1,1))</f>
        <v>639.80378676828764</v>
      </c>
      <c r="CE83" s="59">
        <f t="shared" si="94"/>
        <v>294.03328334345281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31.061229918655016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31.061229918655016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275</v>
      </c>
      <c r="CR83" s="12">
        <f>VLOOKUP(A83,'Données projet'!$A$139:$I$159,9,0)</f>
        <v>2.8</v>
      </c>
      <c r="CS83" s="12">
        <f t="array" ref="CS83">INDEX(CR:CR,MIN(IF(ISNUMBER(CR83:CR279),ROW(CR83:CR279),"")))</f>
        <v>2.8</v>
      </c>
      <c r="CT83" s="12">
        <f>IF('Données projet'!$A$140&gt;35,CT82+CS83-DB82,IF(A83&lt;'Données projet'!$A$140,$CQ$205^A83,IF(A83='Données projet'!$A$140,'Données projet'!$B$140,CT82+CS83-DB82)))</f>
        <v>274.99999999999983</v>
      </c>
      <c r="CU83" s="17">
        <f>CT83*VLOOKUP('Données projet'!$B$13,Paramètres!$A$1:$I$89,3,0)*VLOOKUP('Données projet'!$B$13,Paramètres!$A$1:$I$89,5,0)</f>
        <v>240.23999999999987</v>
      </c>
      <c r="CV83" s="13">
        <f t="shared" si="95"/>
        <v>58.491164647183084</v>
      </c>
      <c r="CW83" s="20">
        <f t="shared" si="67"/>
        <v>520.29011176051029</v>
      </c>
      <c r="CX83" s="59">
        <f t="shared" si="68"/>
        <v>798.70432877537644</v>
      </c>
      <c r="CY83" s="59">
        <f ca="1">AVERAGE(OFFSET($CX$3,0,0,'Données projet'!$E$13+1,1))-AVERAGE(OFFSET($H$3,0,0,'Données projet'!$E$13+1,1))</f>
        <v>340.64710509454375</v>
      </c>
      <c r="CZ83" s="59">
        <f t="shared" si="96"/>
        <v>329.6409514360613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275</v>
      </c>
      <c r="DC83" s="16">
        <f>IF(ISNA(VLOOKUP(A83,'Données projet'!$A$139:$I$159,5,0)),0%,VLOOKUP(A83,'Données projet'!$A$139:$I$159,5,0)*VLOOKUP('Données projet'!$B$13,Paramètres!$A$1:$I$89,7,0))</f>
        <v>0.318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97.573304610311993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97.573304610311993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8.6770000000000014</v>
      </c>
      <c r="DO83" s="12">
        <f>IF('Données projet'!$A$166&gt;35,DO82+DN83-DW82,IF(A83&lt;'Données projet'!$A$166,$DL$205^A83,IF(A83='Données projet'!$A$166,'Données projet'!$B$166,DO82+DN83-DW82)))</f>
        <v>290.64200000000017</v>
      </c>
      <c r="DP83" s="17">
        <f>DO83*VLOOKUP('Données projet'!$B$14,Paramètres!$A$1:$I$89,3,0)*VLOOKUP('Données projet'!$B$14,Paramètres!$A$1:$I$89,5,0)</f>
        <v>281.10894240000016</v>
      </c>
      <c r="DQ83" s="13">
        <f t="shared" si="97"/>
        <v>67.20130634962284</v>
      </c>
      <c r="DR83" s="20">
        <f t="shared" si="70"/>
        <v>606.64034990559333</v>
      </c>
      <c r="DS83" s="59">
        <f t="shared" si="71"/>
        <v>885.05456692045948</v>
      </c>
      <c r="DT83" s="59">
        <f ca="1">AVERAGE(OFFSET($DS$3,0,0,'Données projet'!$E$14+1,1))-AVERAGE(OFFSET($H$3,0,0,'Données projet'!$E$14+1,1))</f>
        <v>649.03508893149228</v>
      </c>
      <c r="DU83" s="59">
        <f t="shared" si="98"/>
        <v>297.94672581383213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31.570430409124761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31.570430409124761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8.6770000000000014</v>
      </c>
      <c r="EJ83" s="12">
        <f>IF('Données projet'!$A$192&gt;35,EJ82+EI83-ER82,IF(A83&lt;'Données projet'!$A$192,$EG$205^A83,IF(A83='Données projet'!$A$192,'Données projet'!$B$192,EJ82+EI83-ER82)))</f>
        <v>290.64200000000017</v>
      </c>
      <c r="EK83" s="17">
        <f>EJ83*VLOOKUP('Données projet'!$B$15,Paramètres!$A$1:$I$89,3,0)*VLOOKUP('Données projet'!$B$15,Paramètres!$A$1:$I$89,5,0)</f>
        <v>312.84704880000015</v>
      </c>
      <c r="EL83" s="13">
        <f t="shared" si="99"/>
        <v>73.863090550124298</v>
      </c>
      <c r="EM83" s="20">
        <f t="shared" si="73"/>
        <v>673.52015936813336</v>
      </c>
      <c r="EN83" s="59">
        <f t="shared" si="74"/>
        <v>951.93437638299952</v>
      </c>
      <c r="EO83" s="59">
        <f ca="1">AVERAGE(OFFSET($EN$3,0,0,'Données projet'!$E$15+1,1))-AVERAGE(OFFSET($H$3,0,0,'Données projet'!$E$15+1,1))</f>
        <v>713.57333631602273</v>
      </c>
      <c r="EP83" s="59">
        <f t="shared" si="100"/>
        <v>325.30302392555359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35.13483384241303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35.13483384241303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5.6843418860808015E-14</v>
      </c>
      <c r="FF83" s="17">
        <f>FE83*VLOOKUP('Données projet'!$B$16,Paramètres!$A$1:$I$89,3,0)*VLOOKUP('Données projet'!$B$16,Paramètres!$A$1:$I$89,5,0)</f>
        <v>4.4337866711430253E-14</v>
      </c>
      <c r="FG83" s="13">
        <f t="shared" si="101"/>
        <v>7.3222115536967035E-13</v>
      </c>
      <c r="FH83" s="20">
        <f t="shared" si="76"/>
        <v>1.3525069634579169E-12</v>
      </c>
      <c r="FI83" s="59">
        <f t="shared" si="77"/>
        <v>278.41421701486752</v>
      </c>
      <c r="FJ83" s="59">
        <f ca="1">AVERAGE(OFFSET($FI$3,0,0,'Données projet'!$E$16+1,1))-AVERAGE(OFFSET($H$3,0,0,'Données projet'!$E$16+1,1))</f>
        <v>302.04287561738482</v>
      </c>
      <c r="FK83" s="59">
        <f t="shared" si="102"/>
        <v>296.09828774694802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82.995764389238644</v>
      </c>
      <c r="FR83" s="21">
        <f>EXP(-LN(2)/25)*FR82+(1-EXP(-LN(2)/25))/(LN(2)/25)*Calculateur!FM83*Calculateur!FO83*VLOOKUP('Données projet'!$B$16,Paramètres!$A$1:$I$89,3,0)*0.475*44/12</f>
        <v>37.523210926178891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120.51897531541753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8.2100000000000009</v>
      </c>
      <c r="FZ83" s="12">
        <f>IF('Données projet'!$A$244&gt;35,FZ82+FY83-GH82,IF(A83&lt;'Données projet'!$A$244,$FW$205^A83,IF(A83='Données projet'!$A$244,'Données projet'!$B$244,FZ82+FY83-GH82)))</f>
        <v>244.04000000000019</v>
      </c>
      <c r="GA83" s="17">
        <f>FZ83*VLOOKUP('Données projet'!$B$17,Paramètres!$A$1:$I$89,3,0)*VLOOKUP('Données projet'!$B$17,Paramètres!$A$1:$I$89,5,0)</f>
        <v>205.57929600000017</v>
      </c>
      <c r="GB83" s="13">
        <f t="shared" si="103"/>
        <v>50.968357720865512</v>
      </c>
      <c r="GC83" s="20">
        <f t="shared" si="79"/>
        <v>446.82049689717434</v>
      </c>
      <c r="GD83" s="59">
        <f t="shared" si="80"/>
        <v>725.23471391204043</v>
      </c>
      <c r="GE83" s="59">
        <f ca="1">AVERAGE(OFFSET($GD$3,0,0,'Données projet'!$E$17+1,1))-AVERAGE(OFFSET($H$3,0,0,'Données projet'!$E$17+1,1))</f>
        <v>385.41819366740276</v>
      </c>
      <c r="GF83" s="59">
        <f t="shared" si="104"/>
        <v>262.4625391252718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23.760591754617639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23.760591754617639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65.931150094963499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3.3000000000000003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12.100000000000001</v>
      </c>
      <c r="H84" s="67">
        <f t="shared" si="56"/>
        <v>208.26666666666665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8.6770000000000014</v>
      </c>
      <c r="N84" s="13">
        <f>IF('Données projet'!$A$36&gt;35,N83+M84-V83,IF(A84&lt;'Données projet'!$A$36,$K$205^A84,IF(A84='Données projet'!$A$36,'Données projet'!$B$36,N83+M84-V83)))</f>
        <v>299.31900000000019</v>
      </c>
      <c r="O84" s="13">
        <f>N84*VLOOKUP('Données projet'!$B$9,Paramètres!$A$1:$I$89,3,0)*VLOOKUP('Données projet'!$B$9,Paramètres!$A$1:$I$89,5,0)</f>
        <v>270.8238312000002</v>
      </c>
      <c r="P84" s="13">
        <f t="shared" si="87"/>
        <v>65.024076047844915</v>
      </c>
      <c r="Q84" s="20">
        <f t="shared" si="54"/>
        <v>584.93510512333023</v>
      </c>
      <c r="R84" s="59">
        <f t="shared" si="55"/>
        <v>863.60813545217457</v>
      </c>
      <c r="S84" s="59">
        <f ca="1">AVERAGE(OFFSET($R$3,0,0,'Données projet'!$E$9+1,1))-AVERAGE(OFFSET($H$3,0,0,'Données projet'!$E$9+1,1))</f>
        <v>612.09138396952153</v>
      </c>
      <c r="T84" s="59">
        <f t="shared" si="88"/>
        <v>282.284310393542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28.9544920071299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28.9544920071299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303.5094660000002</v>
      </c>
      <c r="AK84" s="13">
        <f t="shared" si="89"/>
        <v>71.911683612358004</v>
      </c>
      <c r="AL84" s="20">
        <f t="shared" si="58"/>
        <v>653.85850224152387</v>
      </c>
      <c r="AM84" s="59">
        <f t="shared" si="59"/>
        <v>932.5315325703682</v>
      </c>
      <c r="AN84" s="59">
        <f ca="1">AVERAGE(OFFSET($AM$3,0,0,'Données projet'!$E$10+1,1))-AVERAGE(OFFSET($H$3,0,0,'Données projet'!$E$10+1,1))</f>
        <v>676.7112666359476</v>
      </c>
      <c r="AO84" s="59">
        <f t="shared" si="90"/>
        <v>309.67876644201385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32.448999663162816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32.448999663162816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298.84008960000023</v>
      </c>
      <c r="BF84" s="13">
        <f t="shared" si="91"/>
        <v>70.933246907411473</v>
      </c>
      <c r="BG84" s="20">
        <f t="shared" si="61"/>
        <v>644.02189441707537</v>
      </c>
      <c r="BH84" s="59">
        <f t="shared" si="62"/>
        <v>922.69492474591971</v>
      </c>
      <c r="BI84" s="59">
        <f ca="1">AVERAGE(OFFSET($BH$3,0,0,'Données projet'!$E$11+1,1))-AVERAGE(OFFSET($H$3,0,0,'Données projet'!$E$11+1,1))</f>
        <v>667.4887768032404</v>
      </c>
      <c r="BJ84" s="59">
        <f t="shared" si="92"/>
        <v>305.76944302827178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31.949784283729553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31.949784283729553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284.83196040000018</v>
      </c>
      <c r="CA84" s="13">
        <f t="shared" si="93"/>
        <v>67.987121961040245</v>
      </c>
      <c r="CB84" s="20">
        <f t="shared" si="64"/>
        <v>614.49323511214538</v>
      </c>
      <c r="CC84" s="59">
        <f t="shared" si="65"/>
        <v>893.16626544098972</v>
      </c>
      <c r="CD84" s="59">
        <f ca="1">AVERAGE(OFFSET($CC$3,0,0,'Données projet'!$E$12+1,1))-AVERAGE(OFFSET($H$3,0,0,'Données projet'!$E$12+1,1))</f>
        <v>639.80378676828764</v>
      </c>
      <c r="CE84" s="59">
        <f t="shared" si="94"/>
        <v>294.03328334345281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30.452138145429732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30.452138145429732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-1.7053025658242404E-13</v>
      </c>
      <c r="CU84" s="17">
        <f>CT84*VLOOKUP('Données projet'!$B$13,Paramètres!$A$1:$I$89,3,0)*VLOOKUP('Données projet'!$B$13,Paramètres!$A$1:$I$89,5,0)</f>
        <v>-1.4897523215040567E-13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340.64710509454375</v>
      </c>
      <c r="CZ84" s="59">
        <f t="shared" si="96"/>
        <v>329.6409514360613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95.659951620743087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95.659951620743087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8.6770000000000014</v>
      </c>
      <c r="DO84" s="12">
        <f>IF('Données projet'!$A$166&gt;35,DO83+DN84-DW83,IF(A84&lt;'Données projet'!$A$166,$DL$205^A84,IF(A84='Données projet'!$A$166,'Données projet'!$B$166,DO83+DN84-DW83)))</f>
        <v>299.31900000000019</v>
      </c>
      <c r="DP84" s="17">
        <f>DO84*VLOOKUP('Données projet'!$B$14,Paramètres!$A$1:$I$89,3,0)*VLOOKUP('Données projet'!$B$14,Paramètres!$A$1:$I$89,5,0)</f>
        <v>289.50133680000016</v>
      </c>
      <c r="DQ84" s="13">
        <f t="shared" si="97"/>
        <v>68.970998217904651</v>
      </c>
      <c r="DR84" s="20">
        <f t="shared" si="70"/>
        <v>624.33931682285095</v>
      </c>
      <c r="DS84" s="59">
        <f t="shared" si="71"/>
        <v>903.01234715169517</v>
      </c>
      <c r="DT84" s="59">
        <f ca="1">AVERAGE(OFFSET($DS$3,0,0,'Données projet'!$E$14+1,1))-AVERAGE(OFFSET($H$3,0,0,'Données projet'!$E$14+1,1))</f>
        <v>649.03508893149228</v>
      </c>
      <c r="DU84" s="59">
        <f t="shared" si="98"/>
        <v>297.94672581383213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30.951353524862995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30.951353524862995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8.6770000000000014</v>
      </c>
      <c r="EJ84" s="12">
        <f>IF('Données projet'!$A$192&gt;35,EJ83+EI84-ER83,IF(A84&lt;'Données projet'!$A$192,$EG$205^A84,IF(A84='Données projet'!$A$192,'Données projet'!$B$192,EJ83+EI84-ER83)))</f>
        <v>299.31900000000019</v>
      </c>
      <c r="EK84" s="17">
        <f>EJ84*VLOOKUP('Données projet'!$B$15,Paramètres!$A$1:$I$89,3,0)*VLOOKUP('Données projet'!$B$15,Paramètres!$A$1:$I$89,5,0)</f>
        <v>322.18697160000022</v>
      </c>
      <c r="EL84" s="13">
        <f t="shared" si="99"/>
        <v>75.808215099231475</v>
      </c>
      <c r="EM84" s="20">
        <f t="shared" si="73"/>
        <v>693.17495016782834</v>
      </c>
      <c r="EN84" s="59">
        <f t="shared" si="74"/>
        <v>971.84798049667256</v>
      </c>
      <c r="EO84" s="59">
        <f ca="1">AVERAGE(OFFSET($EN$3,0,0,'Données projet'!$E$15+1,1))-AVERAGE(OFFSET($H$3,0,0,'Données projet'!$E$15+1,1))</f>
        <v>713.57333631602273</v>
      </c>
      <c r="EP84" s="59">
        <f t="shared" si="100"/>
        <v>325.30302392555359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34.445861180895903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34.445861180895903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5.6843418860808015E-14</v>
      </c>
      <c r="FF84" s="17">
        <f>FE84*VLOOKUP('Données projet'!$B$16,Paramètres!$A$1:$I$89,3,0)*VLOOKUP('Données projet'!$B$16,Paramètres!$A$1:$I$89,5,0)</f>
        <v>4.4337866711430253E-14</v>
      </c>
      <c r="FG84" s="13">
        <f t="shared" si="101"/>
        <v>7.3222115536967035E-13</v>
      </c>
      <c r="FH84" s="20">
        <f t="shared" si="76"/>
        <v>1.3525069634579169E-12</v>
      </c>
      <c r="FI84" s="59">
        <f t="shared" si="77"/>
        <v>278.67303032884564</v>
      </c>
      <c r="FJ84" s="59">
        <f ca="1">AVERAGE(OFFSET($FI$3,0,0,'Données projet'!$E$16+1,1))-AVERAGE(OFFSET($H$3,0,0,'Données projet'!$E$16+1,1))</f>
        <v>302.04287561738482</v>
      </c>
      <c r="FK84" s="59">
        <f t="shared" si="102"/>
        <v>296.09828774694802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81.368268071983408</v>
      </c>
      <c r="FR84" s="21">
        <f>EXP(-LN(2)/25)*FR83+(1-EXP(-LN(2)/25))/(LN(2)/25)*Calculateur!FM84*Calculateur!FO84*VLOOKUP('Données projet'!$B$16,Paramètres!$A$1:$I$89,3,0)*0.475*44/12</f>
        <v>36.49713675014263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117.86540482212604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8.2100000000000009</v>
      </c>
      <c r="FZ84" s="12">
        <f>IF('Données projet'!$A$244&gt;35,FZ83+FY84-GH83,IF(A84&lt;'Données projet'!$A$244,$FW$205^A84,IF(A84='Données projet'!$A$244,'Données projet'!$B$244,FZ83+FY84-GH83)))</f>
        <v>252.2500000000002</v>
      </c>
      <c r="GA84" s="17">
        <f>FZ84*VLOOKUP('Données projet'!$B$17,Paramètres!$A$1:$I$89,3,0)*VLOOKUP('Données projet'!$B$17,Paramètres!$A$1:$I$89,5,0)</f>
        <v>212.49540000000019</v>
      </c>
      <c r="GB84" s="13">
        <f t="shared" si="103"/>
        <v>52.480517913758362</v>
      </c>
      <c r="GC84" s="20">
        <f t="shared" si="79"/>
        <v>461.49972369979611</v>
      </c>
      <c r="GD84" s="59">
        <f t="shared" si="80"/>
        <v>740.17275402864038</v>
      </c>
      <c r="GE84" s="59">
        <f ca="1">AVERAGE(OFFSET($GD$3,0,0,'Données projet'!$E$17+1,1))-AVERAGE(OFFSET($H$3,0,0,'Données projet'!$E$17+1,1))</f>
        <v>385.41819366740276</v>
      </c>
      <c r="GF84" s="59">
        <f t="shared" si="104"/>
        <v>262.4625391252718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23.29466104283954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23.29466104283954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66.001735544230257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3.3000000000000003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12.100000000000001</v>
      </c>
      <c r="H85" s="67">
        <f t="shared" si="56"/>
        <v>208.26666666666665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8.6770000000000014</v>
      </c>
      <c r="N85" s="13">
        <f>IF('Données projet'!$A$36&gt;35,N84+M85-V84,IF(A85&lt;'Données projet'!$A$36,$K$205^A85,IF(A85='Données projet'!$A$36,'Données projet'!$B$36,N84+M85-V84)))</f>
        <v>307.99600000000021</v>
      </c>
      <c r="O85" s="13">
        <f>N85*VLOOKUP('Données projet'!$B$9,Paramètres!$A$1:$I$89,3,0)*VLOOKUP('Données projet'!$B$9,Paramètres!$A$1:$I$89,5,0)</f>
        <v>278.67478080000018</v>
      </c>
      <c r="P85" s="13">
        <f t="shared" si="87"/>
        <v>66.686874688958113</v>
      </c>
      <c r="Q85" s="20">
        <f t="shared" si="54"/>
        <v>601.50488330993562</v>
      </c>
      <c r="R85" s="59">
        <f t="shared" si="55"/>
        <v>880.43223712038048</v>
      </c>
      <c r="S85" s="59">
        <f ca="1">AVERAGE(OFFSET($R$3,0,0,'Données projet'!$E$9+1,1))-AVERAGE(OFFSET($H$3,0,0,'Données projet'!$E$9+1,1))</f>
        <v>612.09138396952153</v>
      </c>
      <c r="T85" s="59">
        <f t="shared" si="88"/>
        <v>282.284310393542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28.386712079366379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28.386712079366379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312.30794400000019</v>
      </c>
      <c r="AK85" s="13">
        <f t="shared" si="89"/>
        <v>73.750612468537497</v>
      </c>
      <c r="AL85" s="20">
        <f t="shared" si="58"/>
        <v>672.38531918270314</v>
      </c>
      <c r="AM85" s="59">
        <f t="shared" si="59"/>
        <v>951.312672993148</v>
      </c>
      <c r="AN85" s="59">
        <f ca="1">AVERAGE(OFFSET($AM$3,0,0,'Données projet'!$E$10+1,1))-AVERAGE(OFFSET($H$3,0,0,'Données projet'!$E$10+1,1))</f>
        <v>676.7112666359476</v>
      </c>
      <c r="AO85" s="59">
        <f t="shared" si="90"/>
        <v>309.67876644201385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31.812694571703695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31.812694571703695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307.50320640000024</v>
      </c>
      <c r="BF85" s="13">
        <f t="shared" si="91"/>
        <v>72.747155135505409</v>
      </c>
      <c r="BG85" s="20">
        <f t="shared" si="61"/>
        <v>662.26937967433901</v>
      </c>
      <c r="BH85" s="59">
        <f t="shared" si="62"/>
        <v>941.19673348478386</v>
      </c>
      <c r="BI85" s="59">
        <f ca="1">AVERAGE(OFFSET($BH$3,0,0,'Données projet'!$E$11+1,1))-AVERAGE(OFFSET($H$3,0,0,'Données projet'!$E$11+1,1))</f>
        <v>667.4887768032404</v>
      </c>
      <c r="BJ85" s="59">
        <f t="shared" si="92"/>
        <v>305.76944302827178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31.323268501369803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31.323268501369803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293.08899360000021</v>
      </c>
      <c r="CA85" s="13">
        <f t="shared" si="93"/>
        <v>69.725691747511789</v>
      </c>
      <c r="CB85" s="20">
        <f t="shared" si="64"/>
        <v>631.90224364691676</v>
      </c>
      <c r="CC85" s="59">
        <f t="shared" si="65"/>
        <v>910.82959745736161</v>
      </c>
      <c r="CD85" s="59">
        <f ca="1">AVERAGE(OFFSET($CC$3,0,0,'Données projet'!$E$12+1,1))-AVERAGE(OFFSET($H$3,0,0,'Données projet'!$E$12+1,1))</f>
        <v>639.80378676828764</v>
      </c>
      <c r="CE85" s="59">
        <f t="shared" si="94"/>
        <v>294.03328334345281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29.854990290368097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29.854990290368097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-1.7053025658242404E-13</v>
      </c>
      <c r="CU85" s="17">
        <f>CT85*VLOOKUP('Données projet'!$B$13,Paramètres!$A$1:$I$89,3,0)*VLOOKUP('Données projet'!$B$13,Paramètres!$A$1:$I$89,5,0)</f>
        <v>-1.4897523215040567E-13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340.64710509454375</v>
      </c>
      <c r="CZ85" s="59">
        <f t="shared" si="96"/>
        <v>329.6409514360613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93.784118316269542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93.784118316269542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8.6770000000000014</v>
      </c>
      <c r="DO85" s="12">
        <f>IF('Données projet'!$A$166&gt;35,DO84+DN85-DW84,IF(A85&lt;'Données projet'!$A$166,$DL$205^A85,IF(A85='Données projet'!$A$166,'Données projet'!$B$166,DO84+DN85-DW84)))</f>
        <v>307.99600000000021</v>
      </c>
      <c r="DP85" s="17">
        <f>DO85*VLOOKUP('Données projet'!$B$14,Paramètres!$A$1:$I$89,3,0)*VLOOKUP('Données projet'!$B$14,Paramètres!$A$1:$I$89,5,0)</f>
        <v>297.89373120000022</v>
      </c>
      <c r="DQ85" s="13">
        <f t="shared" si="97"/>
        <v>70.734727732931788</v>
      </c>
      <c r="DR85" s="20">
        <f t="shared" si="70"/>
        <v>642.02789930818994</v>
      </c>
      <c r="DS85" s="59">
        <f t="shared" si="71"/>
        <v>920.9552531186348</v>
      </c>
      <c r="DT85" s="59">
        <f ca="1">AVERAGE(OFFSET($DS$3,0,0,'Données projet'!$E$14+1,1))-AVERAGE(OFFSET($H$3,0,0,'Données projet'!$E$14+1,1))</f>
        <v>649.03508893149228</v>
      </c>
      <c r="DU85" s="59">
        <f t="shared" si="98"/>
        <v>297.94672581383213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30.344416360701988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30.344416360701988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8.6770000000000014</v>
      </c>
      <c r="EJ85" s="12">
        <f>IF('Données projet'!$A$192&gt;35,EJ84+EI85-ER84,IF(A85&lt;'Données projet'!$A$192,$EG$205^A85,IF(A85='Données projet'!$A$192,'Données projet'!$B$192,EJ84+EI85-ER84)))</f>
        <v>307.99600000000021</v>
      </c>
      <c r="EK85" s="17">
        <f>EJ85*VLOOKUP('Données projet'!$B$15,Paramètres!$A$1:$I$89,3,0)*VLOOKUP('Données projet'!$B$15,Paramètres!$A$1:$I$89,5,0)</f>
        <v>331.52689440000023</v>
      </c>
      <c r="EL85" s="13">
        <f t="shared" si="99"/>
        <v>77.746786236474065</v>
      </c>
      <c r="EM85" s="20">
        <f t="shared" si="73"/>
        <v>712.81832710852598</v>
      </c>
      <c r="EN85" s="59">
        <f t="shared" si="74"/>
        <v>991.74568091897072</v>
      </c>
      <c r="EO85" s="59">
        <f ca="1">AVERAGE(OFFSET($EN$3,0,0,'Données projet'!$E$15+1,1))-AVERAGE(OFFSET($H$3,0,0,'Données projet'!$E$15+1,1))</f>
        <v>713.57333631602273</v>
      </c>
      <c r="EP85" s="59">
        <f t="shared" si="100"/>
        <v>325.30302392555359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33.770398853039296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33.770398853039296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5.6843418860808015E-14</v>
      </c>
      <c r="FF85" s="17">
        <f>FE85*VLOOKUP('Données projet'!$B$16,Paramètres!$A$1:$I$89,3,0)*VLOOKUP('Données projet'!$B$16,Paramètres!$A$1:$I$89,5,0)</f>
        <v>4.4337866711430253E-14</v>
      </c>
      <c r="FG85" s="13">
        <f t="shared" si="101"/>
        <v>7.3222115536967035E-13</v>
      </c>
      <c r="FH85" s="20">
        <f t="shared" si="76"/>
        <v>1.3525069634579169E-12</v>
      </c>
      <c r="FI85" s="59">
        <f t="shared" si="77"/>
        <v>278.92735381044616</v>
      </c>
      <c r="FJ85" s="59">
        <f ca="1">AVERAGE(OFFSET($FI$3,0,0,'Données projet'!$E$16+1,1))-AVERAGE(OFFSET($H$3,0,0,'Données projet'!$E$16+1,1))</f>
        <v>302.04287561738482</v>
      </c>
      <c r="FK85" s="59">
        <f t="shared" si="102"/>
        <v>296.09828774694802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79.772685964834807</v>
      </c>
      <c r="FR85" s="21">
        <f>EXP(-LN(2)/25)*FR84+(1-EXP(-LN(2)/25))/(LN(2)/25)*Calculateur!FM85*Calculateur!FO85*VLOOKUP('Données projet'!$B$16,Paramètres!$A$1:$I$89,3,0)*0.475*44/12</f>
        <v>35.499120626408974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115.27180659124377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8.2100000000000009</v>
      </c>
      <c r="FZ85" s="12">
        <f>IF('Données projet'!$A$244&gt;35,FZ84+FY85-GH84,IF(A85&lt;'Données projet'!$A$244,$FW$205^A85,IF(A85='Données projet'!$A$244,'Données projet'!$B$244,FZ84+FY85-GH84)))</f>
        <v>260.46000000000021</v>
      </c>
      <c r="GA85" s="17">
        <f>FZ85*VLOOKUP('Données projet'!$B$17,Paramètres!$A$1:$I$89,3,0)*VLOOKUP('Données projet'!$B$17,Paramètres!$A$1:$I$89,5,0)</f>
        <v>219.41150400000021</v>
      </c>
      <c r="GB85" s="13">
        <f t="shared" si="103"/>
        <v>53.986959089771062</v>
      </c>
      <c r="GC85" s="20">
        <f t="shared" si="79"/>
        <v>476.16898988135159</v>
      </c>
      <c r="GD85" s="59">
        <f t="shared" si="80"/>
        <v>755.09634369179639</v>
      </c>
      <c r="GE85" s="59">
        <f ca="1">AVERAGE(OFFSET($GD$3,0,0,'Données projet'!$E$17+1,1))-AVERAGE(OFFSET($H$3,0,0,'Données projet'!$E$17+1,1))</f>
        <v>385.41819366740276</v>
      </c>
      <c r="GF85" s="59">
        <f t="shared" si="104"/>
        <v>262.4625391252718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22.837866948129736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22.837866948129736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66.071096493757665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3.3000000000000003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12.100000000000001</v>
      </c>
      <c r="H86" s="67">
        <f t="shared" si="56"/>
        <v>208.26666666666665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8.6770000000000014</v>
      </c>
      <c r="N86" s="13">
        <f>IF('Données projet'!$A$36&gt;35,N85+M86-V85,IF(A86&lt;'Données projet'!$A$36,$K$205^A86,IF(A86='Données projet'!$A$36,'Données projet'!$B$36,N85+M86-V85)))</f>
        <v>316.67300000000023</v>
      </c>
      <c r="O86" s="13">
        <f>N86*VLOOKUP('Données projet'!$B$9,Paramètres!$A$1:$I$89,3,0)*VLOOKUP('Données projet'!$B$9,Paramètres!$A$1:$I$89,5,0)</f>
        <v>286.52573040000021</v>
      </c>
      <c r="P86" s="13">
        <f t="shared" si="87"/>
        <v>68.344228730046424</v>
      </c>
      <c r="Q86" s="20">
        <f t="shared" si="54"/>
        <v>618.06517881816455</v>
      </c>
      <c r="R86" s="59">
        <f t="shared" si="55"/>
        <v>897.24244416638612</v>
      </c>
      <c r="S86" s="59">
        <f ca="1">AVERAGE(OFFSET($R$3,0,0,'Données projet'!$E$9+1,1))-AVERAGE(OFFSET($H$3,0,0,'Données projet'!$E$9+1,1))</f>
        <v>612.09138396952153</v>
      </c>
      <c r="T86" s="59">
        <f t="shared" si="88"/>
        <v>282.284310393542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27.830065969674738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27.830065969674738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321.10642200000024</v>
      </c>
      <c r="AK86" s="13">
        <f t="shared" si="89"/>
        <v>75.58352001110228</v>
      </c>
      <c r="AL86" s="20">
        <f t="shared" si="58"/>
        <v>690.90164900267018</v>
      </c>
      <c r="AM86" s="59">
        <f t="shared" si="59"/>
        <v>970.07891435089186</v>
      </c>
      <c r="AN86" s="59">
        <f ca="1">AVERAGE(OFFSET($AM$3,0,0,'Données projet'!$E$10+1,1))-AVERAGE(OFFSET($H$3,0,0,'Données projet'!$E$10+1,1))</f>
        <v>676.7112666359476</v>
      </c>
      <c r="AO86" s="59">
        <f t="shared" si="90"/>
        <v>309.67876644201385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31.188867034980305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31.188867034980305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316.16632320000025</v>
      </c>
      <c r="BF86" s="13">
        <f t="shared" si="91"/>
        <v>74.555123976508341</v>
      </c>
      <c r="BG86" s="20">
        <f t="shared" si="61"/>
        <v>680.50652049908581</v>
      </c>
      <c r="BH86" s="59">
        <f t="shared" si="62"/>
        <v>959.68378584730749</v>
      </c>
      <c r="BI86" s="59">
        <f ca="1">AVERAGE(OFFSET($BH$3,0,0,'Données projet'!$E$11+1,1))-AVERAGE(OFFSET($H$3,0,0,'Données projet'!$E$11+1,1))</f>
        <v>667.4887768032404</v>
      </c>
      <c r="BJ86" s="59">
        <f t="shared" si="92"/>
        <v>305.76944302827178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30.709038311365234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30.709038311365234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301.34602680000023</v>
      </c>
      <c r="CA86" s="13">
        <f t="shared" si="93"/>
        <v>71.45856883201175</v>
      </c>
      <c r="CB86" s="20">
        <f t="shared" si="64"/>
        <v>649.30133739242081</v>
      </c>
      <c r="CC86" s="59">
        <f t="shared" si="65"/>
        <v>928.47860274064237</v>
      </c>
      <c r="CD86" s="59">
        <f ca="1">AVERAGE(OFFSET($CC$3,0,0,'Données projet'!$E$12+1,1))-AVERAGE(OFFSET($H$3,0,0,'Données projet'!$E$12+1,1))</f>
        <v>639.80378676828764</v>
      </c>
      <c r="CE86" s="59">
        <f t="shared" si="94"/>
        <v>294.03328334345281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29.269552140519991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29.269552140519991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-1.7053025658242404E-13</v>
      </c>
      <c r="CU86" s="17">
        <f>CT86*VLOOKUP('Données projet'!$B$13,Paramètres!$A$1:$I$89,3,0)*VLOOKUP('Données projet'!$B$13,Paramètres!$A$1:$I$89,5,0)</f>
        <v>-1.4897523215040567E-13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340.64710509454375</v>
      </c>
      <c r="CZ86" s="59">
        <f t="shared" si="96"/>
        <v>329.6409514360613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91.945068958751378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91.945068958751378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8.6770000000000014</v>
      </c>
      <c r="DO86" s="12">
        <f>IF('Données projet'!$A$166&gt;35,DO85+DN86-DW85,IF(A86&lt;'Données projet'!$A$166,$DL$205^A86,IF(A86='Données projet'!$A$166,'Données projet'!$B$166,DO85+DN86-DW85)))</f>
        <v>316.67300000000023</v>
      </c>
      <c r="DP86" s="17">
        <f>DO86*VLOOKUP('Données projet'!$B$14,Paramètres!$A$1:$I$89,3,0)*VLOOKUP('Données projet'!$B$14,Paramètres!$A$1:$I$89,5,0)</f>
        <v>306.28612560000022</v>
      </c>
      <c r="DQ86" s="13">
        <f t="shared" si="97"/>
        <v>72.492682163998609</v>
      </c>
      <c r="DR86" s="20">
        <f t="shared" si="70"/>
        <v>659.70642352229788</v>
      </c>
      <c r="DS86" s="59">
        <f t="shared" si="71"/>
        <v>938.88368887051956</v>
      </c>
      <c r="DT86" s="59">
        <f ca="1">AVERAGE(OFFSET($DS$3,0,0,'Données projet'!$E$14+1,1))-AVERAGE(OFFSET($H$3,0,0,'Données projet'!$E$14+1,1))</f>
        <v>649.03508893149228</v>
      </c>
      <c r="DU86" s="59">
        <f t="shared" si="98"/>
        <v>297.94672581383213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29.749380864135063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29.749380864135063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8.6770000000000014</v>
      </c>
      <c r="EJ86" s="12">
        <f>IF('Données projet'!$A$192&gt;35,EJ85+EI86-ER85,IF(A86&lt;'Données projet'!$A$192,$EG$205^A86,IF(A86='Données projet'!$A$192,'Données projet'!$B$192,EJ85+EI86-ER85)))</f>
        <v>316.67300000000023</v>
      </c>
      <c r="EK86" s="17">
        <f>EJ86*VLOOKUP('Données projet'!$B$15,Paramètres!$A$1:$I$89,3,0)*VLOOKUP('Données projet'!$B$15,Paramètres!$A$1:$I$89,5,0)</f>
        <v>340.86681720000024</v>
      </c>
      <c r="EL86" s="13">
        <f t="shared" si="99"/>
        <v>79.679009795482443</v>
      </c>
      <c r="EM86" s="20">
        <f t="shared" si="73"/>
        <v>732.45064868379905</v>
      </c>
      <c r="EN86" s="59">
        <f t="shared" si="74"/>
        <v>1011.6279140320207</v>
      </c>
      <c r="EO86" s="59">
        <f ca="1">AVERAGE(OFFSET($EN$3,0,0,'Données projet'!$E$15+1,1))-AVERAGE(OFFSET($H$3,0,0,'Données projet'!$E$15+1,1))</f>
        <v>713.57333631602273</v>
      </c>
      <c r="EP86" s="59">
        <f t="shared" si="100"/>
        <v>325.30302392555359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33.108181929440619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33.108181929440619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5.6843418860808015E-14</v>
      </c>
      <c r="FF86" s="17">
        <f>FE86*VLOOKUP('Données projet'!$B$16,Paramètres!$A$1:$I$89,3,0)*VLOOKUP('Données projet'!$B$16,Paramètres!$A$1:$I$89,5,0)</f>
        <v>4.4337866711430253E-14</v>
      </c>
      <c r="FG86" s="13">
        <f t="shared" si="101"/>
        <v>7.3222115536967035E-13</v>
      </c>
      <c r="FH86" s="20">
        <f t="shared" si="76"/>
        <v>1.3525069634579169E-12</v>
      </c>
      <c r="FI86" s="59">
        <f t="shared" si="77"/>
        <v>279.17726534822299</v>
      </c>
      <c r="FJ86" s="59">
        <f ca="1">AVERAGE(OFFSET($FI$3,0,0,'Données projet'!$E$16+1,1))-AVERAGE(OFFSET($H$3,0,0,'Données projet'!$E$16+1,1))</f>
        <v>302.04287561738482</v>
      </c>
      <c r="FK86" s="59">
        <f t="shared" si="102"/>
        <v>296.09828774694802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78.208392249598404</v>
      </c>
      <c r="FR86" s="21">
        <f>EXP(-LN(2)/25)*FR85+(1-EXP(-LN(2)/25))/(LN(2)/25)*Calculateur!FM86*Calculateur!FO86*VLOOKUP('Données projet'!$B$16,Paramètres!$A$1:$I$89,3,0)*0.475*44/12</f>
        <v>34.528395306062201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112.73678755566061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>
        <f>VLOOKUP(A86,'Données projet'!$A$243:$I$263,2,0)</f>
        <v>268.67</v>
      </c>
      <c r="FX86" s="12">
        <f>VLOOKUP(A86,'Données projet'!$A$243:$I$263,9,0)</f>
        <v>8.2100000000000009</v>
      </c>
      <c r="FY86" s="12">
        <f t="array" ref="FY86">INDEX(FX:FX,MIN(IF(ISNUMBER(FX86:FX282),ROW(FX86:FX282),"")))</f>
        <v>8.2100000000000009</v>
      </c>
      <c r="FZ86" s="12">
        <f>IF('Données projet'!$A$244&gt;35,FZ85+FY86-GH85,IF(A86&lt;'Données projet'!$A$244,$FW$205^A86,IF(A86='Données projet'!$A$244,'Données projet'!$B$244,FZ85+FY86-GH85)))</f>
        <v>268.67000000000019</v>
      </c>
      <c r="GA86" s="17">
        <f>FZ86*VLOOKUP('Données projet'!$B$17,Paramètres!$A$1:$I$89,3,0)*VLOOKUP('Données projet'!$B$17,Paramètres!$A$1:$I$89,5,0)</f>
        <v>226.32760800000017</v>
      </c>
      <c r="GB86" s="13">
        <f t="shared" si="103"/>
        <v>55.487882201127306</v>
      </c>
      <c r="GC86" s="20">
        <f t="shared" si="79"/>
        <v>490.8286454336303</v>
      </c>
      <c r="GD86" s="59">
        <f t="shared" si="80"/>
        <v>770.00591078185198</v>
      </c>
      <c r="GE86" s="59">
        <f ca="1">AVERAGE(OFFSET($GD$3,0,0,'Données projet'!$E$17+1,1))-AVERAGE(OFFSET($H$3,0,0,'Données projet'!$E$17+1,1))</f>
        <v>385.41819366740276</v>
      </c>
      <c r="GF86" s="59">
        <f t="shared" si="104"/>
        <v>262.4625391252718</v>
      </c>
      <c r="GG86" s="15">
        <f>IF(ISNA(VLOOKUP(A86,'Données projet'!$A$243:$I$263,3,0)),0,VLOOKUP(A86,'Données projet'!$A$243:$I$263,3,0))</f>
        <v>7</v>
      </c>
      <c r="GH86" s="15">
        <f>IF(ISNA(VLOOKUP(A86,'Données projet'!$A$243:$I$263,4,0)),0,VLOOKUP(A86,'Données projet'!$A$243:$I$263,4,0))</f>
        <v>44.22</v>
      </c>
      <c r="GI86" s="16">
        <f>IF(ISNA(VLOOKUP(A86,'Données projet'!$A$243:$I$263,5,0)),0%,VLOOKUP(A86,'Données projet'!$A$243:$I$263,5,0)*VLOOKUP('Données projet'!$B$17,Paramètres!$A$1:$I$89,7,0))</f>
        <v>0.25800000000000001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33.014418065641877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33.014418065641877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66.139254185878627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3.3000000000000003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12.100000000000001</v>
      </c>
      <c r="H87" s="67">
        <f t="shared" si="56"/>
        <v>208.26666666666665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325.35000000000002</v>
      </c>
      <c r="L87" s="12">
        <f>VLOOKUP(A87,'Données projet'!$A$35:$I$55,9,0)</f>
        <v>8.6770000000000014</v>
      </c>
      <c r="M87" s="12">
        <f t="array" ref="M87">INDEX(L:L,MIN(IF(ISNUMBER(L87:L283),ROW(L87:L283),"")))</f>
        <v>8.6770000000000014</v>
      </c>
      <c r="N87" s="13">
        <f>IF('Données projet'!$A$36&gt;35,N86+M87-V86,IF(A87&lt;'Données projet'!$A$36,$K$205^A87,IF(A87='Données projet'!$A$36,'Données projet'!$B$36,N86+M87-V86)))</f>
        <v>325.35000000000025</v>
      </c>
      <c r="O87" s="13">
        <f>N87*VLOOKUP('Données projet'!$B$9,Paramètres!$A$1:$I$89,3,0)*VLOOKUP('Données projet'!$B$9,Paramètres!$A$1:$I$89,5,0)</f>
        <v>294.37668000000025</v>
      </c>
      <c r="P87" s="13">
        <f t="shared" si="87"/>
        <v>69.99630449784344</v>
      </c>
      <c r="Q87" s="20">
        <f t="shared" si="54"/>
        <v>634.61628133374438</v>
      </c>
      <c r="R87" s="59">
        <f t="shared" si="55"/>
        <v>914.03912281328098</v>
      </c>
      <c r="S87" s="59">
        <f ca="1">AVERAGE(OFFSET($R$3,0,0,'Données projet'!$E$9+1,1))-AVERAGE(OFFSET($H$3,0,0,'Données projet'!$E$9+1,1))</f>
        <v>612.09138396952153</v>
      </c>
      <c r="T87" s="59">
        <f t="shared" si="88"/>
        <v>282.284310393542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0.25800000000000001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43.147236627276406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43.147236627276406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329.90490000000028</v>
      </c>
      <c r="AK87" s="13">
        <f t="shared" si="89"/>
        <v>77.410590184772218</v>
      </c>
      <c r="AL87" s="20">
        <f t="shared" si="58"/>
        <v>709.40781207181215</v>
      </c>
      <c r="AM87" s="59">
        <f t="shared" si="59"/>
        <v>988.83065355134863</v>
      </c>
      <c r="AN87" s="59">
        <f ca="1">AVERAGE(OFFSET($AM$3,0,0,'Données projet'!$E$10+1,1))-AVERAGE(OFFSET($H$3,0,0,'Données projet'!$E$10+1,1))</f>
        <v>676.7112666359476</v>
      </c>
      <c r="AO87" s="59">
        <f t="shared" si="90"/>
        <v>309.67876644201385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48.354661737464937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48.354661737464937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324.82944000000026</v>
      </c>
      <c r="BF87" s="13">
        <f t="shared" si="91"/>
        <v>76.357334872372064</v>
      </c>
      <c r="BG87" s="20">
        <f t="shared" si="61"/>
        <v>698.73363290271516</v>
      </c>
      <c r="BH87" s="59">
        <f t="shared" si="62"/>
        <v>978.15647438225164</v>
      </c>
      <c r="BI87" s="59">
        <f ca="1">AVERAGE(OFFSET($BH$3,0,0,'Données projet'!$E$11+1,1))-AVERAGE(OFFSET($H$3,0,0,'Données projet'!$E$11+1,1))</f>
        <v>667.4887768032404</v>
      </c>
      <c r="BJ87" s="59">
        <f t="shared" si="92"/>
        <v>305.76944302827178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47.610743864580868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47.610743864580868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309.60306000000026</v>
      </c>
      <c r="CA87" s="13">
        <f t="shared" si="93"/>
        <v>73.185927120523928</v>
      </c>
      <c r="CB87" s="20">
        <f t="shared" si="64"/>
        <v>666.69081923491296</v>
      </c>
      <c r="CC87" s="59">
        <f t="shared" si="65"/>
        <v>946.11366071444945</v>
      </c>
      <c r="CD87" s="59">
        <f ca="1">AVERAGE(OFFSET($CC$3,0,0,'Données projet'!$E$12+1,1))-AVERAGE(OFFSET($H$3,0,0,'Données projet'!$E$12+1,1))</f>
        <v>639.80378676828764</v>
      </c>
      <c r="CE87" s="59">
        <f t="shared" si="94"/>
        <v>294.03328334345281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0.25800000000000001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45.378990245928641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45.378990245928641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-1.7053025658242404E-13</v>
      </c>
      <c r="CU87" s="17">
        <f>CT87*VLOOKUP('Données projet'!$B$13,Paramètres!$A$1:$I$89,3,0)*VLOOKUP('Données projet'!$B$13,Paramètres!$A$1:$I$89,5,0)</f>
        <v>-1.4897523215040567E-13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340.64710509454375</v>
      </c>
      <c r="CZ87" s="59">
        <f t="shared" si="96"/>
        <v>329.6409514360613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90.142082237424788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90.142082237424788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325.35000000000002</v>
      </c>
      <c r="DM87" s="12">
        <f>VLOOKUP(A87,'Données projet'!$A$165:$I$185,9,0)</f>
        <v>8.6770000000000014</v>
      </c>
      <c r="DN87" s="12">
        <f t="array" ref="DN87">INDEX(DM:DM,MIN(IF(ISNUMBER(DM87:DM283),ROW(DM87:DM283),"")))</f>
        <v>8.6770000000000014</v>
      </c>
      <c r="DO87" s="12">
        <f>IF('Données projet'!$A$166&gt;35,DO86+DN87-DW86,IF(A87&lt;'Données projet'!$A$166,$DL$205^A87,IF(A87='Données projet'!$A$166,'Données projet'!$B$166,DO86+DN87-DW86)))</f>
        <v>325.35000000000025</v>
      </c>
      <c r="DP87" s="17">
        <f>DO87*VLOOKUP('Données projet'!$B$14,Paramètres!$A$1:$I$89,3,0)*VLOOKUP('Données projet'!$B$14,Paramètres!$A$1:$I$89,5,0)</f>
        <v>314.67852000000028</v>
      </c>
      <c r="DQ87" s="13">
        <f t="shared" si="97"/>
        <v>74.245037933771187</v>
      </c>
      <c r="DR87" s="20">
        <f t="shared" si="70"/>
        <v>677.37519673465192</v>
      </c>
      <c r="DS87" s="59">
        <f t="shared" si="71"/>
        <v>956.79803821418841</v>
      </c>
      <c r="DT87" s="59">
        <f ca="1">AVERAGE(OFFSET($DS$3,0,0,'Données projet'!$E$14+1,1))-AVERAGE(OFFSET($H$3,0,0,'Données projet'!$E$14+1,1))</f>
        <v>649.03508893149228</v>
      </c>
      <c r="DU87" s="59">
        <f t="shared" si="98"/>
        <v>297.94672581383213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61.47</v>
      </c>
      <c r="DX87" s="16">
        <f>IF(ISNA(VLOOKUP(A87,'Données projet'!$A$165:$I$185,5,0)),0%,VLOOKUP(A87,'Données projet'!$A$165:$I$185,5,0)*VLOOKUP('Données projet'!$B$14,Paramètres!$A$1:$I$89,7,0))</f>
        <v>0.25800000000000001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46.12290811881271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46.12290811881271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325.35000000000002</v>
      </c>
      <c r="EH87" s="12">
        <f>VLOOKUP(A87,'Données projet'!$A$191:$I$211,9,0)</f>
        <v>8.6770000000000014</v>
      </c>
      <c r="EI87" s="12">
        <f t="array" ref="EI87">INDEX(EH:EH,MIN(IF(ISNUMBER(EH87:EH283),ROW(EH87:EH283),"")))</f>
        <v>8.6770000000000014</v>
      </c>
      <c r="EJ87" s="12">
        <f>IF('Données projet'!$A$192&gt;35,EJ86+EI87-ER86,IF(A87&lt;'Données projet'!$A$192,$EG$205^A87,IF(A87='Données projet'!$A$192,'Données projet'!$B$192,EJ86+EI87-ER86)))</f>
        <v>325.35000000000025</v>
      </c>
      <c r="EK87" s="17">
        <f>EJ87*VLOOKUP('Données projet'!$B$15,Paramètres!$A$1:$I$89,3,0)*VLOOKUP('Données projet'!$B$15,Paramètres!$A$1:$I$89,5,0)</f>
        <v>350.20674000000025</v>
      </c>
      <c r="EL87" s="13">
        <f t="shared" si="99"/>
        <v>81.605079688013205</v>
      </c>
      <c r="EM87" s="20">
        <f t="shared" si="73"/>
        <v>752.07225262328996</v>
      </c>
      <c r="EN87" s="59">
        <f t="shared" si="74"/>
        <v>1031.4950941028264</v>
      </c>
      <c r="EO87" s="59">
        <f ca="1">AVERAGE(OFFSET($EN$3,0,0,'Données projet'!$E$15+1,1))-AVERAGE(OFFSET($H$3,0,0,'Données projet'!$E$15+1,1))</f>
        <v>713.57333631602273</v>
      </c>
      <c r="EP87" s="59">
        <f t="shared" si="100"/>
        <v>325.30302392555359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61.47</v>
      </c>
      <c r="ES87" s="16">
        <f>IF(ISNA(VLOOKUP(A87,'Données projet'!$A$191:$I$211,5,0)),0%,VLOOKUP(A87,'Données projet'!$A$191:$I$211,5,0)*VLOOKUP('Données projet'!$B$15,Paramètres!$A$1:$I$89,7,0))</f>
        <v>0.25800000000000001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51.330333229001226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51.330333229001226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5.6843418860808015E-14</v>
      </c>
      <c r="FF87" s="17">
        <f>FE87*VLOOKUP('Données projet'!$B$16,Paramètres!$A$1:$I$89,3,0)*VLOOKUP('Données projet'!$B$16,Paramètres!$A$1:$I$89,5,0)</f>
        <v>4.4337866711430253E-14</v>
      </c>
      <c r="FG87" s="13">
        <f t="shared" si="101"/>
        <v>7.3222115536967035E-13</v>
      </c>
      <c r="FH87" s="20">
        <f t="shared" si="76"/>
        <v>1.3525069634579169E-12</v>
      </c>
      <c r="FI87" s="59">
        <f t="shared" si="77"/>
        <v>279.42284147953791</v>
      </c>
      <c r="FJ87" s="59">
        <f ca="1">AVERAGE(OFFSET($FI$3,0,0,'Données projet'!$E$16+1,1))-AVERAGE(OFFSET($H$3,0,0,'Données projet'!$E$16+1,1))</f>
        <v>302.04287561738482</v>
      </c>
      <c r="FK87" s="59">
        <f t="shared" si="102"/>
        <v>296.09828774694802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76.674773379992828</v>
      </c>
      <c r="FR87" s="21">
        <f>EXP(-LN(2)/25)*FR86+(1-EXP(-LN(2)/25))/(LN(2)/25)*Calculateur!FM87*Calculateur!FO87*VLOOKUP('Données projet'!$B$16,Paramètres!$A$1:$I$89,3,0)*0.475*44/12</f>
        <v>33.584214520648537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110.25898790064136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7.9879999999999969</v>
      </c>
      <c r="FZ87" s="12">
        <f>IF('Données projet'!$A$244&gt;35,FZ86+FY87-GH86,IF(A87&lt;'Données projet'!$A$244,$FW$205^A87,IF(A87='Données projet'!$A$244,'Données projet'!$B$244,FZ86+FY87-GH86)))</f>
        <v>232.43800000000019</v>
      </c>
      <c r="GA87" s="17">
        <f>FZ87*VLOOKUP('Données projet'!$B$17,Paramètres!$A$1:$I$89,3,0)*VLOOKUP('Données projet'!$B$17,Paramètres!$A$1:$I$89,5,0)</f>
        <v>195.80577120000018</v>
      </c>
      <c r="GB87" s="13">
        <f t="shared" si="103"/>
        <v>48.821269270689932</v>
      </c>
      <c r="GC87" s="20">
        <f t="shared" si="79"/>
        <v>426.05876215311855</v>
      </c>
      <c r="GD87" s="59">
        <f t="shared" si="80"/>
        <v>705.48160363265515</v>
      </c>
      <c r="GE87" s="59">
        <f ca="1">AVERAGE(OFFSET($GD$3,0,0,'Données projet'!$E$17+1,1))-AVERAGE(OFFSET($H$3,0,0,'Données projet'!$E$17+1,1))</f>
        <v>385.41819366740276</v>
      </c>
      <c r="GF87" s="59">
        <f t="shared" si="104"/>
        <v>262.4625391252718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32.367025464181317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32.367025464181317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66.206229494419063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3.3000000000000003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12.100000000000001</v>
      </c>
      <c r="H88" s="67">
        <f t="shared" si="56"/>
        <v>208.26666666666665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8.2910000000000021</v>
      </c>
      <c r="N88" s="13">
        <f>IF('Données projet'!$A$36&gt;35,N87+M88-V87,IF(A88&lt;'Données projet'!$A$36,$K$205^A88,IF(A88='Données projet'!$A$36,'Données projet'!$B$36,N87+M88-V87)))</f>
        <v>272.17100000000028</v>
      </c>
      <c r="O88" s="13">
        <f>N88*VLOOKUP('Données projet'!$B$9,Paramètres!$A$1:$I$89,3,0)*VLOOKUP('Données projet'!$B$9,Paramètres!$A$1:$I$89,5,0)</f>
        <v>246.26032080000024</v>
      </c>
      <c r="P88" s="13">
        <f t="shared" si="87"/>
        <v>59.784443753506842</v>
      </c>
      <c r="Q88" s="20">
        <f t="shared" si="54"/>
        <v>533.02796493069138</v>
      </c>
      <c r="R88" s="59">
        <f t="shared" si="55"/>
        <v>812.69212234469046</v>
      </c>
      <c r="S88" s="59">
        <f ca="1">AVERAGE(OFFSET($R$3,0,0,'Données projet'!$E$9+1,1))-AVERAGE(OFFSET($H$3,0,0,'Données projet'!$E$9+1,1))</f>
        <v>612.09138396952153</v>
      </c>
      <c r="T88" s="59">
        <f t="shared" si="88"/>
        <v>282.284310393542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42.301145634231247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42.301145634231247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275.98139400000031</v>
      </c>
      <c r="AK88" s="13">
        <f t="shared" si="89"/>
        <v>66.117048721763197</v>
      </c>
      <c r="AL88" s="20">
        <f t="shared" si="58"/>
        <v>595.82145440707143</v>
      </c>
      <c r="AM88" s="59">
        <f t="shared" si="59"/>
        <v>875.48561182107051</v>
      </c>
      <c r="AN88" s="59">
        <f ca="1">AVERAGE(OFFSET($AM$3,0,0,'Données projet'!$E$10+1,1))-AVERAGE(OFFSET($H$3,0,0,'Données projet'!$E$10+1,1))</f>
        <v>676.7112666359476</v>
      </c>
      <c r="AO88" s="59">
        <f t="shared" si="90"/>
        <v>309.67876644201385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47.406456314224677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47.406456314224677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271.73552640000031</v>
      </c>
      <c r="BF88" s="13">
        <f t="shared" si="91"/>
        <v>65.217454329830559</v>
      </c>
      <c r="BG88" s="20">
        <f t="shared" si="61"/>
        <v>586.85977477112215</v>
      </c>
      <c r="BH88" s="59">
        <f t="shared" si="62"/>
        <v>866.52393218512134</v>
      </c>
      <c r="BI88" s="59">
        <f ca="1">AVERAGE(OFFSET($BH$3,0,0,'Données projet'!$E$11+1,1))-AVERAGE(OFFSET($H$3,0,0,'Données projet'!$E$11+1,1))</f>
        <v>667.4887768032404</v>
      </c>
      <c r="BJ88" s="59">
        <f t="shared" si="92"/>
        <v>305.76944302827178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46.677126217082765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46.677126217082765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258.99792360000026</v>
      </c>
      <c r="CA88" s="13">
        <f t="shared" si="93"/>
        <v>62.508727780336244</v>
      </c>
      <c r="CB88" s="20">
        <f t="shared" si="64"/>
        <v>559.95741782075277</v>
      </c>
      <c r="CC88" s="59">
        <f t="shared" si="65"/>
        <v>839.62157523475184</v>
      </c>
      <c r="CD88" s="59">
        <f ca="1">AVERAGE(OFFSET($CC$3,0,0,'Données projet'!$E$12+1,1))-AVERAGE(OFFSET($H$3,0,0,'Données projet'!$E$12+1,1))</f>
        <v>639.80378676828764</v>
      </c>
      <c r="CE88" s="59">
        <f t="shared" si="94"/>
        <v>294.03328334345281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44.48913592565701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44.48913592565701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-1.7053025658242404E-13</v>
      </c>
      <c r="CU88" s="17">
        <f>CT88*VLOOKUP('Données projet'!$B$13,Paramètres!$A$1:$I$89,3,0)*VLOOKUP('Données projet'!$B$13,Paramètres!$A$1:$I$89,5,0)</f>
        <v>-1.4897523215040567E-13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340.64710509454375</v>
      </c>
      <c r="CZ88" s="59">
        <f t="shared" si="96"/>
        <v>329.6409514360613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88.374450985990109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88.374450985990109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8.2910000000000021</v>
      </c>
      <c r="DO88" s="12">
        <f>IF('Données projet'!$A$166&gt;35,DO87+DN88-DW87,IF(A88&lt;'Données projet'!$A$166,$DL$205^A88,IF(A88='Données projet'!$A$166,'Données projet'!$B$166,DO87+DN88-DW87)))</f>
        <v>272.17100000000028</v>
      </c>
      <c r="DP88" s="17">
        <f>DO88*VLOOKUP('Données projet'!$B$14,Paramètres!$A$1:$I$89,3,0)*VLOOKUP('Données projet'!$B$14,Paramètres!$A$1:$I$89,5,0)</f>
        <v>263.24379120000026</v>
      </c>
      <c r="DQ88" s="13">
        <f t="shared" si="97"/>
        <v>63.413323405741842</v>
      </c>
      <c r="DR88" s="20">
        <f t="shared" si="70"/>
        <v>568.92780793833413</v>
      </c>
      <c r="DS88" s="59">
        <f t="shared" si="71"/>
        <v>848.59196535233332</v>
      </c>
      <c r="DT88" s="59">
        <f ca="1">AVERAGE(OFFSET($DS$3,0,0,'Données projet'!$E$14+1,1))-AVERAGE(OFFSET($H$3,0,0,'Données projet'!$E$14+1,1))</f>
        <v>649.03508893149228</v>
      </c>
      <c r="DU88" s="59">
        <f t="shared" si="98"/>
        <v>297.94672581383213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45.218466022798921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45.218466022798921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8.2910000000000021</v>
      </c>
      <c r="EJ88" s="12">
        <f>IF('Données projet'!$A$192&gt;35,EJ87+EI88-ER87,IF(A88&lt;'Données projet'!$A$192,$EG$205^A88,IF(A88='Données projet'!$A$192,'Données projet'!$B$192,EJ87+EI88-ER87)))</f>
        <v>272.17100000000028</v>
      </c>
      <c r="EK88" s="17">
        <f>EJ88*VLOOKUP('Données projet'!$B$15,Paramètres!$A$1:$I$89,3,0)*VLOOKUP('Données projet'!$B$15,Paramètres!$A$1:$I$89,5,0)</f>
        <v>292.96486440000029</v>
      </c>
      <c r="EL88" s="13">
        <f t="shared" si="99"/>
        <v>69.699598166054386</v>
      </c>
      <c r="EM88" s="20">
        <f t="shared" si="73"/>
        <v>631.64060563587861</v>
      </c>
      <c r="EN88" s="59">
        <f t="shared" si="74"/>
        <v>911.30476304987769</v>
      </c>
      <c r="EO88" s="59">
        <f ca="1">AVERAGE(OFFSET($EN$3,0,0,'Données projet'!$E$15+1,1))-AVERAGE(OFFSET($H$3,0,0,'Données projet'!$E$15+1,1))</f>
        <v>713.57333631602273</v>
      </c>
      <c r="EP88" s="59">
        <f t="shared" si="100"/>
        <v>325.30302392555359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50.32377670279233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50.32377670279233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5.6843418860808015E-14</v>
      </c>
      <c r="FF88" s="17">
        <f>FE88*VLOOKUP('Données projet'!$B$16,Paramètres!$A$1:$I$89,3,0)*VLOOKUP('Données projet'!$B$16,Paramètres!$A$1:$I$89,5,0)</f>
        <v>4.4337866711430253E-14</v>
      </c>
      <c r="FG88" s="13">
        <f t="shared" si="101"/>
        <v>7.3222115536967035E-13</v>
      </c>
      <c r="FH88" s="20">
        <f t="shared" si="76"/>
        <v>1.3525069634579169E-12</v>
      </c>
      <c r="FI88" s="59">
        <f t="shared" si="77"/>
        <v>279.6641574140005</v>
      </c>
      <c r="FJ88" s="59">
        <f ca="1">AVERAGE(OFFSET($FI$3,0,0,'Données projet'!$E$16+1,1))-AVERAGE(OFFSET($H$3,0,0,'Données projet'!$E$16+1,1))</f>
        <v>302.04287561738482</v>
      </c>
      <c r="FK88" s="59">
        <f t="shared" si="102"/>
        <v>296.09828774694802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75.171227841005077</v>
      </c>
      <c r="FR88" s="21">
        <f>EXP(-LN(2)/25)*FR87+(1-EXP(-LN(2)/25))/(LN(2)/25)*Calculateur!FM88*Calculateur!FO88*VLOOKUP('Données projet'!$B$16,Paramètres!$A$1:$I$89,3,0)*0.475*44/12</f>
        <v>32.665852408464318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107.83708024946939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7.9879999999999969</v>
      </c>
      <c r="FZ88" s="12">
        <f>IF('Données projet'!$A$244&gt;35,FZ87+FY88-GH87,IF(A88&lt;'Données projet'!$A$244,$FW$205^A88,IF(A88='Données projet'!$A$244,'Données projet'!$B$244,FZ87+FY88-GH87)))</f>
        <v>240.42600000000019</v>
      </c>
      <c r="GA88" s="17">
        <f>FZ88*VLOOKUP('Données projet'!$B$17,Paramètres!$A$1:$I$89,3,0)*VLOOKUP('Données projet'!$B$17,Paramètres!$A$1:$I$89,5,0)</f>
        <v>202.53486240000018</v>
      </c>
      <c r="GB88" s="13">
        <f t="shared" si="103"/>
        <v>50.300844751824435</v>
      </c>
      <c r="GC88" s="20">
        <f t="shared" si="79"/>
        <v>440.35552328942782</v>
      </c>
      <c r="GD88" s="59">
        <f t="shared" si="80"/>
        <v>720.01968070342696</v>
      </c>
      <c r="GE88" s="59">
        <f ca="1">AVERAGE(OFFSET($GD$3,0,0,'Données projet'!$E$17+1,1))-AVERAGE(OFFSET($H$3,0,0,'Données projet'!$E$17+1,1))</f>
        <v>385.41819366740276</v>
      </c>
      <c r="GF88" s="59">
        <f t="shared" si="104"/>
        <v>262.4625391252718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31.732327836764899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31.732327836764899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66.272042931090681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3.3000000000000003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12.100000000000001</v>
      </c>
      <c r="H89" s="67">
        <f t="shared" si="56"/>
        <v>208.26666666666665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8.2910000000000021</v>
      </c>
      <c r="N89" s="13">
        <f>IF('Données projet'!$A$36&gt;35,N88+M89-V88,IF(A89&lt;'Données projet'!$A$36,$K$205^A89,IF(A89='Données projet'!$A$36,'Données projet'!$B$36,N88+M89-V88)))</f>
        <v>280.46200000000027</v>
      </c>
      <c r="O89" s="13">
        <f>N89*VLOOKUP('Données projet'!$B$9,Paramètres!$A$1:$I$89,3,0)*VLOOKUP('Données projet'!$B$9,Paramètres!$A$1:$I$89,5,0)</f>
        <v>253.76201760000023</v>
      </c>
      <c r="P89" s="13">
        <f t="shared" si="87"/>
        <v>61.390818695638195</v>
      </c>
      <c r="Q89" s="20">
        <f t="shared" si="54"/>
        <v>548.89118988157031</v>
      </c>
      <c r="R89" s="59">
        <f t="shared" si="55"/>
        <v>828.79247693807065</v>
      </c>
      <c r="S89" s="59">
        <f ca="1">AVERAGE(OFFSET($R$3,0,0,'Données projet'!$E$9+1,1))-AVERAGE(OFFSET($H$3,0,0,'Données projet'!$E$9+1,1))</f>
        <v>612.09138396952153</v>
      </c>
      <c r="T89" s="59">
        <f t="shared" si="88"/>
        <v>282.284310393542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41.471645969495157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41.471645969495157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284.38846800000033</v>
      </c>
      <c r="AK89" s="13">
        <f t="shared" si="89"/>
        <v>67.893577257383939</v>
      </c>
      <c r="AL89" s="20">
        <f t="shared" si="58"/>
        <v>613.55789548994426</v>
      </c>
      <c r="AM89" s="59">
        <f t="shared" si="59"/>
        <v>893.45918254644471</v>
      </c>
      <c r="AN89" s="59">
        <f ca="1">AVERAGE(OFFSET($AM$3,0,0,'Données projet'!$E$10+1,1))-AVERAGE(OFFSET($H$3,0,0,'Données projet'!$E$10+1,1))</f>
        <v>676.7112666359476</v>
      </c>
      <c r="AO89" s="59">
        <f t="shared" si="90"/>
        <v>309.67876644201385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46.476844620985958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46.476844620985958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280.0132608000003</v>
      </c>
      <c r="BF89" s="13">
        <f t="shared" si="91"/>
        <v>66.969811261626731</v>
      </c>
      <c r="BG89" s="20">
        <f t="shared" si="61"/>
        <v>604.32885050733364</v>
      </c>
      <c r="BH89" s="59">
        <f t="shared" si="62"/>
        <v>884.23013756383398</v>
      </c>
      <c r="BI89" s="59">
        <f ca="1">AVERAGE(OFFSET($BH$3,0,0,'Données projet'!$E$11+1,1))-AVERAGE(OFFSET($H$3,0,0,'Données projet'!$E$11+1,1))</f>
        <v>667.4887768032404</v>
      </c>
      <c r="BJ89" s="59">
        <f t="shared" si="92"/>
        <v>305.76944302827178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45.761816242201562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45.761816242201562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266.88763920000025</v>
      </c>
      <c r="CA89" s="13">
        <f t="shared" si="93"/>
        <v>64.188302727706215</v>
      </c>
      <c r="CB89" s="20">
        <f t="shared" si="64"/>
        <v>576.62393219075545</v>
      </c>
      <c r="CC89" s="59">
        <f t="shared" si="65"/>
        <v>856.52521924725579</v>
      </c>
      <c r="CD89" s="59">
        <f ca="1">AVERAGE(OFFSET($CC$3,0,0,'Données projet'!$E$12+1,1))-AVERAGE(OFFSET($H$3,0,0,'Données projet'!$E$12+1,1))</f>
        <v>639.80378676828764</v>
      </c>
      <c r="CE89" s="59">
        <f t="shared" si="94"/>
        <v>294.03328334345281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43.616731105848366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43.616731105848366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-1.7053025658242404E-13</v>
      </c>
      <c r="CU89" s="17">
        <f>CT89*VLOOKUP('Données projet'!$B$13,Paramètres!$A$1:$I$89,3,0)*VLOOKUP('Données projet'!$B$13,Paramètres!$A$1:$I$89,5,0)</f>
        <v>-1.4897523215040567E-13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340.64710509454375</v>
      </c>
      <c r="CZ89" s="59">
        <f t="shared" si="96"/>
        <v>329.6409514360613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86.64148190524746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86.64148190524746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8.2910000000000021</v>
      </c>
      <c r="DO89" s="12">
        <f>IF('Données projet'!$A$166&gt;35,DO88+DN89-DW88,IF(A89&lt;'Données projet'!$A$166,$DL$205^A89,IF(A89='Données projet'!$A$166,'Données projet'!$B$166,DO88+DN89-DW88)))</f>
        <v>280.46200000000027</v>
      </c>
      <c r="DP89" s="17">
        <f>DO89*VLOOKUP('Données projet'!$B$14,Paramètres!$A$1:$I$89,3,0)*VLOOKUP('Données projet'!$B$14,Paramètres!$A$1:$I$89,5,0)</f>
        <v>271.26284640000029</v>
      </c>
      <c r="DQ89" s="13">
        <f t="shared" si="97"/>
        <v>65.117204337314064</v>
      </c>
      <c r="DR89" s="20">
        <f t="shared" si="70"/>
        <v>585.86192170082245</v>
      </c>
      <c r="DS89" s="59">
        <f t="shared" si="71"/>
        <v>865.7632087573229</v>
      </c>
      <c r="DT89" s="59">
        <f ca="1">AVERAGE(OFFSET($DS$3,0,0,'Données projet'!$E$14+1,1))-AVERAGE(OFFSET($H$3,0,0,'Données projet'!$E$14+1,1))</f>
        <v>649.03508893149228</v>
      </c>
      <c r="DU89" s="59">
        <f t="shared" si="98"/>
        <v>297.94672581383213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44.331759484632755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44.331759484632755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8.2910000000000021</v>
      </c>
      <c r="EJ89" s="12">
        <f>IF('Données projet'!$A$192&gt;35,EJ88+EI89-ER88,IF(A89&lt;'Données projet'!$A$192,$EG$205^A89,IF(A89='Données projet'!$A$192,'Données projet'!$B$192,EJ88+EI89-ER88)))</f>
        <v>280.46200000000027</v>
      </c>
      <c r="EK89" s="17">
        <f>EJ89*VLOOKUP('Données projet'!$B$15,Paramètres!$A$1:$I$89,3,0)*VLOOKUP('Données projet'!$B$15,Paramètres!$A$1:$I$89,5,0)</f>
        <v>301.88929680000024</v>
      </c>
      <c r="EL89" s="13">
        <f t="shared" si="99"/>
        <v>71.572387824049713</v>
      </c>
      <c r="EM89" s="20">
        <f t="shared" si="73"/>
        <v>650.44576738688704</v>
      </c>
      <c r="EN89" s="59">
        <f t="shared" si="74"/>
        <v>930.34705444338738</v>
      </c>
      <c r="EO89" s="59">
        <f ca="1">AVERAGE(OFFSET($EN$3,0,0,'Données projet'!$E$15+1,1))-AVERAGE(OFFSET($H$3,0,0,'Données projet'!$E$15+1,1))</f>
        <v>713.57333631602273</v>
      </c>
      <c r="EP89" s="59">
        <f t="shared" si="100"/>
        <v>325.30302392555359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49.336958136123535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49.336958136123535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5.6843418860808015E-14</v>
      </c>
      <c r="FF89" s="17">
        <f>FE89*VLOOKUP('Données projet'!$B$16,Paramètres!$A$1:$I$89,3,0)*VLOOKUP('Données projet'!$B$16,Paramètres!$A$1:$I$89,5,0)</f>
        <v>4.4337866711430253E-14</v>
      </c>
      <c r="FG89" s="13">
        <f t="shared" si="101"/>
        <v>7.3222115536967035E-13</v>
      </c>
      <c r="FH89" s="20">
        <f t="shared" si="76"/>
        <v>1.3525069634579169E-12</v>
      </c>
      <c r="FI89" s="59">
        <f t="shared" si="77"/>
        <v>279.90128705650176</v>
      </c>
      <c r="FJ89" s="59">
        <f ca="1">AVERAGE(OFFSET($FI$3,0,0,'Données projet'!$E$16+1,1))-AVERAGE(OFFSET($H$3,0,0,'Données projet'!$E$16+1,1))</f>
        <v>302.04287561738482</v>
      </c>
      <c r="FK89" s="59">
        <f t="shared" si="102"/>
        <v>296.09828774694802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73.69716591296465</v>
      </c>
      <c r="FR89" s="21">
        <f>EXP(-LN(2)/25)*FR88+(1-EXP(-LN(2)/25))/(LN(2)/25)*Calculateur!FM89*Calculateur!FO89*VLOOKUP('Données projet'!$B$16,Paramètres!$A$1:$I$89,3,0)*0.475*44/12</f>
        <v>31.772602956532342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105.46976886949699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7.9879999999999969</v>
      </c>
      <c r="FZ89" s="12">
        <f>IF('Données projet'!$A$244&gt;35,FZ88+FY89-GH88,IF(A89&lt;'Données projet'!$A$244,$FW$205^A89,IF(A89='Données projet'!$A$244,'Données projet'!$B$244,FZ88+FY89-GH88)))</f>
        <v>248.41400000000019</v>
      </c>
      <c r="GA89" s="17">
        <f>FZ89*VLOOKUP('Données projet'!$B$17,Paramètres!$A$1:$I$89,3,0)*VLOOKUP('Données projet'!$B$17,Paramètres!$A$1:$I$89,5,0)</f>
        <v>209.26395360000021</v>
      </c>
      <c r="GB89" s="13">
        <f t="shared" si="103"/>
        <v>51.774708187666221</v>
      </c>
      <c r="GC89" s="20">
        <f t="shared" si="79"/>
        <v>454.64233594685237</v>
      </c>
      <c r="GD89" s="59">
        <f t="shared" si="80"/>
        <v>734.54362300335276</v>
      </c>
      <c r="GE89" s="59">
        <f ca="1">AVERAGE(OFFSET($GD$3,0,0,'Données projet'!$E$17+1,1))-AVERAGE(OFFSET($H$3,0,0,'Données projet'!$E$17+1,1))</f>
        <v>385.41819366740276</v>
      </c>
      <c r="GF89" s="59">
        <f t="shared" si="104"/>
        <v>262.4625391252718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31.110076242694792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31.110076242694792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66.336714651772837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3.3000000000000003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12.100000000000001</v>
      </c>
      <c r="H90" s="67">
        <f t="shared" si="56"/>
        <v>208.26666666666665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8.2910000000000021</v>
      </c>
      <c r="N90" s="13">
        <f>IF('Données projet'!$A$36&gt;35,N89+M90-V89,IF(A90&lt;'Données projet'!$A$36,$K$205^A90,IF(A90='Données projet'!$A$36,'Données projet'!$B$36,N89+M90-V89)))</f>
        <v>288.75300000000027</v>
      </c>
      <c r="O90" s="13">
        <f>N90*VLOOKUP('Données projet'!$B$9,Paramètres!$A$1:$I$89,3,0)*VLOOKUP('Données projet'!$B$9,Paramètres!$A$1:$I$89,5,0)</f>
        <v>261.26371440000025</v>
      </c>
      <c r="P90" s="13">
        <f t="shared" si="87"/>
        <v>62.991674736313257</v>
      </c>
      <c r="Q90" s="20">
        <f t="shared" si="54"/>
        <v>564.74480274574603</v>
      </c>
      <c r="R90" s="59">
        <f t="shared" si="55"/>
        <v>844.87910577559273</v>
      </c>
      <c r="S90" s="59">
        <f ca="1">AVERAGE(OFFSET($R$3,0,0,'Données projet'!$E$9+1,1))-AVERAGE(OFFSET($H$3,0,0,'Données projet'!$E$9+1,1))</f>
        <v>612.09138396952153</v>
      </c>
      <c r="T90" s="59">
        <f t="shared" si="88"/>
        <v>282.284310393542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40.658412287239706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40.658412287239706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292.7955420000003</v>
      </c>
      <c r="AK90" s="13">
        <f t="shared" si="89"/>
        <v>69.664002307656872</v>
      </c>
      <c r="AL90" s="20">
        <f t="shared" si="58"/>
        <v>631.2837063358362</v>
      </c>
      <c r="AM90" s="59">
        <f t="shared" si="59"/>
        <v>911.41800936568291</v>
      </c>
      <c r="AN90" s="59">
        <f ca="1">AVERAGE(OFFSET($AM$3,0,0,'Données projet'!$E$10+1,1))-AVERAGE(OFFSET($H$3,0,0,'Données projet'!$E$10+1,1))</f>
        <v>676.7112666359476</v>
      </c>
      <c r="AO90" s="59">
        <f t="shared" si="90"/>
        <v>309.67876644201385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45.565462046044502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45.565462046044502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288.29099520000028</v>
      </c>
      <c r="BF90" s="13">
        <f t="shared" si="91"/>
        <v>68.71614775263464</v>
      </c>
      <c r="BG90" s="20">
        <f t="shared" si="61"/>
        <v>621.78744064250577</v>
      </c>
      <c r="BH90" s="59">
        <f t="shared" si="62"/>
        <v>901.92174367235248</v>
      </c>
      <c r="BI90" s="59">
        <f ca="1">AVERAGE(OFFSET($BH$3,0,0,'Données projet'!$E$11+1,1))-AVERAGE(OFFSET($H$3,0,0,'Données projet'!$E$11+1,1))</f>
        <v>667.4887768032404</v>
      </c>
      <c r="BJ90" s="59">
        <f t="shared" si="92"/>
        <v>305.76944302827178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44.864454937643821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44.864454937643821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274.7773548000003</v>
      </c>
      <c r="CA90" s="13">
        <f t="shared" si="93"/>
        <v>65.862107285872696</v>
      </c>
      <c r="CB90" s="20">
        <f t="shared" si="64"/>
        <v>593.28039646622881</v>
      </c>
      <c r="CC90" s="59">
        <f t="shared" si="65"/>
        <v>873.41469949607551</v>
      </c>
      <c r="CD90" s="59">
        <f ca="1">AVERAGE(OFFSET($CC$3,0,0,'Données projet'!$E$12+1,1))-AVERAGE(OFFSET($H$3,0,0,'Données projet'!$E$12+1,1))</f>
        <v>639.80378676828764</v>
      </c>
      <c r="CE90" s="59">
        <f t="shared" si="94"/>
        <v>294.03328334345281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42.76143361244177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42.76143361244177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-1.7053025658242404E-13</v>
      </c>
      <c r="CU90" s="17">
        <f>CT90*VLOOKUP('Données projet'!$B$13,Paramètres!$A$1:$I$89,3,0)*VLOOKUP('Données projet'!$B$13,Paramètres!$A$1:$I$89,5,0)</f>
        <v>-1.4897523215040567E-13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340.64710509454375</v>
      </c>
      <c r="CZ90" s="59">
        <f t="shared" si="96"/>
        <v>329.6409514360613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84.942495291171397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84.942495291171397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8.2910000000000021</v>
      </c>
      <c r="DO90" s="12">
        <f>IF('Données projet'!$A$166&gt;35,DO89+DN90-DW89,IF(A90&lt;'Données projet'!$A$166,$DL$205^A90,IF(A90='Données projet'!$A$166,'Données projet'!$B$166,DO89+DN90-DW89)))</f>
        <v>288.75300000000027</v>
      </c>
      <c r="DP90" s="17">
        <f>DO90*VLOOKUP('Données projet'!$B$14,Paramètres!$A$1:$I$89,3,0)*VLOOKUP('Données projet'!$B$14,Paramètres!$A$1:$I$89,5,0)</f>
        <v>279.28190160000025</v>
      </c>
      <c r="DQ90" s="13">
        <f t="shared" si="97"/>
        <v>66.815231373442643</v>
      </c>
      <c r="DR90" s="20">
        <f t="shared" si="70"/>
        <v>602.78583992874633</v>
      </c>
      <c r="DS90" s="59">
        <f t="shared" si="71"/>
        <v>882.92014295859303</v>
      </c>
      <c r="DT90" s="59">
        <f ca="1">AVERAGE(OFFSET($DS$3,0,0,'Données projet'!$E$14+1,1))-AVERAGE(OFFSET($H$3,0,0,'Données projet'!$E$14+1,1))</f>
        <v>649.03508893149228</v>
      </c>
      <c r="DU90" s="59">
        <f t="shared" si="98"/>
        <v>297.94672581383213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43.462440720842444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43.462440720842444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8.2910000000000021</v>
      </c>
      <c r="EJ90" s="12">
        <f>IF('Données projet'!$A$192&gt;35,EJ89+EI90-ER89,IF(A90&lt;'Données projet'!$A$192,$EG$205^A90,IF(A90='Données projet'!$A$192,'Données projet'!$B$192,EJ89+EI90-ER89)))</f>
        <v>288.75300000000027</v>
      </c>
      <c r="EK90" s="17">
        <f>EJ90*VLOOKUP('Données projet'!$B$15,Paramètres!$A$1:$I$89,3,0)*VLOOKUP('Données projet'!$B$15,Paramètres!$A$1:$I$89,5,0)</f>
        <v>310.81372920000024</v>
      </c>
      <c r="EL90" s="13">
        <f t="shared" si="99"/>
        <v>73.438743279606001</v>
      </c>
      <c r="EM90" s="20">
        <f t="shared" si="73"/>
        <v>669.23972290198083</v>
      </c>
      <c r="EN90" s="59">
        <f t="shared" si="74"/>
        <v>949.37402593182753</v>
      </c>
      <c r="EO90" s="59">
        <f ca="1">AVERAGE(OFFSET($EN$3,0,0,'Données projet'!$E$15+1,1))-AVERAGE(OFFSET($H$3,0,0,'Données projet'!$E$15+1,1))</f>
        <v>713.57333631602273</v>
      </c>
      <c r="EP90" s="59">
        <f t="shared" si="100"/>
        <v>325.30302392555359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48.369490479647219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48.369490479647219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5.6843418860808015E-14</v>
      </c>
      <c r="FF90" s="17">
        <f>FE90*VLOOKUP('Données projet'!$B$16,Paramètres!$A$1:$I$89,3,0)*VLOOKUP('Données projet'!$B$16,Paramètres!$A$1:$I$89,5,0)</f>
        <v>4.4337866711430253E-14</v>
      </c>
      <c r="FG90" s="13">
        <f t="shared" si="101"/>
        <v>7.3222115536967035E-13</v>
      </c>
      <c r="FH90" s="20">
        <f t="shared" si="76"/>
        <v>1.3525069634579169E-12</v>
      </c>
      <c r="FI90" s="59">
        <f t="shared" si="77"/>
        <v>280.13430302984807</v>
      </c>
      <c r="FJ90" s="59">
        <f ca="1">AVERAGE(OFFSET($FI$3,0,0,'Données projet'!$E$16+1,1))-AVERAGE(OFFSET($H$3,0,0,'Données projet'!$E$16+1,1))</f>
        <v>302.04287561738482</v>
      </c>
      <c r="FK90" s="59">
        <f t="shared" si="102"/>
        <v>296.09828774694802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72.252009440244095</v>
      </c>
      <c r="FR90" s="21">
        <f>EXP(-LN(2)/25)*FR89+(1-EXP(-LN(2)/25))/(LN(2)/25)*Calculateur!FM90*Calculateur!FO90*VLOOKUP('Données projet'!$B$16,Paramètres!$A$1:$I$89,3,0)*0.475*44/12</f>
        <v>30.903779457837395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103.15578889808148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7.9879999999999969</v>
      </c>
      <c r="FZ90" s="12">
        <f>IF('Données projet'!$A$244&gt;35,FZ89+FY90-GH89,IF(A90&lt;'Données projet'!$A$244,$FW$205^A90,IF(A90='Données projet'!$A$244,'Données projet'!$B$244,FZ89+FY90-GH89)))</f>
        <v>256.40200000000016</v>
      </c>
      <c r="GA90" s="17">
        <f>FZ90*VLOOKUP('Données projet'!$B$17,Paramètres!$A$1:$I$89,3,0)*VLOOKUP('Données projet'!$B$17,Paramètres!$A$1:$I$89,5,0)</f>
        <v>215.99304480000018</v>
      </c>
      <c r="GB90" s="13">
        <f t="shared" si="103"/>
        <v>53.243064323023681</v>
      </c>
      <c r="GC90" s="20">
        <f t="shared" si="79"/>
        <v>468.91955672259991</v>
      </c>
      <c r="GD90" s="59">
        <f t="shared" si="80"/>
        <v>749.05385975244667</v>
      </c>
      <c r="GE90" s="59">
        <f ca="1">AVERAGE(OFFSET($GD$3,0,0,'Données projet'!$E$17+1,1))-AVERAGE(OFFSET($H$3,0,0,'Données projet'!$E$17+1,1))</f>
        <v>385.41819366740276</v>
      </c>
      <c r="GF90" s="59">
        <f t="shared" si="104"/>
        <v>262.4625391252718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30.500026622848402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30.500026622848402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66.40026446268547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3.3000000000000003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12.100000000000001</v>
      </c>
      <c r="H91" s="67">
        <f t="shared" si="56"/>
        <v>208.26666666666665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8.2910000000000021</v>
      </c>
      <c r="N91" s="13">
        <f>IF('Données projet'!$A$36&gt;35,N90+M91-V90,IF(A91&lt;'Données projet'!$A$36,$K$205^A91,IF(A91='Données projet'!$A$36,'Données projet'!$B$36,N90+M91-V90)))</f>
        <v>297.04400000000027</v>
      </c>
      <c r="O91" s="13">
        <f>N91*VLOOKUP('Données projet'!$B$9,Paramètres!$A$1:$I$89,3,0)*VLOOKUP('Données projet'!$B$9,Paramètres!$A$1:$I$89,5,0)</f>
        <v>268.76541120000024</v>
      </c>
      <c r="P91" s="13">
        <f t="shared" si="87"/>
        <v>64.587188539623412</v>
      </c>
      <c r="Q91" s="20">
        <f t="shared" si="54"/>
        <v>580.58911121317794</v>
      </c>
      <c r="R91" s="59">
        <f t="shared" si="55"/>
        <v>860.95238791017914</v>
      </c>
      <c r="S91" s="59">
        <f ca="1">AVERAGE(OFFSET($R$3,0,0,'Données projet'!$E$9+1,1))-AVERAGE(OFFSET($H$3,0,0,'Données projet'!$E$9+1,1))</f>
        <v>612.09138396952153</v>
      </c>
      <c r="T91" s="59">
        <f t="shared" si="88"/>
        <v>282.284310393542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39.861125621469718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39.861125621469718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301.20261600000032</v>
      </c>
      <c r="AK91" s="13">
        <f t="shared" si="89"/>
        <v>71.428519249633297</v>
      </c>
      <c r="AL91" s="20">
        <f t="shared" si="58"/>
        <v>648.99922722644521</v>
      </c>
      <c r="AM91" s="59">
        <f t="shared" si="59"/>
        <v>929.36250392344641</v>
      </c>
      <c r="AN91" s="59">
        <f ca="1">AVERAGE(OFFSET($AM$3,0,0,'Données projet'!$E$10+1,1))-AVERAGE(OFFSET($H$3,0,0,'Données projet'!$E$10+1,1))</f>
        <v>676.7112666359476</v>
      </c>
      <c r="AO91" s="59">
        <f t="shared" si="90"/>
        <v>309.67876644201385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44.671951127509168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44.671951127509168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296.56872960000027</v>
      </c>
      <c r="BF91" s="13">
        <f t="shared" si="91"/>
        <v>70.456656521588286</v>
      </c>
      <c r="BG91" s="20">
        <f t="shared" si="61"/>
        <v>639.23588082843344</v>
      </c>
      <c r="BH91" s="59">
        <f t="shared" si="62"/>
        <v>919.59915752543452</v>
      </c>
      <c r="BI91" s="59">
        <f ca="1">AVERAGE(OFFSET($BH$3,0,0,'Données projet'!$E$11+1,1))-AVERAGE(OFFSET($H$3,0,0,'Données projet'!$E$11+1,1))</f>
        <v>667.4887768032404</v>
      </c>
      <c r="BJ91" s="59">
        <f t="shared" si="92"/>
        <v>305.76944302827178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43.984690340932104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43.984690340932104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282.66707040000023</v>
      </c>
      <c r="CA91" s="13">
        <f t="shared" si="93"/>
        <v>67.530326169234471</v>
      </c>
      <c r="CB91" s="20">
        <f t="shared" si="64"/>
        <v>609.92713235808367</v>
      </c>
      <c r="CC91" s="59">
        <f t="shared" si="65"/>
        <v>890.29040905508487</v>
      </c>
      <c r="CD91" s="59">
        <f ca="1">AVERAGE(OFFSET($CC$3,0,0,'Données projet'!$E$12+1,1))-AVERAGE(OFFSET($H$3,0,0,'Données projet'!$E$12+1,1))</f>
        <v>639.80378676828764</v>
      </c>
      <c r="CE91" s="59">
        <f t="shared" si="94"/>
        <v>294.03328334345281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41.922907981200915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41.922907981200915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-1.7053025658242404E-13</v>
      </c>
      <c r="CU91" s="17">
        <f>CT91*VLOOKUP('Données projet'!$B$13,Paramètres!$A$1:$I$89,3,0)*VLOOKUP('Données projet'!$B$13,Paramètres!$A$1:$I$89,5,0)</f>
        <v>-1.4897523215040567E-13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340.64710509454375</v>
      </c>
      <c r="CZ91" s="59">
        <f t="shared" si="96"/>
        <v>329.6409514360613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83.276824768317866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83.276824768317866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8.2910000000000021</v>
      </c>
      <c r="DO91" s="12">
        <f>IF('Données projet'!$A$166&gt;35,DO90+DN91-DW90,IF(A91&lt;'Données projet'!$A$166,$DL$205^A91,IF(A91='Données projet'!$A$166,'Données projet'!$B$166,DO90+DN91-DW90)))</f>
        <v>297.04400000000027</v>
      </c>
      <c r="DP91" s="17">
        <f>DO91*VLOOKUP('Données projet'!$B$14,Paramètres!$A$1:$I$89,3,0)*VLOOKUP('Données projet'!$B$14,Paramètres!$A$1:$I$89,5,0)</f>
        <v>287.30095680000028</v>
      </c>
      <c r="DQ91" s="13">
        <f t="shared" si="97"/>
        <v>68.507591901622632</v>
      </c>
      <c r="DR91" s="20">
        <f t="shared" si="70"/>
        <v>619.69988898865984</v>
      </c>
      <c r="DS91" s="59">
        <f t="shared" si="71"/>
        <v>900.06316568566103</v>
      </c>
      <c r="DT91" s="59">
        <f ca="1">AVERAGE(OFFSET($DS$3,0,0,'Données projet'!$E$14+1,1))-AVERAGE(OFFSET($H$3,0,0,'Données projet'!$E$14+1,1))</f>
        <v>649.03508893149228</v>
      </c>
      <c r="DU91" s="59">
        <f t="shared" si="98"/>
        <v>297.94672581383213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42.610168767777971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42.610168767777971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8.2910000000000021</v>
      </c>
      <c r="EJ91" s="12">
        <f>IF('Données projet'!$A$192&gt;35,EJ90+EI91-ER90,IF(A91&lt;'Données projet'!$A$192,$EG$205^A91,IF(A91='Données projet'!$A$192,'Données projet'!$B$192,EJ90+EI91-ER90)))</f>
        <v>297.04400000000027</v>
      </c>
      <c r="EK91" s="17">
        <f>EJ91*VLOOKUP('Données projet'!$B$15,Paramètres!$A$1:$I$89,3,0)*VLOOKUP('Données projet'!$B$15,Paramètres!$A$1:$I$89,5,0)</f>
        <v>319.7381616000003</v>
      </c>
      <c r="EL91" s="13">
        <f t="shared" si="99"/>
        <v>75.298870496271519</v>
      </c>
      <c r="EM91" s="20">
        <f t="shared" si="73"/>
        <v>688.02283090100661</v>
      </c>
      <c r="EN91" s="59">
        <f t="shared" si="74"/>
        <v>968.38610759800781</v>
      </c>
      <c r="EO91" s="59">
        <f ca="1">AVERAGE(OFFSET($EN$3,0,0,'Données projet'!$E$15+1,1))-AVERAGE(OFFSET($H$3,0,0,'Données projet'!$E$15+1,1))</f>
        <v>713.57333631602273</v>
      </c>
      <c r="EP91" s="59">
        <f t="shared" si="100"/>
        <v>325.30302392555359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47.420994273817399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47.420994273817399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5.6843418860808015E-14</v>
      </c>
      <c r="FF91" s="17">
        <f>FE91*VLOOKUP('Données projet'!$B$16,Paramètres!$A$1:$I$89,3,0)*VLOOKUP('Données projet'!$B$16,Paramètres!$A$1:$I$89,5,0)</f>
        <v>4.4337866711430253E-14</v>
      </c>
      <c r="FG91" s="13">
        <f t="shared" si="101"/>
        <v>7.3222115536967035E-13</v>
      </c>
      <c r="FH91" s="20">
        <f t="shared" si="76"/>
        <v>1.3525069634579169E-12</v>
      </c>
      <c r="FI91" s="59">
        <f t="shared" si="77"/>
        <v>280.3632766970025</v>
      </c>
      <c r="FJ91" s="59">
        <f ca="1">AVERAGE(OFFSET($FI$3,0,0,'Données projet'!$E$16+1,1))-AVERAGE(OFFSET($H$3,0,0,'Données projet'!$E$16+1,1))</f>
        <v>302.04287561738482</v>
      </c>
      <c r="FK91" s="59">
        <f t="shared" si="102"/>
        <v>296.09828774694802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70.835191604495179</v>
      </c>
      <c r="FR91" s="21">
        <f>EXP(-LN(2)/25)*FR90+(1-EXP(-LN(2)/25))/(LN(2)/25)*Calculateur!FM91*Calculateur!FO91*VLOOKUP('Données projet'!$B$16,Paramètres!$A$1:$I$89,3,0)*0.475*44/12</f>
        <v>30.058713983403702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100.89390558789889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7.9879999999999969</v>
      </c>
      <c r="FZ91" s="12">
        <f>IF('Données projet'!$A$244&gt;35,FZ90+FY91-GH90,IF(A91&lt;'Données projet'!$A$244,$FW$205^A91,IF(A91='Données projet'!$A$244,'Données projet'!$B$244,FZ90+FY91-GH90)))</f>
        <v>264.39000000000016</v>
      </c>
      <c r="GA91" s="17">
        <f>FZ91*VLOOKUP('Données projet'!$B$17,Paramètres!$A$1:$I$89,3,0)*VLOOKUP('Données projet'!$B$17,Paramètres!$A$1:$I$89,5,0)</f>
        <v>222.72213600000015</v>
      </c>
      <c r="GB91" s="13">
        <f t="shared" si="103"/>
        <v>54.70610442073766</v>
      </c>
      <c r="GC91" s="20">
        <f t="shared" si="79"/>
        <v>483.18751873278489</v>
      </c>
      <c r="GD91" s="59">
        <f t="shared" si="80"/>
        <v>763.55079542978604</v>
      </c>
      <c r="GE91" s="59">
        <f ca="1">AVERAGE(OFFSET($GD$3,0,0,'Données projet'!$E$17+1,1))-AVERAGE(OFFSET($H$3,0,0,'Données projet'!$E$17+1,1))</f>
        <v>385.41819366740276</v>
      </c>
      <c r="GF91" s="59">
        <f t="shared" si="104"/>
        <v>262.4625391252718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29.901939703953673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29.901939703953673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66.462711826454864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3.3000000000000003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12.100000000000001</v>
      </c>
      <c r="H92" s="67">
        <f t="shared" si="56"/>
        <v>208.26666666666665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8.2910000000000021</v>
      </c>
      <c r="N92" s="13">
        <f>IF('Données projet'!$A$36&gt;35,N91+M92-V91,IF(A92&lt;'Données projet'!$A$36,$K$205^A92,IF(A92='Données projet'!$A$36,'Données projet'!$B$36,N91+M92-V91)))</f>
        <v>305.33500000000026</v>
      </c>
      <c r="O92" s="13">
        <f>N92*VLOOKUP('Données projet'!$B$9,Paramètres!$A$1:$I$89,3,0)*VLOOKUP('Données projet'!$B$9,Paramètres!$A$1:$I$89,5,0)</f>
        <v>276.26710800000023</v>
      </c>
      <c r="P92" s="13">
        <f t="shared" si="87"/>
        <v>66.177526346547864</v>
      </c>
      <c r="Q92" s="20">
        <f t="shared" si="54"/>
        <v>596.42440482023801</v>
      </c>
      <c r="R92" s="59">
        <f t="shared" si="55"/>
        <v>877.0126830031769</v>
      </c>
      <c r="S92" s="59">
        <f ca="1">AVERAGE(OFFSET($R$3,0,0,'Données projet'!$E$9+1,1))-AVERAGE(OFFSET($H$3,0,0,'Données projet'!$E$9+1,1))</f>
        <v>612.09138396952153</v>
      </c>
      <c r="T92" s="59">
        <f t="shared" si="88"/>
        <v>282.284310393542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39.079473260918625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39.079473260918625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309.60969000000028</v>
      </c>
      <c r="AK92" s="13">
        <f t="shared" si="89"/>
        <v>73.187311933195204</v>
      </c>
      <c r="AL92" s="20">
        <f t="shared" si="58"/>
        <v>666.70477836698205</v>
      </c>
      <c r="AM92" s="59">
        <f t="shared" si="59"/>
        <v>947.29305654992095</v>
      </c>
      <c r="AN92" s="59">
        <f ca="1">AVERAGE(OFFSET($AM$3,0,0,'Données projet'!$E$10+1,1))-AVERAGE(OFFSET($H$3,0,0,'Données projet'!$E$10+1,1))</f>
        <v>676.7112666359476</v>
      </c>
      <c r="AO92" s="59">
        <f t="shared" si="90"/>
        <v>309.67876644201385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43.79596141309846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43.79596141309846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304.84646400000025</v>
      </c>
      <c r="BF92" s="13">
        <f t="shared" si="91"/>
        <v>72.191518916891809</v>
      </c>
      <c r="BG92" s="20">
        <f t="shared" si="61"/>
        <v>656.67448691358697</v>
      </c>
      <c r="BH92" s="59">
        <f t="shared" si="62"/>
        <v>937.26276509652587</v>
      </c>
      <c r="BI92" s="59">
        <f ca="1">AVERAGE(OFFSET($BH$3,0,0,'Données projet'!$E$11+1,1))-AVERAGE(OFFSET($H$3,0,0,'Données projet'!$E$11+1,1))</f>
        <v>667.4887768032404</v>
      </c>
      <c r="BJ92" s="59">
        <f t="shared" si="92"/>
        <v>305.76944302827178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43.122177391358491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43.122177391358491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290.55678600000027</v>
      </c>
      <c r="CA92" s="13">
        <f t="shared" si="93"/>
        <v>69.193133194113571</v>
      </c>
      <c r="CB92" s="20">
        <f t="shared" si="64"/>
        <v>626.56444259641489</v>
      </c>
      <c r="CC92" s="59">
        <f t="shared" si="65"/>
        <v>907.15272077935379</v>
      </c>
      <c r="CD92" s="59">
        <f ca="1">AVERAGE(OFFSET($CC$3,0,0,'Données projet'!$E$12+1,1))-AVERAGE(OFFSET($H$3,0,0,'Données projet'!$E$12+1,1))</f>
        <v>639.80378676828764</v>
      </c>
      <c r="CE92" s="59">
        <f t="shared" si="94"/>
        <v>294.03328334345281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41.100825326138562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41.100825326138562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-1.7053025658242404E-13</v>
      </c>
      <c r="CU92" s="17">
        <f>CT92*VLOOKUP('Données projet'!$B$13,Paramètres!$A$1:$I$89,3,0)*VLOOKUP('Données projet'!$B$13,Paramètres!$A$1:$I$89,5,0)</f>
        <v>-1.4897523215040567E-13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340.64710509454375</v>
      </c>
      <c r="CZ92" s="59">
        <f t="shared" si="96"/>
        <v>329.6409514360613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81.643817028458784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81.643817028458784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8.2910000000000021</v>
      </c>
      <c r="DO92" s="12">
        <f>IF('Données projet'!$A$166&gt;35,DO91+DN92-DW91,IF(A92&lt;'Données projet'!$A$166,$DL$205^A92,IF(A92='Données projet'!$A$166,'Données projet'!$B$166,DO91+DN92-DW91)))</f>
        <v>305.33500000000026</v>
      </c>
      <c r="DP92" s="17">
        <f>DO92*VLOOKUP('Données projet'!$B$14,Paramètres!$A$1:$I$89,3,0)*VLOOKUP('Données projet'!$B$14,Paramètres!$A$1:$I$89,5,0)</f>
        <v>295.32001200000025</v>
      </c>
      <c r="DQ92" s="13">
        <f t="shared" si="97"/>
        <v>70.194462253560403</v>
      </c>
      <c r="DR92" s="20">
        <f t="shared" si="70"/>
        <v>636.60437599161821</v>
      </c>
      <c r="DS92" s="59">
        <f t="shared" si="71"/>
        <v>917.19265417455711</v>
      </c>
      <c r="DT92" s="59">
        <f ca="1">AVERAGE(OFFSET($DS$3,0,0,'Données projet'!$E$14+1,1))-AVERAGE(OFFSET($H$3,0,0,'Données projet'!$E$14+1,1))</f>
        <v>649.03508893149228</v>
      </c>
      <c r="DU92" s="59">
        <f t="shared" si="98"/>
        <v>297.94672581383213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41.774609347878531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41.774609347878531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8.2910000000000021</v>
      </c>
      <c r="EJ92" s="12">
        <f>IF('Données projet'!$A$192&gt;35,EJ91+EI92-ER91,IF(A92&lt;'Données projet'!$A$192,$EG$205^A92,IF(A92='Données projet'!$A$192,'Données projet'!$B$192,EJ91+EI92-ER91)))</f>
        <v>305.33500000000026</v>
      </c>
      <c r="EK92" s="17">
        <f>EJ92*VLOOKUP('Données projet'!$B$15,Paramètres!$A$1:$I$89,3,0)*VLOOKUP('Données projet'!$B$15,Paramètres!$A$1:$I$89,5,0)</f>
        <v>328.6625940000003</v>
      </c>
      <c r="EL92" s="13">
        <f t="shared" si="99"/>
        <v>77.152963285826345</v>
      </c>
      <c r="EM92" s="20">
        <f t="shared" si="73"/>
        <v>706.79542893948144</v>
      </c>
      <c r="EN92" s="59">
        <f t="shared" si="74"/>
        <v>987.38370712242033</v>
      </c>
      <c r="EO92" s="59">
        <f ca="1">AVERAGE(OFFSET($EN$3,0,0,'Données projet'!$E$15+1,1))-AVERAGE(OFFSET($H$3,0,0,'Données projet'!$E$15+1,1))</f>
        <v>713.57333631602273</v>
      </c>
      <c r="EP92" s="59">
        <f t="shared" si="100"/>
        <v>325.30302392555359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46.491097500058345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46.491097500058345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5.6843418860808015E-14</v>
      </c>
      <c r="FF92" s="17">
        <f>FE92*VLOOKUP('Données projet'!$B$16,Paramètres!$A$1:$I$89,3,0)*VLOOKUP('Données projet'!$B$16,Paramètres!$A$1:$I$89,5,0)</f>
        <v>4.4337866711430253E-14</v>
      </c>
      <c r="FG92" s="13">
        <f t="shared" si="101"/>
        <v>7.3222115536967035E-13</v>
      </c>
      <c r="FH92" s="20">
        <f t="shared" si="76"/>
        <v>1.3525069634579169E-12</v>
      </c>
      <c r="FI92" s="59">
        <f t="shared" si="77"/>
        <v>280.58827818294026</v>
      </c>
      <c r="FJ92" s="59">
        <f ca="1">AVERAGE(OFFSET($FI$3,0,0,'Données projet'!$E$16+1,1))-AVERAGE(OFFSET($H$3,0,0,'Données projet'!$E$16+1,1))</f>
        <v>302.04287561738482</v>
      </c>
      <c r="FK92" s="59">
        <f t="shared" si="102"/>
        <v>296.09828774694802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69.446156702331749</v>
      </c>
      <c r="FR92" s="21">
        <f>EXP(-LN(2)/25)*FR91+(1-EXP(-LN(2)/25))/(LN(2)/25)*Calculateur!FM92*Calculateur!FO92*VLOOKUP('Données projet'!$B$16,Paramètres!$A$1:$I$89,3,0)*0.475*44/12</f>
        <v>29.23675686880846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98.682913571140205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7.9879999999999969</v>
      </c>
      <c r="FZ92" s="12">
        <f>IF('Données projet'!$A$244&gt;35,FZ91+FY92-GH91,IF(A92&lt;'Données projet'!$A$244,$FW$205^A92,IF(A92='Données projet'!$A$244,'Données projet'!$B$244,FZ91+FY92-GH91)))</f>
        <v>272.37800000000016</v>
      </c>
      <c r="GA92" s="17">
        <f>FZ92*VLOOKUP('Données projet'!$B$17,Paramètres!$A$1:$I$89,3,0)*VLOOKUP('Données projet'!$B$17,Paramètres!$A$1:$I$89,5,0)</f>
        <v>229.45122720000015</v>
      </c>
      <c r="GB92" s="13">
        <f t="shared" si="103"/>
        <v>56.164007529639626</v>
      </c>
      <c r="GC92" s="20">
        <f t="shared" si="79"/>
        <v>497.44653382078923</v>
      </c>
      <c r="GD92" s="59">
        <f t="shared" si="80"/>
        <v>778.03481200372812</v>
      </c>
      <c r="GE92" s="59">
        <f ca="1">AVERAGE(OFFSET($GD$3,0,0,'Données projet'!$E$17+1,1))-AVERAGE(OFFSET($H$3,0,0,'Données projet'!$E$17+1,1))</f>
        <v>385.41819366740276</v>
      </c>
      <c r="GF92" s="59">
        <f t="shared" si="104"/>
        <v>262.4625391252718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29.31558090474147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29.31558090474147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66.524075868074249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3.3000000000000003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12.100000000000001</v>
      </c>
      <c r="H93" s="67">
        <f t="shared" si="56"/>
        <v>208.26666666666665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8.2910000000000021</v>
      </c>
      <c r="N93" s="13">
        <f>IF('Données projet'!$A$36&gt;35,N92+M93-V92,IF(A93&lt;'Données projet'!$A$36,$K$205^A93,IF(A93='Données projet'!$A$36,'Données projet'!$B$36,N92+M93-V92)))</f>
        <v>313.62600000000026</v>
      </c>
      <c r="O93" s="13">
        <f>N93*VLOOKUP('Données projet'!$B$9,Paramètres!$A$1:$I$89,3,0)*VLOOKUP('Données projet'!$B$9,Paramètres!$A$1:$I$89,5,0)</f>
        <v>283.76880480000023</v>
      </c>
      <c r="P93" s="13">
        <f t="shared" si="87"/>
        <v>67.762844856024827</v>
      </c>
      <c r="Q93" s="20">
        <f t="shared" si="54"/>
        <v>612.2509564842436</v>
      </c>
      <c r="R93" s="59">
        <f t="shared" si="55"/>
        <v>893.06033288036724</v>
      </c>
      <c r="S93" s="59">
        <f ca="1">AVERAGE(OFFSET($R$3,0,0,'Données projet'!$E$9+1,1))-AVERAGE(OFFSET($H$3,0,0,'Données projet'!$E$9+1,1))</f>
        <v>612.09138396952153</v>
      </c>
      <c r="T93" s="59">
        <f t="shared" si="88"/>
        <v>282.284310393542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38.31314862639708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38.31314862639708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318.01676400000025</v>
      </c>
      <c r="AK93" s="13">
        <f t="shared" si="89"/>
        <v>74.940553655452632</v>
      </c>
      <c r="AL93" s="20">
        <f t="shared" si="58"/>
        <v>684.40066158324714</v>
      </c>
      <c r="AM93" s="59">
        <f t="shared" si="59"/>
        <v>965.21003797937078</v>
      </c>
      <c r="AN93" s="59">
        <f ca="1">AVERAGE(OFFSET($AM$3,0,0,'Données projet'!$E$10+1,1))-AVERAGE(OFFSET($H$3,0,0,'Données projet'!$E$10+1,1))</f>
        <v>676.7112666359476</v>
      </c>
      <c r="AO93" s="59">
        <f t="shared" si="90"/>
        <v>309.67876644201385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42.937149322686381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42.937149322686381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313.1241984000003</v>
      </c>
      <c r="BF93" s="13">
        <f t="shared" si="91"/>
        <v>73.920905877759608</v>
      </c>
      <c r="BG93" s="20">
        <f t="shared" si="61"/>
        <v>674.10355661709843</v>
      </c>
      <c r="BH93" s="59">
        <f t="shared" si="62"/>
        <v>954.91293301322207</v>
      </c>
      <c r="BI93" s="59">
        <f ca="1">AVERAGE(OFFSET($BH$3,0,0,'Données projet'!$E$11+1,1))-AVERAGE(OFFSET($H$3,0,0,'Données projet'!$E$11+1,1))</f>
        <v>667.4887768032404</v>
      </c>
      <c r="BJ93" s="59">
        <f t="shared" si="92"/>
        <v>305.76944302827178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42.276577794645057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42.276577794645057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298.44650160000026</v>
      </c>
      <c r="CA93" s="13">
        <f t="shared" si="93"/>
        <v>70.850692199974645</v>
      </c>
      <c r="CB93" s="20">
        <f t="shared" si="64"/>
        <v>643.19261253495631</v>
      </c>
      <c r="CC93" s="59">
        <f t="shared" si="65"/>
        <v>924.00198893107995</v>
      </c>
      <c r="CD93" s="59">
        <f ca="1">AVERAGE(OFFSET($CC$3,0,0,'Données projet'!$E$12+1,1))-AVERAGE(OFFSET($H$3,0,0,'Données projet'!$E$12+1,1))</f>
        <v>639.80378676828764</v>
      </c>
      <c r="CE93" s="59">
        <f t="shared" si="94"/>
        <v>294.03328334345281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40.294863210521072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40.294863210521072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-1.7053025658242404E-13</v>
      </c>
      <c r="CU93" s="17">
        <f>CT93*VLOOKUP('Données projet'!$B$13,Paramètres!$A$1:$I$89,3,0)*VLOOKUP('Données projet'!$B$13,Paramètres!$A$1:$I$89,5,0)</f>
        <v>-1.4897523215040567E-13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340.64710509454375</v>
      </c>
      <c r="CZ93" s="59">
        <f t="shared" si="96"/>
        <v>329.6409514360613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80.042831574341974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80.042831574341974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8.2910000000000021</v>
      </c>
      <c r="DO93" s="12">
        <f>IF('Données projet'!$A$166&gt;35,DO92+DN93-DW92,IF(A93&lt;'Données projet'!$A$166,$DL$205^A93,IF(A93='Données projet'!$A$166,'Données projet'!$B$166,DO92+DN93-DW92)))</f>
        <v>313.62600000000026</v>
      </c>
      <c r="DP93" s="17">
        <f>DO93*VLOOKUP('Données projet'!$B$14,Paramètres!$A$1:$I$89,3,0)*VLOOKUP('Données projet'!$B$14,Paramètres!$A$1:$I$89,5,0)</f>
        <v>303.33906720000027</v>
      </c>
      <c r="DQ93" s="13">
        <f t="shared" si="97"/>
        <v>71.876008639724958</v>
      </c>
      <c r="DR93" s="20">
        <f t="shared" si="70"/>
        <v>653.4995904208547</v>
      </c>
      <c r="DS93" s="59">
        <f t="shared" si="71"/>
        <v>934.30896681697834</v>
      </c>
      <c r="DT93" s="59">
        <f ca="1">AVERAGE(OFFSET($DS$3,0,0,'Données projet'!$E$14+1,1))-AVERAGE(OFFSET($H$3,0,0,'Données projet'!$E$14+1,1))</f>
        <v>649.03508893149228</v>
      </c>
      <c r="DU93" s="59">
        <f t="shared" si="98"/>
        <v>297.94672581383213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40.955434738562396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40.955434738562396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8.2910000000000021</v>
      </c>
      <c r="EJ93" s="12">
        <f>IF('Données projet'!$A$192&gt;35,EJ92+EI93-ER92,IF(A93&lt;'Données projet'!$A$192,$EG$205^A93,IF(A93='Données projet'!$A$192,'Données projet'!$B$192,EJ92+EI93-ER92)))</f>
        <v>313.62600000000026</v>
      </c>
      <c r="EK93" s="17">
        <f>EJ93*VLOOKUP('Données projet'!$B$15,Paramètres!$A$1:$I$89,3,0)*VLOOKUP('Données projet'!$B$15,Paramètres!$A$1:$I$89,5,0)</f>
        <v>337.5870264000003</v>
      </c>
      <c r="EL93" s="13">
        <f t="shared" si="99"/>
        <v>79.001204335476828</v>
      </c>
      <c r="EM93" s="20">
        <f t="shared" si="73"/>
        <v>725.55783519762269</v>
      </c>
      <c r="EN93" s="59">
        <f t="shared" si="74"/>
        <v>1006.3672115937463</v>
      </c>
      <c r="EO93" s="59">
        <f ca="1">AVERAGE(OFFSET($EN$3,0,0,'Données projet'!$E$15+1,1))-AVERAGE(OFFSET($H$3,0,0,'Données projet'!$E$15+1,1))</f>
        <v>713.57333631602273</v>
      </c>
      <c r="EP93" s="59">
        <f t="shared" si="100"/>
        <v>325.30302392555359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45.579435434851675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45.579435434851675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5.6843418860808015E-14</v>
      </c>
      <c r="FF93" s="17">
        <f>FE93*VLOOKUP('Données projet'!$B$16,Paramètres!$A$1:$I$89,3,0)*VLOOKUP('Données projet'!$B$16,Paramètres!$A$1:$I$89,5,0)</f>
        <v>4.4337866711430253E-14</v>
      </c>
      <c r="FG93" s="13">
        <f t="shared" si="101"/>
        <v>7.3222115536967035E-13</v>
      </c>
      <c r="FH93" s="20">
        <f t="shared" si="76"/>
        <v>1.3525069634579169E-12</v>
      </c>
      <c r="FI93" s="59">
        <f t="shared" si="77"/>
        <v>280.809376396125</v>
      </c>
      <c r="FJ93" s="59">
        <f ca="1">AVERAGE(OFFSET($FI$3,0,0,'Données projet'!$E$16+1,1))-AVERAGE(OFFSET($H$3,0,0,'Données projet'!$E$16+1,1))</f>
        <v>302.04287561738482</v>
      </c>
      <c r="FK93" s="59">
        <f t="shared" si="102"/>
        <v>296.09828774694802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68.084359927372105</v>
      </c>
      <c r="FR93" s="21">
        <f>EXP(-LN(2)/25)*FR92+(1-EXP(-LN(2)/25))/(LN(2)/25)*Calculateur!FM93*Calculateur!FO93*VLOOKUP('Données projet'!$B$16,Paramètres!$A$1:$I$89,3,0)*0.475*44/12</f>
        <v>28.43727621473667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96.521636142108775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7.9879999999999969</v>
      </c>
      <c r="FZ93" s="12">
        <f>IF('Données projet'!$A$244&gt;35,FZ92+FY93-GH92,IF(A93&lt;'Données projet'!$A$244,$FW$205^A93,IF(A93='Données projet'!$A$244,'Données projet'!$B$244,FZ92+FY93-GH92)))</f>
        <v>280.36600000000016</v>
      </c>
      <c r="GA93" s="17">
        <f>FZ93*VLOOKUP('Données projet'!$B$17,Paramètres!$A$1:$I$89,3,0)*VLOOKUP('Données projet'!$B$17,Paramètres!$A$1:$I$89,5,0)</f>
        <v>236.18031840000015</v>
      </c>
      <c r="GB93" s="13">
        <f t="shared" si="103"/>
        <v>57.61694159958833</v>
      </c>
      <c r="GC93" s="20">
        <f t="shared" si="79"/>
        <v>511.69689449928336</v>
      </c>
      <c r="GD93" s="59">
        <f t="shared" si="80"/>
        <v>792.50627089540694</v>
      </c>
      <c r="GE93" s="59">
        <f ca="1">AVERAGE(OFFSET($GD$3,0,0,'Données projet'!$E$17+1,1))-AVERAGE(OFFSET($H$3,0,0,'Données projet'!$E$17+1,1))</f>
        <v>385.41819366740276</v>
      </c>
      <c r="GF93" s="59">
        <f t="shared" si="104"/>
        <v>262.4625391252718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28.740720243938267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28.740720243938267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66.584375380760989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3.3000000000000003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12.100000000000001</v>
      </c>
      <c r="H94" s="67">
        <f t="shared" si="56"/>
        <v>208.26666666666665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8.2910000000000021</v>
      </c>
      <c r="N94" s="13">
        <f>IF('Données projet'!$A$36&gt;35,N93+M94-V93,IF(A94&lt;'Données projet'!$A$36,$K$205^A94,IF(A94='Données projet'!$A$36,'Données projet'!$B$36,N93+M94-V93)))</f>
        <v>321.91700000000026</v>
      </c>
      <c r="O94" s="13">
        <f>N94*VLOOKUP('Données projet'!$B$9,Paramètres!$A$1:$I$89,3,0)*VLOOKUP('Données projet'!$B$9,Paramètres!$A$1:$I$89,5,0)</f>
        <v>291.27050160000022</v>
      </c>
      <c r="P94" s="13">
        <f t="shared" si="87"/>
        <v>69.343292010233441</v>
      </c>
      <c r="Q94" s="20">
        <f t="shared" si="54"/>
        <v>628.0690238711569</v>
      </c>
      <c r="R94" s="59">
        <f t="shared" si="55"/>
        <v>909.09566292076806</v>
      </c>
      <c r="S94" s="59">
        <f ca="1">AVERAGE(OFFSET($R$3,0,0,'Données projet'!$E$9+1,1))-AVERAGE(OFFSET($H$3,0,0,'Données projet'!$E$9+1,1))</f>
        <v>612.09138396952153</v>
      </c>
      <c r="T94" s="59">
        <f t="shared" si="88"/>
        <v>282.284310393542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37.561851150546623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37.561851150546623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326.42383800000027</v>
      </c>
      <c r="AK94" s="13">
        <f t="shared" si="89"/>
        <v>76.688408029206073</v>
      </c>
      <c r="AL94" s="20">
        <f t="shared" si="58"/>
        <v>702.08716183420108</v>
      </c>
      <c r="AM94" s="59">
        <f t="shared" si="59"/>
        <v>983.11380088381225</v>
      </c>
      <c r="AN94" s="59">
        <f ca="1">AVERAGE(OFFSET($AM$3,0,0,'Données projet'!$E$10+1,1))-AVERAGE(OFFSET($H$3,0,0,'Données projet'!$E$10+1,1))</f>
        <v>676.7112666359476</v>
      </c>
      <c r="AO94" s="59">
        <f t="shared" si="90"/>
        <v>309.67876644201385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42.095178013543631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42.095178013543631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321.40193280000028</v>
      </c>
      <c r="BF94" s="13">
        <f t="shared" si="91"/>
        <v>75.644978790861941</v>
      </c>
      <c r="BG94" s="20">
        <f t="shared" si="61"/>
        <v>691.52337102075171</v>
      </c>
      <c r="BH94" s="59">
        <f t="shared" si="62"/>
        <v>972.55001007036276</v>
      </c>
      <c r="BI94" s="59">
        <f ca="1">AVERAGE(OFFSET($BH$3,0,0,'Données projet'!$E$11+1,1))-AVERAGE(OFFSET($H$3,0,0,'Données projet'!$E$11+1,1))</f>
        <v>667.4887768032404</v>
      </c>
      <c r="BJ94" s="59">
        <f t="shared" si="92"/>
        <v>305.76944302827178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41.447559890258347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41.447559890258347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306.33621720000025</v>
      </c>
      <c r="CA94" s="13">
        <f t="shared" si="93"/>
        <v>72.503157870491862</v>
      </c>
      <c r="CB94" s="20">
        <f t="shared" si="64"/>
        <v>659.81191158110698</v>
      </c>
      <c r="CC94" s="59">
        <f t="shared" si="65"/>
        <v>940.83855063071815</v>
      </c>
      <c r="CD94" s="59">
        <f ca="1">AVERAGE(OFFSET($CC$3,0,0,'Données projet'!$E$12+1,1))-AVERAGE(OFFSET($H$3,0,0,'Données projet'!$E$12+1,1))</f>
        <v>639.80378676828764</v>
      </c>
      <c r="CE94" s="59">
        <f t="shared" si="94"/>
        <v>294.03328334345281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39.504705520402489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39.504705520402489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-1.7053025658242404E-13</v>
      </c>
      <c r="CU94" s="17">
        <f>CT94*VLOOKUP('Données projet'!$B$13,Paramètres!$A$1:$I$89,3,0)*VLOOKUP('Données projet'!$B$13,Paramètres!$A$1:$I$89,5,0)</f>
        <v>-1.4897523215040567E-13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340.64710509454375</v>
      </c>
      <c r="CZ94" s="59">
        <f t="shared" si="96"/>
        <v>329.6409514360613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78.47324046847568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78.47324046847568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8.2910000000000021</v>
      </c>
      <c r="DO94" s="12">
        <f>IF('Données projet'!$A$166&gt;35,DO93+DN94-DW93,IF(A94&lt;'Données projet'!$A$166,$DL$205^A94,IF(A94='Données projet'!$A$166,'Données projet'!$B$166,DO93+DN94-DW93)))</f>
        <v>321.91700000000026</v>
      </c>
      <c r="DP94" s="17">
        <f>DO94*VLOOKUP('Données projet'!$B$14,Paramètres!$A$1:$I$89,3,0)*VLOOKUP('Données projet'!$B$14,Paramètres!$A$1:$I$89,5,0)</f>
        <v>311.35812240000024</v>
      </c>
      <c r="DQ94" s="13">
        <f t="shared" si="97"/>
        <v>73.552387982296665</v>
      </c>
      <c r="DR94" s="20">
        <f t="shared" si="70"/>
        <v>670.38580558250044</v>
      </c>
      <c r="DS94" s="59">
        <f t="shared" si="71"/>
        <v>951.4124446321116</v>
      </c>
      <c r="DT94" s="59">
        <f ca="1">AVERAGE(OFFSET($DS$3,0,0,'Données projet'!$E$14+1,1))-AVERAGE(OFFSET($H$3,0,0,'Données projet'!$E$14+1,1))</f>
        <v>649.03508893149228</v>
      </c>
      <c r="DU94" s="59">
        <f t="shared" si="98"/>
        <v>297.94672581383213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40.152323643687772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40.152323643687772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8.2910000000000021</v>
      </c>
      <c r="EJ94" s="12">
        <f>IF('Données projet'!$A$192&gt;35,EJ93+EI94-ER93,IF(A94&lt;'Données projet'!$A$192,$EG$205^A94,IF(A94='Données projet'!$A$192,'Données projet'!$B$192,EJ93+EI94-ER93)))</f>
        <v>321.91700000000026</v>
      </c>
      <c r="EK94" s="17">
        <f>EJ94*VLOOKUP('Données projet'!$B$15,Paramètres!$A$1:$I$89,3,0)*VLOOKUP('Données projet'!$B$15,Paramètres!$A$1:$I$89,5,0)</f>
        <v>346.51145880000024</v>
      </c>
      <c r="EL94" s="13">
        <f t="shared" si="99"/>
        <v>80.843766123376099</v>
      </c>
      <c r="EM94" s="20">
        <f t="shared" si="73"/>
        <v>744.31035007488038</v>
      </c>
      <c r="EN94" s="59">
        <f t="shared" si="74"/>
        <v>1025.3369891244915</v>
      </c>
      <c r="EO94" s="59">
        <f ca="1">AVERAGE(OFFSET($EN$3,0,0,'Données projet'!$E$15+1,1))-AVERAGE(OFFSET($H$3,0,0,'Données projet'!$E$15+1,1))</f>
        <v>713.57333631602273</v>
      </c>
      <c r="EP94" s="59">
        <f t="shared" si="100"/>
        <v>325.30302392555359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44.685650506684759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44.685650506684759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5.6843418860808015E-14</v>
      </c>
      <c r="FF94" s="17">
        <f>FE94*VLOOKUP('Données projet'!$B$16,Paramètres!$A$1:$I$89,3,0)*VLOOKUP('Données projet'!$B$16,Paramètres!$A$1:$I$89,5,0)</f>
        <v>4.4337866711430253E-14</v>
      </c>
      <c r="FG94" s="13">
        <f t="shared" si="101"/>
        <v>7.3222115536967035E-13</v>
      </c>
      <c r="FH94" s="20">
        <f t="shared" si="76"/>
        <v>1.3525069634579169E-12</v>
      </c>
      <c r="FI94" s="59">
        <f t="shared" si="77"/>
        <v>281.02663904961247</v>
      </c>
      <c r="FJ94" s="59">
        <f ca="1">AVERAGE(OFFSET($FI$3,0,0,'Données projet'!$E$16+1,1))-AVERAGE(OFFSET($H$3,0,0,'Données projet'!$E$16+1,1))</f>
        <v>302.04287561738482</v>
      </c>
      <c r="FK94" s="59">
        <f t="shared" si="102"/>
        <v>296.09828774694802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66.749267156555405</v>
      </c>
      <c r="FR94" s="21">
        <f>EXP(-LN(2)/25)*FR93+(1-EXP(-LN(2)/25))/(LN(2)/25)*Calculateur!FM94*Calculateur!FO94*VLOOKUP('Données projet'!$B$16,Paramètres!$A$1:$I$89,3,0)*0.475*44/12</f>
        <v>27.659657401193336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94.408924557748747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7.9879999999999969</v>
      </c>
      <c r="FZ94" s="12">
        <f>IF('Données projet'!$A$244&gt;35,FZ93+FY94-GH93,IF(A94&lt;'Données projet'!$A$244,$FW$205^A94,IF(A94='Données projet'!$A$244,'Données projet'!$B$244,FZ93+FY94-GH93)))</f>
        <v>288.35400000000016</v>
      </c>
      <c r="GA94" s="17">
        <f>FZ94*VLOOKUP('Données projet'!$B$17,Paramètres!$A$1:$I$89,3,0)*VLOOKUP('Données projet'!$B$17,Paramètres!$A$1:$I$89,5,0)</f>
        <v>242.90940960000015</v>
      </c>
      <c r="GB94" s="13">
        <f t="shared" si="103"/>
        <v>59.065064465860083</v>
      </c>
      <c r="GC94" s="20">
        <f t="shared" si="79"/>
        <v>525.93887566470653</v>
      </c>
      <c r="GD94" s="59">
        <f t="shared" si="80"/>
        <v>806.96551471431758</v>
      </c>
      <c r="GE94" s="59">
        <f ca="1">AVERAGE(OFFSET($GD$3,0,0,'Données projet'!$E$17+1,1))-AVERAGE(OFFSET($H$3,0,0,'Données projet'!$E$17+1,1))</f>
        <v>385.41819366740276</v>
      </c>
      <c r="GF94" s="59">
        <f t="shared" si="104"/>
        <v>262.4625391252718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28.177132250063032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28.177132250063032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66.643628831712121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3.3000000000000003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12.100000000000001</v>
      </c>
      <c r="H95" s="67">
        <f t="shared" si="56"/>
        <v>208.26666666666665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8.2910000000000021</v>
      </c>
      <c r="N95" s="13">
        <f>IF('Données projet'!$A$36&gt;35,N94+M95-V94,IF(A95&lt;'Données projet'!$A$36,$K$205^A95,IF(A95='Données projet'!$A$36,'Données projet'!$B$36,N94+M95-V94)))</f>
        <v>330.20800000000025</v>
      </c>
      <c r="O95" s="13">
        <f>N95*VLOOKUP('Données projet'!$B$9,Paramètres!$A$1:$I$89,3,0)*VLOOKUP('Données projet'!$B$9,Paramètres!$A$1:$I$89,5,0)</f>
        <v>298.77219840000021</v>
      </c>
      <c r="P95" s="13">
        <f t="shared" si="87"/>
        <v>70.919007696700163</v>
      </c>
      <c r="Q95" s="20">
        <f t="shared" si="54"/>
        <v>643.87885061841985</v>
      </c>
      <c r="R95" s="59">
        <f t="shared" si="55"/>
        <v>925.11898330020699</v>
      </c>
      <c r="S95" s="59">
        <f ca="1">AVERAGE(OFFSET($R$3,0,0,'Données projet'!$E$9+1,1))-AVERAGE(OFFSET($H$3,0,0,'Données projet'!$E$9+1,1))</f>
        <v>612.09138396952153</v>
      </c>
      <c r="T95" s="59">
        <f t="shared" si="88"/>
        <v>282.284310393542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36.825286159951382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36.825286159951382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334.8309120000003</v>
      </c>
      <c r="AK95" s="13">
        <f t="shared" si="89"/>
        <v>78.431029759422557</v>
      </c>
      <c r="AL95" s="20">
        <f t="shared" si="58"/>
        <v>719.76454856432804</v>
      </c>
      <c r="AM95" s="59">
        <f t="shared" si="59"/>
        <v>1001.0046812461151</v>
      </c>
      <c r="AN95" s="59">
        <f ca="1">AVERAGE(OFFSET($AM$3,0,0,'Données projet'!$E$10+1,1))-AVERAGE(OFFSET($H$3,0,0,'Données projet'!$E$10+1,1))</f>
        <v>676.7112666359476</v>
      </c>
      <c r="AO95" s="59">
        <f t="shared" si="90"/>
        <v>309.67876644201385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41.269717248221383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41.269717248221383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329.67966720000027</v>
      </c>
      <c r="BF95" s="13">
        <f t="shared" si="91"/>
        <v>77.363890256236388</v>
      </c>
      <c r="BG95" s="20">
        <f t="shared" si="61"/>
        <v>708.93419590294559</v>
      </c>
      <c r="BH95" s="59">
        <f t="shared" si="62"/>
        <v>990.17432858473262</v>
      </c>
      <c r="BI95" s="59">
        <f ca="1">AVERAGE(OFFSET($BH$3,0,0,'Données projet'!$E$11+1,1))-AVERAGE(OFFSET($H$3,0,0,'Données projet'!$E$11+1,1))</f>
        <v>667.4887768032404</v>
      </c>
      <c r="BJ95" s="59">
        <f t="shared" si="92"/>
        <v>305.76944302827178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40.634798521325671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40.634798521325671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314.22593280000024</v>
      </c>
      <c r="CA95" s="13">
        <f t="shared" si="93"/>
        <v>74.150676467648211</v>
      </c>
      <c r="CB95" s="20">
        <f t="shared" si="64"/>
        <v>676.42259447448771</v>
      </c>
      <c r="CC95" s="59">
        <f t="shared" si="65"/>
        <v>957.66272715627474</v>
      </c>
      <c r="CD95" s="59">
        <f ca="1">AVERAGE(OFFSET($CC$3,0,0,'Données projet'!$E$12+1,1))-AVERAGE(OFFSET($H$3,0,0,'Données projet'!$E$12+1,1))</f>
        <v>639.80378676828764</v>
      </c>
      <c r="CE95" s="59">
        <f t="shared" si="94"/>
        <v>294.03328334345281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38.730042340638533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38.730042340638533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-1.7053025658242404E-13</v>
      </c>
      <c r="CU95" s="17">
        <f>CT95*VLOOKUP('Données projet'!$B$13,Paramètres!$A$1:$I$89,3,0)*VLOOKUP('Données projet'!$B$13,Paramètres!$A$1:$I$89,5,0)</f>
        <v>-1.4897523215040567E-13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340.64710509454375</v>
      </c>
      <c r="CZ95" s="59">
        <f t="shared" si="96"/>
        <v>329.6409514360613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76.934428086839389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76.934428086839389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8.2910000000000021</v>
      </c>
      <c r="DO95" s="12">
        <f>IF('Données projet'!$A$166&gt;35,DO94+DN95-DW94,IF(A95&lt;'Données projet'!$A$166,$DL$205^A95,IF(A95='Données projet'!$A$166,'Données projet'!$B$166,DO94+DN95-DW94)))</f>
        <v>330.20800000000025</v>
      </c>
      <c r="DP95" s="17">
        <f>DO95*VLOOKUP('Données projet'!$B$14,Paramètres!$A$1:$I$89,3,0)*VLOOKUP('Données projet'!$B$14,Paramètres!$A$1:$I$89,5,0)</f>
        <v>319.37717760000021</v>
      </c>
      <c r="DQ95" s="13">
        <f t="shared" si="97"/>
        <v>75.223748659890148</v>
      </c>
      <c r="DR95" s="20">
        <f t="shared" si="70"/>
        <v>687.26327990264235</v>
      </c>
      <c r="DS95" s="59">
        <f t="shared" si="71"/>
        <v>968.5034125844295</v>
      </c>
      <c r="DT95" s="59">
        <f ca="1">AVERAGE(OFFSET($DS$3,0,0,'Données projet'!$E$14+1,1))-AVERAGE(OFFSET($H$3,0,0,'Données projet'!$E$14+1,1))</f>
        <v>649.03508893149228</v>
      </c>
      <c r="DU95" s="59">
        <f t="shared" si="98"/>
        <v>297.94672581383213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39.364961067534239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39.364961067534239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8.2910000000000021</v>
      </c>
      <c r="EJ95" s="12">
        <f>IF('Données projet'!$A$192&gt;35,EJ94+EI95-ER94,IF(A95&lt;'Données projet'!$A$192,$EG$205^A95,IF(A95='Données projet'!$A$192,'Données projet'!$B$192,EJ94+EI95-ER94)))</f>
        <v>330.20800000000025</v>
      </c>
      <c r="EK95" s="17">
        <f>EJ95*VLOOKUP('Données projet'!$B$15,Paramètres!$A$1:$I$89,3,0)*VLOOKUP('Données projet'!$B$15,Paramètres!$A$1:$I$89,5,0)</f>
        <v>355.43589120000024</v>
      </c>
      <c r="EL95" s="13">
        <f t="shared" si="99"/>
        <v>82.68081173717313</v>
      </c>
      <c r="EM95" s="20">
        <f t="shared" si="73"/>
        <v>763.05325761557697</v>
      </c>
      <c r="EN95" s="59">
        <f t="shared" si="74"/>
        <v>1044.2933902973641</v>
      </c>
      <c r="EO95" s="59">
        <f ca="1">AVERAGE(OFFSET($EN$3,0,0,'Données projet'!$E$15+1,1))-AVERAGE(OFFSET($H$3,0,0,'Données projet'!$E$15+1,1))</f>
        <v>713.57333631602273</v>
      </c>
      <c r="EP95" s="59">
        <f t="shared" si="100"/>
        <v>325.30302392555359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43.809392155804218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43.809392155804218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5.6843418860808015E-14</v>
      </c>
      <c r="FF95" s="17">
        <f>FE95*VLOOKUP('Données projet'!$B$16,Paramètres!$A$1:$I$89,3,0)*VLOOKUP('Données projet'!$B$16,Paramètres!$A$1:$I$89,5,0)</f>
        <v>4.4337866711430253E-14</v>
      </c>
      <c r="FG95" s="13">
        <f t="shared" si="101"/>
        <v>7.3222115536967035E-13</v>
      </c>
      <c r="FH95" s="20">
        <f t="shared" si="76"/>
        <v>1.3525069634579169E-12</v>
      </c>
      <c r="FI95" s="59">
        <f t="shared" si="77"/>
        <v>281.24013268178845</v>
      </c>
      <c r="FJ95" s="59">
        <f ca="1">AVERAGE(OFFSET($FI$3,0,0,'Données projet'!$E$16+1,1))-AVERAGE(OFFSET($H$3,0,0,'Données projet'!$E$16+1,1))</f>
        <v>302.04287561738482</v>
      </c>
      <c r="FK95" s="59">
        <f t="shared" si="102"/>
        <v>296.09828774694802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65.440354740648246</v>
      </c>
      <c r="FR95" s="21">
        <f>EXP(-LN(2)/25)*FR94+(1-EXP(-LN(2)/25))/(LN(2)/25)*Calculateur!FM95*Calculateur!FO95*VLOOKUP('Données projet'!$B$16,Paramètres!$A$1:$I$89,3,0)*0.475*44/12</f>
        <v>26.903302614999539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92.343657355647792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7.9879999999999969</v>
      </c>
      <c r="FZ95" s="12">
        <f>IF('Données projet'!$A$244&gt;35,FZ94+FY95-GH94,IF(A95&lt;'Données projet'!$A$244,$FW$205^A95,IF(A95='Données projet'!$A$244,'Données projet'!$B$244,FZ94+FY95-GH94)))</f>
        <v>296.34200000000016</v>
      </c>
      <c r="GA95" s="17">
        <f>FZ95*VLOOKUP('Données projet'!$B$17,Paramètres!$A$1:$I$89,3,0)*VLOOKUP('Données projet'!$B$17,Paramètres!$A$1:$I$89,5,0)</f>
        <v>249.63850080000017</v>
      </c>
      <c r="GB95" s="13">
        <f t="shared" si="103"/>
        <v>60.508524721393243</v>
      </c>
      <c r="GC95" s="20">
        <f t="shared" si="79"/>
        <v>540.17273611642679</v>
      </c>
      <c r="GD95" s="59">
        <f t="shared" si="80"/>
        <v>821.41286879821382</v>
      </c>
      <c r="GE95" s="59">
        <f ca="1">AVERAGE(OFFSET($GD$3,0,0,'Données projet'!$E$17+1,1))-AVERAGE(OFFSET($H$3,0,0,'Données projet'!$E$17+1,1))</f>
        <v>385.41819366740276</v>
      </c>
      <c r="GF95" s="59">
        <f t="shared" si="104"/>
        <v>262.4625391252718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27.624595872992955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27.624595872992955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66.70185436776012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3.3000000000000003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12.100000000000001</v>
      </c>
      <c r="H96" s="67">
        <f t="shared" si="56"/>
        <v>208.26666666666665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8.2910000000000021</v>
      </c>
      <c r="N96" s="13">
        <f>IF('Données projet'!$A$36&gt;35,N95+M96-V95,IF(A96&lt;'Données projet'!$A$36,$K$205^A96,IF(A96='Données projet'!$A$36,'Données projet'!$B$36,N95+M96-V95)))</f>
        <v>338.49900000000025</v>
      </c>
      <c r="O96" s="13">
        <f>N96*VLOOKUP('Données projet'!$B$9,Paramètres!$A$1:$I$89,3,0)*VLOOKUP('Données projet'!$B$9,Paramètres!$A$1:$I$89,5,0)</f>
        <v>306.27389520000025</v>
      </c>
      <c r="P96" s="13">
        <f t="shared" si="87"/>
        <v>72.490124377904692</v>
      </c>
      <c r="Q96" s="20">
        <f t="shared" si="54"/>
        <v>659.68066743151769</v>
      </c>
      <c r="R96" s="59">
        <f t="shared" si="55"/>
        <v>941.13059010826282</v>
      </c>
      <c r="S96" s="59">
        <f ca="1">AVERAGE(OFFSET($R$3,0,0,'Données projet'!$E$9+1,1))-AVERAGE(OFFSET($H$3,0,0,'Données projet'!$E$9+1,1))</f>
        <v>612.09138396952153</v>
      </c>
      <c r="T96" s="59">
        <f t="shared" si="88"/>
        <v>282.284310393542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36.10316475956143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36.10316475956143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343.23798600000026</v>
      </c>
      <c r="AK96" s="13">
        <f t="shared" si="89"/>
        <v>80.16856533953208</v>
      </c>
      <c r="AL96" s="20">
        <f t="shared" si="58"/>
        <v>737.43307691635209</v>
      </c>
      <c r="AM96" s="59">
        <f t="shared" si="59"/>
        <v>1018.8829995930971</v>
      </c>
      <c r="AN96" s="59">
        <f ca="1">AVERAGE(OFFSET($AM$3,0,0,'Données projet'!$E$10+1,1))-AVERAGE(OFFSET($H$3,0,0,'Données projet'!$E$10+1,1))</f>
        <v>676.7112666359476</v>
      </c>
      <c r="AO96" s="59">
        <f t="shared" si="90"/>
        <v>309.67876644201385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40.460443265025752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40.460443265025752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337.95740160000025</v>
      </c>
      <c r="BF96" s="13">
        <f t="shared" si="91"/>
        <v>79.07778477411054</v>
      </c>
      <c r="BG96" s="20">
        <f t="shared" si="61"/>
        <v>726.33628293490972</v>
      </c>
      <c r="BH96" s="59">
        <f t="shared" si="62"/>
        <v>1007.7862056116549</v>
      </c>
      <c r="BI96" s="59">
        <f ca="1">AVERAGE(OFFSET($BH$3,0,0,'Données projet'!$E$11+1,1))-AVERAGE(OFFSET($H$3,0,0,'Données projet'!$E$11+1,1))</f>
        <v>667.4887768032404</v>
      </c>
      <c r="BJ96" s="59">
        <f t="shared" si="92"/>
        <v>305.76944302827178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39.837974907102279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39.837974907102279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322.11564840000028</v>
      </c>
      <c r="CA96" s="13">
        <f t="shared" si="93"/>
        <v>75.793386490032546</v>
      </c>
      <c r="CB96" s="20">
        <f t="shared" si="64"/>
        <v>693.02490243347381</v>
      </c>
      <c r="CC96" s="59">
        <f t="shared" si="65"/>
        <v>974.47482511021894</v>
      </c>
      <c r="CD96" s="59">
        <f ca="1">AVERAGE(OFFSET($CC$3,0,0,'Données projet'!$E$12+1,1))-AVERAGE(OFFSET($H$3,0,0,'Données projet'!$E$12+1,1))</f>
        <v>639.80378676828764</v>
      </c>
      <c r="CE96" s="59">
        <f t="shared" si="94"/>
        <v>294.03328334345281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37.970569833331865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37.970569833331865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-1.7053025658242404E-13</v>
      </c>
      <c r="CU96" s="17">
        <f>CT96*VLOOKUP('Données projet'!$B$13,Paramètres!$A$1:$I$89,3,0)*VLOOKUP('Données projet'!$B$13,Paramètres!$A$1:$I$89,5,0)</f>
        <v>-1.4897523215040567E-13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340.64710509454375</v>
      </c>
      <c r="CZ96" s="59">
        <f t="shared" si="96"/>
        <v>329.6409514360613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75.425790877424106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75.425790877424106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8.2910000000000021</v>
      </c>
      <c r="DO96" s="12">
        <f>IF('Données projet'!$A$166&gt;35,DO95+DN96-DW95,IF(A96&lt;'Données projet'!$A$166,$DL$205^A96,IF(A96='Données projet'!$A$166,'Données projet'!$B$166,DO95+DN96-DW95)))</f>
        <v>338.49900000000025</v>
      </c>
      <c r="DP96" s="17">
        <f>DO96*VLOOKUP('Données projet'!$B$14,Paramètres!$A$1:$I$89,3,0)*VLOOKUP('Données projet'!$B$14,Paramètres!$A$1:$I$89,5,0)</f>
        <v>327.39623280000023</v>
      </c>
      <c r="DQ96" s="13">
        <f t="shared" si="97"/>
        <v>76.890231175377878</v>
      </c>
      <c r="DR96" s="20">
        <f t="shared" si="70"/>
        <v>704.13225809045025</v>
      </c>
      <c r="DS96" s="59">
        <f t="shared" si="71"/>
        <v>985.58218076719527</v>
      </c>
      <c r="DT96" s="59">
        <f ca="1">AVERAGE(OFFSET($DS$3,0,0,'Données projet'!$E$14+1,1))-AVERAGE(OFFSET($H$3,0,0,'Données projet'!$E$14+1,1))</f>
        <v>649.03508893149228</v>
      </c>
      <c r="DU96" s="59">
        <f t="shared" si="98"/>
        <v>297.94672581383213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38.593038191255324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38.593038191255324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8.2910000000000021</v>
      </c>
      <c r="EJ96" s="12">
        <f>IF('Données projet'!$A$192&gt;35,EJ95+EI96-ER95,IF(A96&lt;'Données projet'!$A$192,$EG$205^A96,IF(A96='Données projet'!$A$192,'Données projet'!$B$192,EJ95+EI96-ER95)))</f>
        <v>338.49900000000025</v>
      </c>
      <c r="EK96" s="17">
        <f>EJ96*VLOOKUP('Données projet'!$B$15,Paramètres!$A$1:$I$89,3,0)*VLOOKUP('Données projet'!$B$15,Paramètres!$A$1:$I$89,5,0)</f>
        <v>364.36032360000024</v>
      </c>
      <c r="EL96" s="13">
        <f t="shared" si="99"/>
        <v>84.512495608038222</v>
      </c>
      <c r="EM96" s="20">
        <f t="shared" si="73"/>
        <v>781.78682678733367</v>
      </c>
      <c r="EN96" s="59">
        <f t="shared" si="74"/>
        <v>1063.2367494640787</v>
      </c>
      <c r="EO96" s="59">
        <f ca="1">AVERAGE(OFFSET($EN$3,0,0,'Données projet'!$E$15+1,1))-AVERAGE(OFFSET($H$3,0,0,'Données projet'!$E$15+1,1))</f>
        <v>713.57333631602273</v>
      </c>
      <c r="EP96" s="59">
        <f t="shared" si="100"/>
        <v>325.30302392555359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42.950316696719625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42.950316696719625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5.6843418860808015E-14</v>
      </c>
      <c r="FF96" s="17">
        <f>FE96*VLOOKUP('Données projet'!$B$16,Paramètres!$A$1:$I$89,3,0)*VLOOKUP('Données projet'!$B$16,Paramètres!$A$1:$I$89,5,0)</f>
        <v>4.4337866711430253E-14</v>
      </c>
      <c r="FG96" s="13">
        <f t="shared" si="101"/>
        <v>7.3222115536967035E-13</v>
      </c>
      <c r="FH96" s="20">
        <f t="shared" si="76"/>
        <v>1.3525069634579169E-12</v>
      </c>
      <c r="FI96" s="59">
        <f t="shared" si="77"/>
        <v>281.44992267674644</v>
      </c>
      <c r="FJ96" s="59">
        <f ca="1">AVERAGE(OFFSET($FI$3,0,0,'Données projet'!$E$16+1,1))-AVERAGE(OFFSET($H$3,0,0,'Données projet'!$E$16+1,1))</f>
        <v>302.04287561738482</v>
      </c>
      <c r="FK96" s="59">
        <f t="shared" si="102"/>
        <v>296.09828774694802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64.157109298859282</v>
      </c>
      <c r="FR96" s="21">
        <f>EXP(-LN(2)/25)*FR95+(1-EXP(-LN(2)/25))/(LN(2)/25)*Calculateur!FM96*Calculateur!FO96*VLOOKUP('Données projet'!$B$16,Paramètres!$A$1:$I$89,3,0)*0.475*44/12</f>
        <v>26.16763039020918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90.324739689068466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>
        <f>VLOOKUP(A96,'Données projet'!$A$243:$I$263,2,0)</f>
        <v>304.33</v>
      </c>
      <c r="FX96" s="12">
        <f>VLOOKUP(A96,'Données projet'!$A$243:$I$263,9,0)</f>
        <v>7.9879999999999969</v>
      </c>
      <c r="FY96" s="12">
        <f t="array" ref="FY96">INDEX(FX:FX,MIN(IF(ISNUMBER(FX96:FX292),ROW(FX96:FX292),"")))</f>
        <v>7.9879999999999969</v>
      </c>
      <c r="FZ96" s="12">
        <f>IF('Données projet'!$A$244&gt;35,FZ95+FY96-GH95,IF(A96&lt;'Données projet'!$A$244,$FW$205^A96,IF(A96='Données projet'!$A$244,'Données projet'!$B$244,FZ95+FY96-GH95)))</f>
        <v>304.33000000000015</v>
      </c>
      <c r="GA96" s="17">
        <f>FZ96*VLOOKUP('Données projet'!$B$17,Paramètres!$A$1:$I$89,3,0)*VLOOKUP('Données projet'!$B$17,Paramètres!$A$1:$I$89,5,0)</f>
        <v>256.36759200000012</v>
      </c>
      <c r="GB96" s="13">
        <f t="shared" si="103"/>
        <v>61.947462492340996</v>
      </c>
      <c r="GC96" s="20">
        <f t="shared" si="79"/>
        <v>554.39871990749418</v>
      </c>
      <c r="GD96" s="59">
        <f t="shared" si="80"/>
        <v>835.84864258423931</v>
      </c>
      <c r="GE96" s="59">
        <f ca="1">AVERAGE(OFFSET($GD$3,0,0,'Données projet'!$E$17+1,1))-AVERAGE(OFFSET($H$3,0,0,'Données projet'!$E$17+1,1))</f>
        <v>385.41819366740276</v>
      </c>
      <c r="GF96" s="59">
        <f t="shared" si="104"/>
        <v>262.4625391252718</v>
      </c>
      <c r="GG96" s="15">
        <f>IF(ISNA(VLOOKUP(A96,'Données projet'!$A$243:$I$263,3,0)),0,VLOOKUP(A96,'Données projet'!$A$243:$I$263,3,0))</f>
        <v>8</v>
      </c>
      <c r="GH96" s="15">
        <f>IF(ISNA(VLOOKUP(A96,'Données projet'!$A$243:$I$263,4,0)),0,VLOOKUP(A96,'Données projet'!$A$243:$I$263,4,0))</f>
        <v>59.26</v>
      </c>
      <c r="GI96" s="16">
        <f>IF(ISNA(VLOOKUP(A96,'Données projet'!$A$243:$I$263,5,0)),0%,VLOOKUP(A96,'Données projet'!$A$243:$I$263,5,0)*VLOOKUP('Données projet'!$B$17,Paramètres!$A$1:$I$89,7,0))</f>
        <v>0.25800000000000001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41.320823356492156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41.320823356492156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66.759069820930478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3.3000000000000003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12.100000000000001</v>
      </c>
      <c r="H97" s="67">
        <f t="shared" si="56"/>
        <v>208.26666666666665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346.79</v>
      </c>
      <c r="L97" s="12">
        <f>VLOOKUP(A97,'Données projet'!$A$35:$I$55,9,0)</f>
        <v>8.2910000000000021</v>
      </c>
      <c r="M97" s="12">
        <f t="array" ref="M97">INDEX(L:L,MIN(IF(ISNUMBER(L97:L293),ROW(L97:L293),"")))</f>
        <v>8.2910000000000021</v>
      </c>
      <c r="N97" s="13">
        <f>IF('Données projet'!$A$36&gt;35,N96+M97-V96,IF(A97&lt;'Données projet'!$A$36,$K$205^A97,IF(A97='Données projet'!$A$36,'Données projet'!$B$36,N96+M97-V96)))</f>
        <v>346.79000000000025</v>
      </c>
      <c r="O97" s="13">
        <f>N97*VLOOKUP('Données projet'!$B$9,Paramètres!$A$1:$I$89,3,0)*VLOOKUP('Données projet'!$B$9,Paramètres!$A$1:$I$89,5,0)</f>
        <v>313.77559200000019</v>
      </c>
      <c r="P97" s="13">
        <f t="shared" si="87"/>
        <v>74.056767657464533</v>
      </c>
      <c r="Q97" s="20">
        <f t="shared" si="54"/>
        <v>675.47469307008441</v>
      </c>
      <c r="R97" s="59">
        <f t="shared" si="55"/>
        <v>957.13076635439518</v>
      </c>
      <c r="S97" s="59">
        <f ca="1">AVERAGE(OFFSET($R$3,0,0,'Données projet'!$E$9+1,1))-AVERAGE(OFFSET($H$3,0,0,'Données projet'!$E$9+1,1))</f>
        <v>612.09138396952153</v>
      </c>
      <c r="T97" s="59">
        <f t="shared" si="88"/>
        <v>282.284310393542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0.25800000000000001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51.356167505910733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51.356167505910733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351.64506000000029</v>
      </c>
      <c r="AK97" s="13">
        <f t="shared" si="89"/>
        <v>81.901153677584574</v>
      </c>
      <c r="AL97" s="20">
        <f t="shared" si="58"/>
        <v>755.09298882179371</v>
      </c>
      <c r="AM97" s="59">
        <f t="shared" si="59"/>
        <v>1036.7490621061045</v>
      </c>
      <c r="AN97" s="59">
        <f ca="1">AVERAGE(OFFSET($AM$3,0,0,'Données projet'!$E$10+1,1))-AVERAGE(OFFSET($H$3,0,0,'Données projet'!$E$10+1,1))</f>
        <v>676.7112666359476</v>
      </c>
      <c r="AO97" s="59">
        <f t="shared" si="90"/>
        <v>309.67876644201385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57.554325653175837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57.554325653175837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346.23513600000024</v>
      </c>
      <c r="BF97" s="13">
        <f t="shared" si="91"/>
        <v>80.78679936253917</v>
      </c>
      <c r="BG97" s="20">
        <f t="shared" si="61"/>
        <v>743.72987075642277</v>
      </c>
      <c r="BH97" s="59">
        <f t="shared" si="62"/>
        <v>1025.3859440407336</v>
      </c>
      <c r="BI97" s="59">
        <f ca="1">AVERAGE(OFFSET($BH$3,0,0,'Données projet'!$E$11+1,1))-AVERAGE(OFFSET($H$3,0,0,'Données projet'!$E$11+1,1))</f>
        <v>667.4887768032404</v>
      </c>
      <c r="BJ97" s="59">
        <f t="shared" si="92"/>
        <v>305.76944302827178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56.668874489280824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56.668874489280824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330.00536400000021</v>
      </c>
      <c r="CA97" s="13">
        <f t="shared" si="93"/>
        <v>77.43141926482366</v>
      </c>
      <c r="CB97" s="20">
        <f t="shared" si="64"/>
        <v>709.61906418623494</v>
      </c>
      <c r="CC97" s="59">
        <f t="shared" si="65"/>
        <v>991.2751374705457</v>
      </c>
      <c r="CD97" s="59">
        <f ca="1">AVERAGE(OFFSET($CC$3,0,0,'Données projet'!$E$12+1,1))-AVERAGE(OFFSET($H$3,0,0,'Données projet'!$E$12+1,1))</f>
        <v>639.80378676828764</v>
      </c>
      <c r="CE97" s="59">
        <f t="shared" si="94"/>
        <v>294.03328334345281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0.25800000000000001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54.012520997595786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54.012520997595786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-1.7053025658242404E-13</v>
      </c>
      <c r="CU97" s="17">
        <f>CT97*VLOOKUP('Données projet'!$B$13,Paramètres!$A$1:$I$89,3,0)*VLOOKUP('Données projet'!$B$13,Paramètres!$A$1:$I$89,5,0)</f>
        <v>-1.4897523215040567E-13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340.64710509454375</v>
      </c>
      <c r="CZ97" s="59">
        <f t="shared" si="96"/>
        <v>329.6409514360613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73.946737123507617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73.946737123507617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>
        <f>VLOOKUP(A97,'Données projet'!$A$165:$I$185,2,0)</f>
        <v>346.79</v>
      </c>
      <c r="DM97" s="12">
        <f>VLOOKUP(A97,'Données projet'!$A$165:$I$185,9,0)</f>
        <v>8.2910000000000021</v>
      </c>
      <c r="DN97" s="12">
        <f t="array" ref="DN97">INDEX(DM:DM,MIN(IF(ISNUMBER(DM97:DM293),ROW(DM97:DM293),"")))</f>
        <v>8.2910000000000021</v>
      </c>
      <c r="DO97" s="12">
        <f>IF('Données projet'!$A$166&gt;35,DO96+DN97-DW96,IF(A97&lt;'Données projet'!$A$166,$DL$205^A97,IF(A97='Données projet'!$A$166,'Données projet'!$B$166,DO96+DN97-DW96)))</f>
        <v>346.79000000000025</v>
      </c>
      <c r="DP97" s="17">
        <f>DO97*VLOOKUP('Données projet'!$B$14,Paramètres!$A$1:$I$89,3,0)*VLOOKUP('Données projet'!$B$14,Paramètres!$A$1:$I$89,5,0)</f>
        <v>335.41528800000026</v>
      </c>
      <c r="DQ97" s="13">
        <f t="shared" si="97"/>
        <v>78.551968756441127</v>
      </c>
      <c r="DR97" s="20">
        <f t="shared" si="70"/>
        <v>720.9929721841354</v>
      </c>
      <c r="DS97" s="59">
        <f t="shared" si="71"/>
        <v>1002.6490454684462</v>
      </c>
      <c r="DT97" s="59">
        <f ca="1">AVERAGE(OFFSET($DS$3,0,0,'Données projet'!$E$14+1,1))-AVERAGE(OFFSET($H$3,0,0,'Données projet'!$E$14+1,1))</f>
        <v>649.03508893149228</v>
      </c>
      <c r="DU97" s="59">
        <f t="shared" si="98"/>
        <v>297.94672581383213</v>
      </c>
      <c r="DV97" s="15">
        <f>IF(ISNA(VLOOKUP(A97,'Données projet'!$A$165:$I$185,3,0)),0,VLOOKUP(A97,'Données projet'!$A$165:$I$185,3,0))</f>
        <v>7</v>
      </c>
      <c r="DW97" s="15">
        <f>IF(ISNA(VLOOKUP(A97,'Données projet'!$A$165:$I$185,4,0)),0,VLOOKUP(A97,'Données projet'!$A$165:$I$185,4,0))</f>
        <v>61.85</v>
      </c>
      <c r="DX97" s="16">
        <f>IF(ISNA(VLOOKUP(A97,'Données projet'!$A$165:$I$185,5,0)),0%,VLOOKUP(A97,'Données projet'!$A$165:$I$185,5,0)*VLOOKUP('Données projet'!$B$14,Paramètres!$A$1:$I$89,7,0))</f>
        <v>0.25800000000000001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54.897972161490785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54.897972161490785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>
        <f>VLOOKUP(A97,'Données projet'!$A$191:$I$211,2,0)</f>
        <v>346.79</v>
      </c>
      <c r="EH97" s="12">
        <f>VLOOKUP(A97,'Données projet'!$A$191:$I$211,9,0)</f>
        <v>8.2910000000000021</v>
      </c>
      <c r="EI97" s="12">
        <f t="array" ref="EI97">INDEX(EH:EH,MIN(IF(ISNUMBER(EH97:EH293),ROW(EH97:EH293),"")))</f>
        <v>8.2910000000000021</v>
      </c>
      <c r="EJ97" s="12">
        <f>IF('Données projet'!$A$192&gt;35,EJ96+EI97-ER96,IF(A97&lt;'Données projet'!$A$192,$EG$205^A97,IF(A97='Données projet'!$A$192,'Données projet'!$B$192,EJ96+EI97-ER96)))</f>
        <v>346.79000000000025</v>
      </c>
      <c r="EK97" s="17">
        <f>EJ97*VLOOKUP('Données projet'!$B$15,Paramètres!$A$1:$I$89,3,0)*VLOOKUP('Données projet'!$B$15,Paramètres!$A$1:$I$89,5,0)</f>
        <v>373.28475600000024</v>
      </c>
      <c r="EL97" s="13">
        <f t="shared" si="99"/>
        <v>86.338964170748</v>
      </c>
      <c r="EM97" s="20">
        <f t="shared" si="73"/>
        <v>800.51131263071977</v>
      </c>
      <c r="EN97" s="59">
        <f t="shared" si="74"/>
        <v>1082.1673859150305</v>
      </c>
      <c r="EO97" s="59">
        <f ca="1">AVERAGE(OFFSET($EN$3,0,0,'Données projet'!$E$15+1,1))-AVERAGE(OFFSET($H$3,0,0,'Données projet'!$E$15+1,1))</f>
        <v>713.57333631602273</v>
      </c>
      <c r="EP97" s="59">
        <f t="shared" si="100"/>
        <v>325.30302392555359</v>
      </c>
      <c r="EQ97" s="15">
        <f>IF(ISNA(VLOOKUP(A97,'Données projet'!$A$191:$I$211,3,0)),0,VLOOKUP(A97,'Données projet'!$A$191:$I$211,3,0))</f>
        <v>7</v>
      </c>
      <c r="ER97" s="15">
        <f>IF(ISNA(VLOOKUP(A97,'Données projet'!$A$191:$I$211,4,0)),0,VLOOKUP(A97,'Données projet'!$A$191:$I$211,4,0))</f>
        <v>61.85</v>
      </c>
      <c r="ES97" s="16">
        <f>IF(ISNA(VLOOKUP(A97,'Données projet'!$A$191:$I$211,5,0)),0%,VLOOKUP(A97,'Données projet'!$A$191:$I$211,5,0)*VLOOKUP('Données projet'!$B$15,Paramètres!$A$1:$I$89,7,0))</f>
        <v>0.25800000000000001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61.096130308755875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61.096130308755875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5.6843418860808015E-14</v>
      </c>
      <c r="FF97" s="17">
        <f>FE97*VLOOKUP('Données projet'!$B$16,Paramètres!$A$1:$I$89,3,0)*VLOOKUP('Données projet'!$B$16,Paramètres!$A$1:$I$89,5,0)</f>
        <v>4.4337866711430253E-14</v>
      </c>
      <c r="FG97" s="13">
        <f t="shared" si="101"/>
        <v>7.3222115536967035E-13</v>
      </c>
      <c r="FH97" s="20">
        <f t="shared" si="76"/>
        <v>1.3525069634579169E-12</v>
      </c>
      <c r="FI97" s="59">
        <f t="shared" si="77"/>
        <v>281.65607328431213</v>
      </c>
      <c r="FJ97" s="59">
        <f ca="1">AVERAGE(OFFSET($FI$3,0,0,'Données projet'!$E$16+1,1))-AVERAGE(OFFSET($H$3,0,0,'Données projet'!$E$16+1,1))</f>
        <v>302.04287561738482</v>
      </c>
      <c r="FK97" s="59">
        <f t="shared" si="102"/>
        <v>296.09828774694802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62.899027517481365</v>
      </c>
      <c r="FR97" s="21">
        <f>EXP(-LN(2)/25)*FR96+(1-EXP(-LN(2)/25))/(LN(2)/25)*Calculateur!FM97*Calculateur!FO97*VLOOKUP('Données projet'!$B$16,Paramètres!$A$1:$I$89,3,0)*0.475*44/12</f>
        <v>25.452075161093035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88.351102678574392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7.7120000000000006</v>
      </c>
      <c r="FZ97" s="12">
        <f>IF('Données projet'!$A$244&gt;35,FZ96+FY97-GH96,IF(A97&lt;'Données projet'!$A$244,$FW$205^A97,IF(A97='Données projet'!$A$244,'Données projet'!$B$244,FZ96+FY97-GH96)))</f>
        <v>252.78200000000015</v>
      </c>
      <c r="GA97" s="17">
        <f>FZ97*VLOOKUP('Données projet'!$B$17,Paramètres!$A$1:$I$89,3,0)*VLOOKUP('Données projet'!$B$17,Paramètres!$A$1:$I$89,5,0)</f>
        <v>212.94355680000015</v>
      </c>
      <c r="GB97" s="13">
        <f t="shared" si="103"/>
        <v>52.578304887940781</v>
      </c>
      <c r="GC97" s="20">
        <f t="shared" si="79"/>
        <v>462.45057577316379</v>
      </c>
      <c r="GD97" s="59">
        <f t="shared" si="80"/>
        <v>744.10664905747456</v>
      </c>
      <c r="GE97" s="59">
        <f ca="1">AVERAGE(OFFSET($GD$3,0,0,'Données projet'!$E$17+1,1))-AVERAGE(OFFSET($H$3,0,0,'Données projet'!$E$17+1,1))</f>
        <v>385.41819366740276</v>
      </c>
      <c r="GF97" s="59">
        <f t="shared" si="104"/>
        <v>262.4625391252718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40.51054721368498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40.51054721368498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66.815292713902934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3.3000000000000003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12.100000000000001</v>
      </c>
      <c r="H98" s="67">
        <f t="shared" si="56"/>
        <v>208.26666666666665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8.0470000000000024</v>
      </c>
      <c r="N98" s="13">
        <f>IF('Données projet'!$A$36&gt;35,N97+M98-V97,IF(A98&lt;'Données projet'!$A$36,$K$205^A98,IF(A98='Données projet'!$A$36,'Données projet'!$B$36,N97+M98-V97)))</f>
        <v>292.98700000000025</v>
      </c>
      <c r="O98" s="13">
        <f>N98*VLOOKUP('Données projet'!$B$9,Paramètres!$A$1:$I$89,3,0)*VLOOKUP('Données projet'!$B$9,Paramètres!$A$1:$I$89,5,0)</f>
        <v>265.09463760000023</v>
      </c>
      <c r="P98" s="13">
        <f t="shared" si="87"/>
        <v>63.807119294189917</v>
      </c>
      <c r="Q98" s="20">
        <f t="shared" si="54"/>
        <v>572.83722659071452</v>
      </c>
      <c r="R98" s="59">
        <f t="shared" si="55"/>
        <v>854.69587423043345</v>
      </c>
      <c r="S98" s="59">
        <f ca="1">AVERAGE(OFFSET($R$3,0,0,'Données projet'!$E$9+1,1))-AVERAGE(OFFSET($H$3,0,0,'Données projet'!$E$9+1,1))</f>
        <v>612.09138396952153</v>
      </c>
      <c r="T98" s="59">
        <f t="shared" si="88"/>
        <v>282.284310393542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50.349104385288996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50.349104385288996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297.08881800000029</v>
      </c>
      <c r="AK98" s="13">
        <f t="shared" si="89"/>
        <v>70.565821981438845</v>
      </c>
      <c r="AL98" s="20">
        <f t="shared" si="58"/>
        <v>640.33183130100645</v>
      </c>
      <c r="AM98" s="59">
        <f t="shared" si="59"/>
        <v>922.19047894072537</v>
      </c>
      <c r="AN98" s="59">
        <f ca="1">AVERAGE(OFFSET($AM$3,0,0,'Données projet'!$E$10+1,1))-AVERAGE(OFFSET($H$3,0,0,'Données projet'!$E$10+1,1))</f>
        <v>676.7112666359476</v>
      </c>
      <c r="AO98" s="59">
        <f t="shared" si="90"/>
        <v>309.67876644201385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56.425720431789408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56.425720431789408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292.51822080000028</v>
      </c>
      <c r="BF98" s="13">
        <f t="shared" si="91"/>
        <v>69.605697188456062</v>
      </c>
      <c r="BG98" s="20">
        <f t="shared" si="61"/>
        <v>630.69915716322805</v>
      </c>
      <c r="BH98" s="59">
        <f t="shared" si="62"/>
        <v>912.55780480294698</v>
      </c>
      <c r="BI98" s="59">
        <f ca="1">AVERAGE(OFFSET($BH$3,0,0,'Données projet'!$E$11+1,1))-AVERAGE(OFFSET($H$3,0,0,'Données projet'!$E$11+1,1))</f>
        <v>667.4887768032404</v>
      </c>
      <c r="BJ98" s="59">
        <f t="shared" si="92"/>
        <v>305.76944302827178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55.557632425146494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55.557632425146494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278.80642920000025</v>
      </c>
      <c r="CA98" s="13">
        <f t="shared" si="93"/>
        <v>66.714710382732235</v>
      </c>
      <c r="CB98" s="20">
        <f t="shared" si="64"/>
        <v>601.78265143992576</v>
      </c>
      <c r="CC98" s="59">
        <f t="shared" si="65"/>
        <v>883.64129907964457</v>
      </c>
      <c r="CD98" s="59">
        <f ca="1">AVERAGE(OFFSET($CC$3,0,0,'Données projet'!$E$12+1,1))-AVERAGE(OFFSET($H$3,0,0,'Données projet'!$E$12+1,1))</f>
        <v>639.80378676828764</v>
      </c>
      <c r="CE98" s="59">
        <f t="shared" si="94"/>
        <v>294.03328334345281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52.953368405217752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52.953368405217752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-1.7053025658242404E-13</v>
      </c>
      <c r="CU98" s="17">
        <f>CT98*VLOOKUP('Données projet'!$B$13,Paramètres!$A$1:$I$89,3,0)*VLOOKUP('Données projet'!$B$13,Paramètres!$A$1:$I$89,5,0)</f>
        <v>-1.4897523215040567E-13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340.64710509454375</v>
      </c>
      <c r="CZ98" s="59">
        <f t="shared" si="96"/>
        <v>329.6409514360613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72.496686711571726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72.496686711571726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8.0470000000000024</v>
      </c>
      <c r="DO98" s="12">
        <f>IF('Données projet'!$A$166&gt;35,DO97+DN98-DW97,IF(A98&lt;'Données projet'!$A$166,$DL$205^A98,IF(A98='Données projet'!$A$166,'Données projet'!$B$166,DO97+DN98-DW97)))</f>
        <v>292.98700000000025</v>
      </c>
      <c r="DP98" s="17">
        <f>DO98*VLOOKUP('Données projet'!$B$14,Paramètres!$A$1:$I$89,3,0)*VLOOKUP('Données projet'!$B$14,Paramètres!$A$1:$I$89,5,0)</f>
        <v>283.37702640000026</v>
      </c>
      <c r="DQ98" s="13">
        <f t="shared" si="97"/>
        <v>67.68017292381127</v>
      </c>
      <c r="DR98" s="20">
        <f t="shared" si="70"/>
        <v>611.42462215563842</v>
      </c>
      <c r="DS98" s="59">
        <f t="shared" si="71"/>
        <v>893.28326979535723</v>
      </c>
      <c r="DT98" s="59">
        <f ca="1">AVERAGE(OFFSET($DS$3,0,0,'Données projet'!$E$14+1,1))-AVERAGE(OFFSET($H$3,0,0,'Données projet'!$E$14+1,1))</f>
        <v>649.03508893149228</v>
      </c>
      <c r="DU98" s="59">
        <f t="shared" si="98"/>
        <v>297.94672581383213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53.821456411860652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53.821456411860652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8.0470000000000024</v>
      </c>
      <c r="EJ98" s="12">
        <f>IF('Données projet'!$A$192&gt;35,EJ97+EI98-ER97,IF(A98&lt;'Données projet'!$A$192,$EG$205^A98,IF(A98='Données projet'!$A$192,'Données projet'!$B$192,EJ97+EI98-ER97)))</f>
        <v>292.98700000000025</v>
      </c>
      <c r="EK98" s="17">
        <f>EJ98*VLOOKUP('Données projet'!$B$15,Paramètres!$A$1:$I$89,3,0)*VLOOKUP('Données projet'!$B$15,Paramètres!$A$1:$I$89,5,0)</f>
        <v>315.37120680000027</v>
      </c>
      <c r="EL98" s="13">
        <f t="shared" si="99"/>
        <v>74.389428013665466</v>
      </c>
      <c r="EM98" s="20">
        <f t="shared" si="73"/>
        <v>678.8331056338011</v>
      </c>
      <c r="EN98" s="59">
        <f t="shared" si="74"/>
        <v>960.69175327351991</v>
      </c>
      <c r="EO98" s="59">
        <f ca="1">AVERAGE(OFFSET($EN$3,0,0,'Données projet'!$E$15+1,1))-AVERAGE(OFFSET($H$3,0,0,'Données projet'!$E$15+1,1))</f>
        <v>713.57333631602273</v>
      </c>
      <c r="EP98" s="59">
        <f t="shared" si="100"/>
        <v>325.30302392555359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59.89807245836105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59.89807245836105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5.6843418860808015E-14</v>
      </c>
      <c r="FF98" s="17">
        <f>FE98*VLOOKUP('Données projet'!$B$16,Paramètres!$A$1:$I$89,3,0)*VLOOKUP('Données projet'!$B$16,Paramètres!$A$1:$I$89,5,0)</f>
        <v>4.4337866711430253E-14</v>
      </c>
      <c r="FG98" s="13">
        <f t="shared" si="101"/>
        <v>7.3222115536967035E-13</v>
      </c>
      <c r="FH98" s="20">
        <f t="shared" si="76"/>
        <v>1.3525069634579169E-12</v>
      </c>
      <c r="FI98" s="59">
        <f t="shared" si="77"/>
        <v>281.85864763972023</v>
      </c>
      <c r="FJ98" s="59">
        <f ca="1">AVERAGE(OFFSET($FI$3,0,0,'Données projet'!$E$16+1,1))-AVERAGE(OFFSET($H$3,0,0,'Données projet'!$E$16+1,1))</f>
        <v>302.04287561738482</v>
      </c>
      <c r="FK98" s="59">
        <f t="shared" si="102"/>
        <v>296.09828774694802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61.665615952482149</v>
      </c>
      <c r="FR98" s="21">
        <f>EXP(-LN(2)/25)*FR97+(1-EXP(-LN(2)/25))/(LN(2)/25)*Calculateur!FM98*Calculateur!FO98*VLOOKUP('Données projet'!$B$16,Paramètres!$A$1:$I$89,3,0)*0.475*44/12</f>
        <v>24.756086827346483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86.421702779828635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7.7120000000000006</v>
      </c>
      <c r="FZ98" s="12">
        <f>IF('Données projet'!$A$244&gt;35,FZ97+FY98-GH97,IF(A98&lt;'Données projet'!$A$244,$FW$205^A98,IF(A98='Données projet'!$A$244,'Données projet'!$B$244,FZ97+FY98-GH97)))</f>
        <v>260.49400000000014</v>
      </c>
      <c r="GA98" s="17">
        <f>FZ98*VLOOKUP('Données projet'!$B$17,Paramètres!$A$1:$I$89,3,0)*VLOOKUP('Données projet'!$B$17,Paramètres!$A$1:$I$89,5,0)</f>
        <v>219.44014560000016</v>
      </c>
      <c r="GB98" s="13">
        <f t="shared" si="103"/>
        <v>53.993186093910936</v>
      </c>
      <c r="GC98" s="20">
        <f t="shared" si="79"/>
        <v>476.2297193668951</v>
      </c>
      <c r="GD98" s="59">
        <f t="shared" si="80"/>
        <v>758.08836700661391</v>
      </c>
      <c r="GE98" s="59">
        <f ca="1">AVERAGE(OFFSET($GD$3,0,0,'Données projet'!$E$17+1,1))-AVERAGE(OFFSET($H$3,0,0,'Données projet'!$E$17+1,1))</f>
        <v>385.41819366740276</v>
      </c>
      <c r="GF98" s="59">
        <f t="shared" si="104"/>
        <v>262.4625391252718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39.716160091818608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39.716160091818608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66.870540265377869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3.3000000000000003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12.100000000000001</v>
      </c>
      <c r="H99" s="67">
        <f t="shared" si="56"/>
        <v>208.26666666666665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8.0470000000000024</v>
      </c>
      <c r="N99" s="13">
        <f>IF('Données projet'!$A$36&gt;35,N98+M99-V98,IF(A99&lt;'Données projet'!$A$36,$K$205^A99,IF(A99='Données projet'!$A$36,'Données projet'!$B$36,N98+M99-V98)))</f>
        <v>301.03400000000028</v>
      </c>
      <c r="O99" s="13">
        <f>N99*VLOOKUP('Données projet'!$B$9,Paramètres!$A$1:$I$89,3,0)*VLOOKUP('Données projet'!$B$9,Paramètres!$A$1:$I$89,5,0)</f>
        <v>272.37556320000027</v>
      </c>
      <c r="P99" s="13">
        <f t="shared" si="87"/>
        <v>65.35316643513535</v>
      </c>
      <c r="Q99" s="20">
        <f t="shared" ref="Q99:Q130" si="107">(O99+P99)*0.475*44/12</f>
        <v>588.21087078119456</v>
      </c>
      <c r="R99" s="59">
        <f t="shared" si="55"/>
        <v>870.26857856414358</v>
      </c>
      <c r="S99" s="59">
        <f ca="1">AVERAGE(OFFSET($R$3,0,0,'Données projet'!$E$9+1,1))-AVERAGE(OFFSET($H$3,0,0,'Données projet'!$E$9+1,1))</f>
        <v>612.09138396952153</v>
      </c>
      <c r="T99" s="59">
        <f t="shared" si="88"/>
        <v>282.284310393542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49.361789158214798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49.361789158214798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305.24847600000032</v>
      </c>
      <c r="AK99" s="13">
        <f t="shared" si="89"/>
        <v>72.275632556335026</v>
      </c>
      <c r="AL99" s="20">
        <f t="shared" si="58"/>
        <v>657.52115573561741</v>
      </c>
      <c r="AM99" s="59">
        <f t="shared" si="59"/>
        <v>939.57886351856644</v>
      </c>
      <c r="AN99" s="59">
        <f ca="1">AVERAGE(OFFSET($AM$3,0,0,'Données projet'!$E$10+1,1))-AVERAGE(OFFSET($H$3,0,0,'Données projet'!$E$10+1,1))</f>
        <v>676.7112666359476</v>
      </c>
      <c r="AO99" s="59">
        <f t="shared" si="90"/>
        <v>309.67876644201385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55.319246470413155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55.319246470413155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300.55234560000031</v>
      </c>
      <c r="BF99" s="13">
        <f t="shared" si="91"/>
        <v>71.292243929981268</v>
      </c>
      <c r="BG99" s="20">
        <f t="shared" si="61"/>
        <v>647.62932676471792</v>
      </c>
      <c r="BH99" s="59">
        <f t="shared" si="62"/>
        <v>929.68703454766694</v>
      </c>
      <c r="BI99" s="59">
        <f ca="1">AVERAGE(OFFSET($BH$3,0,0,'Données projet'!$E$11+1,1))-AVERAGE(OFFSET($H$3,0,0,'Données projet'!$E$11+1,1))</f>
        <v>667.4887768032404</v>
      </c>
      <c r="BJ99" s="59">
        <f t="shared" si="92"/>
        <v>305.76944302827178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54.468181140099105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54.468181140099105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286.46395440000026</v>
      </c>
      <c r="CA99" s="13">
        <f t="shared" si="93"/>
        <v>68.331208484937235</v>
      </c>
      <c r="CB99" s="20">
        <f t="shared" si="64"/>
        <v>617.93490869126617</v>
      </c>
      <c r="CC99" s="59">
        <f t="shared" si="65"/>
        <v>899.9926164742152</v>
      </c>
      <c r="CD99" s="59">
        <f ca="1">AVERAGE(OFFSET($CC$3,0,0,'Données projet'!$E$12+1,1))-AVERAGE(OFFSET($H$3,0,0,'Données projet'!$E$12+1,1))</f>
        <v>639.80378676828764</v>
      </c>
      <c r="CE99" s="59">
        <f t="shared" si="94"/>
        <v>294.03328334345281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51.914985149156962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51.914985149156962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-1.7053025658242404E-13</v>
      </c>
      <c r="CU99" s="17">
        <f>CT99*VLOOKUP('Données projet'!$B$13,Paramètres!$A$1:$I$89,3,0)*VLOOKUP('Données projet'!$B$13,Paramètres!$A$1:$I$89,5,0)</f>
        <v>-1.4897523215040567E-13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340.64710509454375</v>
      </c>
      <c r="CZ99" s="59">
        <f t="shared" si="96"/>
        <v>329.6409514360613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71.075070903770467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71.075070903770467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8.0470000000000024</v>
      </c>
      <c r="DO99" s="12">
        <f>IF('Données projet'!$A$166&gt;35,DO98+DN99-DW98,IF(A99&lt;'Données projet'!$A$166,$DL$205^A99,IF(A99='Données projet'!$A$166,'Données projet'!$B$166,DO98+DN99-DW98)))</f>
        <v>301.03400000000028</v>
      </c>
      <c r="DP99" s="17">
        <f>DO99*VLOOKUP('Données projet'!$B$14,Paramètres!$A$1:$I$89,3,0)*VLOOKUP('Données projet'!$B$14,Paramètres!$A$1:$I$89,5,0)</f>
        <v>291.16008480000028</v>
      </c>
      <c r="DQ99" s="13">
        <f t="shared" si="97"/>
        <v>69.320064193077258</v>
      </c>
      <c r="DR99" s="20">
        <f t="shared" si="70"/>
        <v>627.83625949627674</v>
      </c>
      <c r="DS99" s="59">
        <f t="shared" si="71"/>
        <v>909.89396727922576</v>
      </c>
      <c r="DT99" s="59">
        <f ca="1">AVERAGE(OFFSET($DS$3,0,0,'Données projet'!$E$14+1,1))-AVERAGE(OFFSET($H$3,0,0,'Données projet'!$E$14+1,1))</f>
        <v>649.03508893149228</v>
      </c>
      <c r="DU99" s="59">
        <f t="shared" si="98"/>
        <v>297.94672581383213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52.766050479470998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52.766050479470998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8.0470000000000024</v>
      </c>
      <c r="EJ99" s="12">
        <f>IF('Données projet'!$A$192&gt;35,EJ98+EI99-ER98,IF(A99&lt;'Données projet'!$A$192,$EG$205^A99,IF(A99='Données projet'!$A$192,'Données projet'!$B$192,EJ98+EI99-ER98)))</f>
        <v>301.03400000000028</v>
      </c>
      <c r="EK99" s="17">
        <f>EJ99*VLOOKUP('Données projet'!$B$15,Paramètres!$A$1:$I$89,3,0)*VLOOKUP('Données projet'!$B$15,Paramètres!$A$1:$I$89,5,0)</f>
        <v>324.03299760000027</v>
      </c>
      <c r="EL99" s="13">
        <f t="shared" si="99"/>
        <v>76.191884601100995</v>
      </c>
      <c r="EM99" s="20">
        <f t="shared" si="73"/>
        <v>697.05833650025124</v>
      </c>
      <c r="EN99" s="59">
        <f t="shared" si="74"/>
        <v>979.11604428320027</v>
      </c>
      <c r="EO99" s="59">
        <f ca="1">AVERAGE(OFFSET($EN$3,0,0,'Données projet'!$E$15+1,1))-AVERAGE(OFFSET($H$3,0,0,'Données projet'!$E$15+1,1))</f>
        <v>713.57333631602273</v>
      </c>
      <c r="EP99" s="59">
        <f t="shared" si="100"/>
        <v>325.30302392555359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58.723507791669334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58.723507791669334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5.6843418860808015E-14</v>
      </c>
      <c r="FF99" s="17">
        <f>FE99*VLOOKUP('Données projet'!$B$16,Paramètres!$A$1:$I$89,3,0)*VLOOKUP('Données projet'!$B$16,Paramètres!$A$1:$I$89,5,0)</f>
        <v>4.4337866711430253E-14</v>
      </c>
      <c r="FG99" s="13">
        <f t="shared" si="101"/>
        <v>7.3222115536967035E-13</v>
      </c>
      <c r="FH99" s="20">
        <f t="shared" si="76"/>
        <v>1.3525069634579169E-12</v>
      </c>
      <c r="FI99" s="59">
        <f t="shared" si="77"/>
        <v>282.05770778295039</v>
      </c>
      <c r="FJ99" s="59">
        <f ca="1">AVERAGE(OFFSET($FI$3,0,0,'Données projet'!$E$16+1,1))-AVERAGE(OFFSET($H$3,0,0,'Données projet'!$E$16+1,1))</f>
        <v>302.04287561738482</v>
      </c>
      <c r="FK99" s="59">
        <f t="shared" si="102"/>
        <v>296.09828774694802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60.456390835965799</v>
      </c>
      <c r="FR99" s="21">
        <f>EXP(-LN(2)/25)*FR98+(1-EXP(-LN(2)/25))/(LN(2)/25)*Calculateur!FM99*Calculateur!FO99*VLOOKUP('Données projet'!$B$16,Paramètres!$A$1:$I$89,3,0)*0.475*44/12</f>
        <v>24.079130331186668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84.535521167152467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7.7120000000000006</v>
      </c>
      <c r="FZ99" s="12">
        <f>IF('Données projet'!$A$244&gt;35,FZ98+FY99-GH98,IF(A99&lt;'Données projet'!$A$244,$FW$205^A99,IF(A99='Données projet'!$A$244,'Données projet'!$B$244,FZ98+FY99-GH98)))</f>
        <v>268.20600000000013</v>
      </c>
      <c r="GA99" s="17">
        <f>FZ99*VLOOKUP('Données projet'!$B$17,Paramètres!$A$1:$I$89,3,0)*VLOOKUP('Données projet'!$B$17,Paramètres!$A$1:$I$89,5,0)</f>
        <v>225.93673440000015</v>
      </c>
      <c r="GB99" s="13">
        <f t="shared" si="103"/>
        <v>55.403199180664444</v>
      </c>
      <c r="GC99" s="20">
        <f t="shared" si="79"/>
        <v>490.00038431965748</v>
      </c>
      <c r="GD99" s="59">
        <f t="shared" si="80"/>
        <v>772.05809210260645</v>
      </c>
      <c r="GE99" s="59">
        <f ca="1">AVERAGE(OFFSET($GD$3,0,0,'Données projet'!$E$17+1,1))-AVERAGE(OFFSET($H$3,0,0,'Données projet'!$E$17+1,1))</f>
        <v>385.41819366740276</v>
      </c>
      <c r="GF99" s="59">
        <f t="shared" si="104"/>
        <v>262.4625391252718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38.937350416883731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38.937350416883731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66.924829395349732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3.3000000000000003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12.100000000000001</v>
      </c>
      <c r="H100" s="67">
        <f t="shared" si="56"/>
        <v>208.26666666666665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8.0470000000000024</v>
      </c>
      <c r="N100" s="13">
        <f>IF('Données projet'!$A$36&gt;35,N99+M100-V99,IF(A100&lt;'Données projet'!$A$36,$K$205^A100,IF(A100='Données projet'!$A$36,'Données projet'!$B$36,N99+M100-V99)))</f>
        <v>309.0810000000003</v>
      </c>
      <c r="O100" s="13">
        <f>N100*VLOOKUP('Données projet'!$B$9,Paramètres!$A$1:$I$89,3,0)*VLOOKUP('Données projet'!$B$9,Paramètres!$A$1:$I$89,5,0)</f>
        <v>279.65648880000026</v>
      </c>
      <c r="P100" s="13">
        <f t="shared" si="87"/>
        <v>66.894409904113928</v>
      </c>
      <c r="Q100" s="20">
        <f t="shared" si="107"/>
        <v>603.57614857633223</v>
      </c>
      <c r="R100" s="59">
        <f t="shared" si="55"/>
        <v>885.82946325405828</v>
      </c>
      <c r="S100" s="59">
        <f ca="1">AVERAGE(OFFSET($R$3,0,0,'Données projet'!$E$9+1,1))-AVERAGE(OFFSET($H$3,0,0,'Données projet'!$E$9+1,1))</f>
        <v>612.09138396952153</v>
      </c>
      <c r="T100" s="59">
        <f t="shared" si="88"/>
        <v>282.284310393542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48.393834580540698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48.393834580540698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313.4081340000003</v>
      </c>
      <c r="AK100" s="13">
        <f t="shared" si="89"/>
        <v>73.980130635311994</v>
      </c>
      <c r="AL100" s="20">
        <f t="shared" si="58"/>
        <v>674.70122757316892</v>
      </c>
      <c r="AM100" s="59">
        <f t="shared" si="59"/>
        <v>956.95454225089497</v>
      </c>
      <c r="AN100" s="59">
        <f ca="1">AVERAGE(OFFSET($AM$3,0,0,'Données projet'!$E$10+1,1))-AVERAGE(OFFSET($H$3,0,0,'Données projet'!$E$10+1,1))</f>
        <v>676.7112666359476</v>
      </c>
      <c r="AO100" s="59">
        <f t="shared" si="90"/>
        <v>309.67876644201385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54.234469788537012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54.234469788537012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308.58647040000028</v>
      </c>
      <c r="BF100" s="13">
        <f t="shared" si="91"/>
        <v>72.973550457874893</v>
      </c>
      <c r="BG100" s="20">
        <f t="shared" si="61"/>
        <v>664.55036966079922</v>
      </c>
      <c r="BH100" s="59">
        <f t="shared" si="62"/>
        <v>946.80368433852527</v>
      </c>
      <c r="BI100" s="59">
        <f ca="1">AVERAGE(OFFSET($BH$3,0,0,'Données projet'!$E$11+1,1))-AVERAGE(OFFSET($H$3,0,0,'Données projet'!$E$11+1,1))</f>
        <v>667.4887768032404</v>
      </c>
      <c r="BJ100" s="59">
        <f t="shared" si="92"/>
        <v>305.76944302827178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53.400093330251828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53.400093330251828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294.12147960000027</v>
      </c>
      <c r="CA100" s="13">
        <f t="shared" si="93"/>
        <v>69.942684019322471</v>
      </c>
      <c r="CB100" s="20">
        <f t="shared" si="64"/>
        <v>634.07841830365373</v>
      </c>
      <c r="CC100" s="59">
        <f t="shared" si="65"/>
        <v>916.33173298137967</v>
      </c>
      <c r="CD100" s="59">
        <f ca="1">AVERAGE(OFFSET($CC$3,0,0,'Données projet'!$E$12+1,1))-AVERAGE(OFFSET($H$3,0,0,'Données projet'!$E$12+1,1))</f>
        <v>639.80378676828764</v>
      </c>
      <c r="CE100" s="59">
        <f t="shared" si="94"/>
        <v>294.03328334345281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50.896963955396274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50.896963955396274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-1.7053025658242404E-13</v>
      </c>
      <c r="CU100" s="17">
        <f>CT100*VLOOKUP('Données projet'!$B$13,Paramètres!$A$1:$I$89,3,0)*VLOOKUP('Données projet'!$B$13,Paramètres!$A$1:$I$89,5,0)</f>
        <v>-1.4897523215040567E-13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340.64710509454375</v>
      </c>
      <c r="CZ100" s="59">
        <f t="shared" si="96"/>
        <v>329.6409514360613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69.681332114860169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69.681332114860169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8.0470000000000024</v>
      </c>
      <c r="DO100" s="12">
        <f>IF('Données projet'!$A$166&gt;35,DO99+DN100-DW99,IF(A100&lt;'Données projet'!$A$166,$DL$205^A100,IF(A100='Données projet'!$A$166,'Données projet'!$B$166,DO99+DN100-DW99)))</f>
        <v>309.0810000000003</v>
      </c>
      <c r="DP100" s="17">
        <f>DO100*VLOOKUP('Données projet'!$B$14,Paramètres!$A$1:$I$89,3,0)*VLOOKUP('Données projet'!$B$14,Paramètres!$A$1:$I$89,5,0)</f>
        <v>298.94314320000029</v>
      </c>
      <c r="DQ100" s="13">
        <f t="shared" si="97"/>
        <v>70.954860210387238</v>
      </c>
      <c r="DR100" s="20">
        <f t="shared" si="70"/>
        <v>644.23902260642501</v>
      </c>
      <c r="DS100" s="59">
        <f t="shared" si="71"/>
        <v>926.49233728415106</v>
      </c>
      <c r="DT100" s="59">
        <f ca="1">AVERAGE(OFFSET($DS$3,0,0,'Données projet'!$E$14+1,1))-AVERAGE(OFFSET($H$3,0,0,'Données projet'!$E$14+1,1))</f>
        <v>649.03508893149228</v>
      </c>
      <c r="DU100" s="59">
        <f t="shared" si="98"/>
        <v>297.94672581383213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51.731340413681444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51.731340413681444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8.0470000000000024</v>
      </c>
      <c r="EJ100" s="12">
        <f>IF('Données projet'!$A$192&gt;35,EJ99+EI100-ER99,IF(A100&lt;'Données projet'!$A$192,$EG$205^A100,IF(A100='Données projet'!$A$192,'Données projet'!$B$192,EJ99+EI100-ER99)))</f>
        <v>309.0810000000003</v>
      </c>
      <c r="EK100" s="17">
        <f>EJ100*VLOOKUP('Données projet'!$B$15,Paramètres!$A$1:$I$89,3,0)*VLOOKUP('Données projet'!$B$15,Paramètres!$A$1:$I$89,5,0)</f>
        <v>332.69478840000028</v>
      </c>
      <c r="EL100" s="13">
        <f t="shared" si="99"/>
        <v>77.988740835254006</v>
      </c>
      <c r="EM100" s="20">
        <f t="shared" si="73"/>
        <v>715.27381341806779</v>
      </c>
      <c r="EN100" s="59">
        <f t="shared" si="74"/>
        <v>997.52712809579384</v>
      </c>
      <c r="EO100" s="59">
        <f ca="1">AVERAGE(OFFSET($EN$3,0,0,'Données projet'!$E$15+1,1))-AVERAGE(OFFSET($H$3,0,0,'Données projet'!$E$15+1,1))</f>
        <v>713.57333631602273</v>
      </c>
      <c r="EP100" s="59">
        <f t="shared" si="100"/>
        <v>325.30302392555359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57.571975621677737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57.571975621677737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5.6843418860808015E-14</v>
      </c>
      <c r="FF100" s="17">
        <f>FE100*VLOOKUP('Données projet'!$B$16,Paramètres!$A$1:$I$89,3,0)*VLOOKUP('Données projet'!$B$16,Paramètres!$A$1:$I$89,5,0)</f>
        <v>4.4337866711430253E-14</v>
      </c>
      <c r="FG100" s="13">
        <f t="shared" si="101"/>
        <v>7.3222115536967035E-13</v>
      </c>
      <c r="FH100" s="20">
        <f t="shared" si="76"/>
        <v>1.3525069634579169E-12</v>
      </c>
      <c r="FI100" s="59">
        <f t="shared" si="77"/>
        <v>282.25331467772736</v>
      </c>
      <c r="FJ100" s="59">
        <f ca="1">AVERAGE(OFFSET($FI$3,0,0,'Données projet'!$E$16+1,1))-AVERAGE(OFFSET($H$3,0,0,'Données projet'!$E$16+1,1))</f>
        <v>302.04287561738482</v>
      </c>
      <c r="FK100" s="59">
        <f t="shared" si="102"/>
        <v>296.09828774694802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59.270877886429837</v>
      </c>
      <c r="FR100" s="21">
        <f>EXP(-LN(2)/25)*FR99+(1-EXP(-LN(2)/25))/(LN(2)/25)*Calculateur!FM100*Calculateur!FO100*VLOOKUP('Données projet'!$B$16,Paramètres!$A$1:$I$89,3,0)*0.475*44/12</f>
        <v>23.420685246013939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82.691563132443775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7.7120000000000006</v>
      </c>
      <c r="FZ100" s="12">
        <f>IF('Données projet'!$A$244&gt;35,FZ99+FY100-GH99,IF(A100&lt;'Données projet'!$A$244,$FW$205^A100,IF(A100='Données projet'!$A$244,'Données projet'!$B$244,FZ99+FY100-GH99)))</f>
        <v>275.91800000000012</v>
      </c>
      <c r="GA100" s="17">
        <f>FZ100*VLOOKUP('Données projet'!$B$17,Paramètres!$A$1:$I$89,3,0)*VLOOKUP('Données projet'!$B$17,Paramètres!$A$1:$I$89,5,0)</f>
        <v>232.4333232000001</v>
      </c>
      <c r="GB100" s="13">
        <f t="shared" si="103"/>
        <v>56.808500201978752</v>
      </c>
      <c r="GC100" s="20">
        <f t="shared" si="79"/>
        <v>503.76284242511315</v>
      </c>
      <c r="GD100" s="59">
        <f t="shared" si="80"/>
        <v>786.01615710283909</v>
      </c>
      <c r="GE100" s="59">
        <f ca="1">AVERAGE(OFFSET($GD$3,0,0,'Données projet'!$E$17+1,1))-AVERAGE(OFFSET($H$3,0,0,'Données projet'!$E$17+1,1))</f>
        <v>385.41819366740276</v>
      </c>
      <c r="GF100" s="59">
        <f t="shared" si="104"/>
        <v>262.4625391252718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38.173812724647334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38.173812724647334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66.978176730288908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3.3000000000000003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12.100000000000001</v>
      </c>
      <c r="H101" s="67">
        <f t="shared" si="56"/>
        <v>208.26666666666665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8.0470000000000024</v>
      </c>
      <c r="N101" s="13">
        <f>IF('Données projet'!$A$36&gt;35,N100+M101-V100,IF(A101&lt;'Données projet'!$A$36,$K$205^A101,IF(A101='Données projet'!$A$36,'Données projet'!$B$36,N100+M101-V100)))</f>
        <v>317.12800000000033</v>
      </c>
      <c r="O101" s="13">
        <f>N101*VLOOKUP('Données projet'!$B$9,Paramètres!$A$1:$I$89,3,0)*VLOOKUP('Données projet'!$B$9,Paramètres!$A$1:$I$89,5,0)</f>
        <v>286.93741440000031</v>
      </c>
      <c r="P101" s="13">
        <f t="shared" si="87"/>
        <v>68.430989143985158</v>
      </c>
      <c r="Q101" s="20">
        <f t="shared" si="107"/>
        <v>618.93330283910791</v>
      </c>
      <c r="R101" s="59">
        <f t="shared" si="55"/>
        <v>901.37883106929803</v>
      </c>
      <c r="S101" s="59">
        <f ca="1">AVERAGE(OFFSET($R$3,0,0,'Données projet'!$E$9+1,1))-AVERAGE(OFFSET($H$3,0,0,'Données projet'!$E$9+1,1))</f>
        <v>612.09138396952153</v>
      </c>
      <c r="T101" s="59">
        <f t="shared" si="88"/>
        <v>282.284310393542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47.444861001740797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47.444861001740797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321.56779200000034</v>
      </c>
      <c r="AK101" s="13">
        <f t="shared" si="89"/>
        <v>75.679470431568902</v>
      </c>
      <c r="AL101" s="20">
        <f t="shared" si="58"/>
        <v>691.87231540164976</v>
      </c>
      <c r="AM101" s="59">
        <f t="shared" si="59"/>
        <v>974.31784363183988</v>
      </c>
      <c r="AN101" s="59">
        <f ca="1">AVERAGE(OFFSET($AM$3,0,0,'Données projet'!$E$10+1,1))-AVERAGE(OFFSET($H$3,0,0,'Données projet'!$E$10+1,1))</f>
        <v>676.7112666359476</v>
      </c>
      <c r="AO101" s="59">
        <f t="shared" si="90"/>
        <v>309.67876644201385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53.170964915744015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53.170964915744015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316.62059520000037</v>
      </c>
      <c r="BF101" s="13">
        <f t="shared" si="91"/>
        <v>74.649768887097792</v>
      </c>
      <c r="BG101" s="20">
        <f t="shared" si="61"/>
        <v>681.46255078502929</v>
      </c>
      <c r="BH101" s="59">
        <f t="shared" si="62"/>
        <v>963.9080790152193</v>
      </c>
      <c r="BI101" s="59">
        <f ca="1">AVERAGE(OFFSET($BH$3,0,0,'Données projet'!$E$11+1,1))-AVERAGE(OFFSET($H$3,0,0,'Données projet'!$E$11+1,1))</f>
        <v>667.4887768032404</v>
      </c>
      <c r="BJ101" s="59">
        <f t="shared" si="92"/>
        <v>305.76944302827178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52.352950070886415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52.352950070886415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301.77900480000034</v>
      </c>
      <c r="CA101" s="13">
        <f t="shared" si="93"/>
        <v>71.549282782941361</v>
      </c>
      <c r="CB101" s="20">
        <f t="shared" si="64"/>
        <v>650.21343420695678</v>
      </c>
      <c r="CC101" s="59">
        <f t="shared" si="65"/>
        <v>932.65896243714678</v>
      </c>
      <c r="CD101" s="59">
        <f ca="1">AVERAGE(OFFSET($CC$3,0,0,'Données projet'!$E$12+1,1))-AVERAGE(OFFSET($H$3,0,0,'Données projet'!$E$12+1,1))</f>
        <v>639.80378676828764</v>
      </c>
      <c r="CE101" s="59">
        <f t="shared" si="94"/>
        <v>294.03328334345281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49.89890553631362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49.89890553631362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-1.7053025658242404E-13</v>
      </c>
      <c r="CU101" s="17">
        <f>CT101*VLOOKUP('Données projet'!$B$13,Paramètres!$A$1:$I$89,3,0)*VLOOKUP('Données projet'!$B$13,Paramètres!$A$1:$I$89,5,0)</f>
        <v>-1.4897523215040567E-13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340.64710509454375</v>
      </c>
      <c r="CZ101" s="59">
        <f t="shared" si="96"/>
        <v>329.6409514360613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68.314923693503687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68.314923693503687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8.0470000000000024</v>
      </c>
      <c r="DO101" s="12">
        <f>IF('Données projet'!$A$166&gt;35,DO100+DN101-DW100,IF(A101&lt;'Données projet'!$A$166,$DL$205^A101,IF(A101='Données projet'!$A$166,'Données projet'!$B$166,DO100+DN101-DW100)))</f>
        <v>317.12800000000033</v>
      </c>
      <c r="DP101" s="17">
        <f>DO101*VLOOKUP('Données projet'!$B$14,Paramètres!$A$1:$I$89,3,0)*VLOOKUP('Données projet'!$B$14,Paramètres!$A$1:$I$89,5,0)</f>
        <v>306.72620160000031</v>
      </c>
      <c r="DQ101" s="13">
        <f t="shared" si="97"/>
        <v>72.584708882698152</v>
      </c>
      <c r="DR101" s="20">
        <f t="shared" si="70"/>
        <v>660.63316909069977</v>
      </c>
      <c r="DS101" s="59">
        <f t="shared" si="71"/>
        <v>943.07869732088989</v>
      </c>
      <c r="DT101" s="59">
        <f ca="1">AVERAGE(OFFSET($DS$3,0,0,'Données projet'!$E$14+1,1))-AVERAGE(OFFSET($H$3,0,0,'Données projet'!$E$14+1,1))</f>
        <v>649.03508893149228</v>
      </c>
      <c r="DU101" s="59">
        <f t="shared" si="98"/>
        <v>297.94672581383213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50.716920381171207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50.716920381171207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8.0470000000000024</v>
      </c>
      <c r="EJ101" s="12">
        <f>IF('Données projet'!$A$192&gt;35,EJ100+EI101-ER100,IF(A101&lt;'Données projet'!$A$192,$EG$205^A101,IF(A101='Données projet'!$A$192,'Données projet'!$B$192,EJ100+EI101-ER100)))</f>
        <v>317.12800000000033</v>
      </c>
      <c r="EK101" s="17">
        <f>EJ101*VLOOKUP('Données projet'!$B$15,Paramètres!$A$1:$I$89,3,0)*VLOOKUP('Données projet'!$B$15,Paramètres!$A$1:$I$89,5,0)</f>
        <v>341.35657920000034</v>
      </c>
      <c r="EL101" s="13">
        <f t="shared" si="99"/>
        <v>79.780159285359503</v>
      </c>
      <c r="EM101" s="20">
        <f t="shared" si="73"/>
        <v>733.47981952866837</v>
      </c>
      <c r="EN101" s="59">
        <f t="shared" si="74"/>
        <v>1015.9253477588584</v>
      </c>
      <c r="EO101" s="59">
        <f ca="1">AVERAGE(OFFSET($EN$3,0,0,'Données projet'!$E$15+1,1))-AVERAGE(OFFSET($H$3,0,0,'Données projet'!$E$15+1,1))</f>
        <v>713.57333631602273</v>
      </c>
      <c r="EP101" s="59">
        <f t="shared" si="100"/>
        <v>325.30302392555359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56.443024295174403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56.443024295174403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5.6843418860808015E-14</v>
      </c>
      <c r="FF101" s="17">
        <f>FE101*VLOOKUP('Données projet'!$B$16,Paramètres!$A$1:$I$89,3,0)*VLOOKUP('Données projet'!$B$16,Paramètres!$A$1:$I$89,5,0)</f>
        <v>4.4337866711430253E-14</v>
      </c>
      <c r="FG101" s="13">
        <f t="shared" si="101"/>
        <v>7.3222115536967035E-13</v>
      </c>
      <c r="FH101" s="20">
        <f t="shared" si="76"/>
        <v>1.3525069634579169E-12</v>
      </c>
      <c r="FI101" s="59">
        <f t="shared" si="77"/>
        <v>282.44552823019143</v>
      </c>
      <c r="FJ101" s="59">
        <f ca="1">AVERAGE(OFFSET($FI$3,0,0,'Données projet'!$E$16+1,1))-AVERAGE(OFFSET($H$3,0,0,'Données projet'!$E$16+1,1))</f>
        <v>302.04287561738482</v>
      </c>
      <c r="FK101" s="59">
        <f t="shared" si="102"/>
        <v>296.09828774694802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58.108612122742777</v>
      </c>
      <c r="FR101" s="21">
        <f>EXP(-LN(2)/25)*FR100+(1-EXP(-LN(2)/25))/(LN(2)/25)*Calculateur!FM101*Calculateur!FO101*VLOOKUP('Données projet'!$B$16,Paramètres!$A$1:$I$89,3,0)*0.475*44/12</f>
        <v>22.780245376321378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80.888857499064159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7.7120000000000006</v>
      </c>
      <c r="FZ101" s="12">
        <f>IF('Données projet'!$A$244&gt;35,FZ100+FY101-GH100,IF(A101&lt;'Données projet'!$A$244,$FW$205^A101,IF(A101='Données projet'!$A$244,'Données projet'!$B$244,FZ100+FY101-GH100)))</f>
        <v>283.63000000000011</v>
      </c>
      <c r="GA101" s="17">
        <f>FZ101*VLOOKUP('Données projet'!$B$17,Paramètres!$A$1:$I$89,3,0)*VLOOKUP('Données projet'!$B$17,Paramètres!$A$1:$I$89,5,0)</f>
        <v>238.92991200000012</v>
      </c>
      <c r="GB101" s="13">
        <f t="shared" si="103"/>
        <v>58.209235991783075</v>
      </c>
      <c r="GC101" s="20">
        <f t="shared" si="79"/>
        <v>517.51734941902237</v>
      </c>
      <c r="GD101" s="59">
        <f t="shared" si="80"/>
        <v>799.96287764921249</v>
      </c>
      <c r="GE101" s="59">
        <f ca="1">AVERAGE(OFFSET($GD$3,0,0,'Données projet'!$E$17+1,1))-AVERAGE(OFFSET($H$3,0,0,'Données projet'!$E$17+1,1))</f>
        <v>385.41819366740276</v>
      </c>
      <c r="GF101" s="59">
        <f t="shared" si="104"/>
        <v>262.4625391252718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37.425247540843685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37.425247540843685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67.030598608233646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3.3000000000000003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12.100000000000001</v>
      </c>
      <c r="H102" s="67">
        <f t="shared" si="56"/>
        <v>208.26666666666665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8.0470000000000024</v>
      </c>
      <c r="N102" s="13">
        <f>IF('Données projet'!$A$36&gt;35,N101+M102-V101,IF(A102&lt;'Données projet'!$A$36,$K$205^A102,IF(A102='Données projet'!$A$36,'Données projet'!$B$36,N101+M102-V101)))</f>
        <v>325.17500000000035</v>
      </c>
      <c r="O102" s="13">
        <f>N102*VLOOKUP('Données projet'!$B$9,Paramètres!$A$1:$I$89,3,0)*VLOOKUP('Données projet'!$B$9,Paramètres!$A$1:$I$89,5,0)</f>
        <v>294.2183400000003</v>
      </c>
      <c r="P102" s="13">
        <f t="shared" si="87"/>
        <v>69.963036117759913</v>
      </c>
      <c r="Q102" s="20">
        <f t="shared" si="107"/>
        <v>634.28256340509904</v>
      </c>
      <c r="R102" s="59">
        <f t="shared" si="55"/>
        <v>916.91697071234307</v>
      </c>
      <c r="S102" s="59">
        <f ca="1">AVERAGE(OFFSET($R$3,0,0,'Données projet'!$E$9+1,1))-AVERAGE(OFFSET($H$3,0,0,'Données projet'!$E$9+1,1))</f>
        <v>612.09138396952153</v>
      </c>
      <c r="T102" s="59">
        <f t="shared" si="88"/>
        <v>282.284310393542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46.514496216004432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46.514496216004432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329.72745000000037</v>
      </c>
      <c r="AK102" s="13">
        <f t="shared" si="89"/>
        <v>77.373797886161128</v>
      </c>
      <c r="AL102" s="20">
        <f t="shared" si="58"/>
        <v>709.0346734017312</v>
      </c>
      <c r="AM102" s="59">
        <f t="shared" si="59"/>
        <v>991.66908070897512</v>
      </c>
      <c r="AN102" s="59">
        <f ca="1">AVERAGE(OFFSET($AM$3,0,0,'Données projet'!$E$10+1,1))-AVERAGE(OFFSET($H$3,0,0,'Données projet'!$E$10+1,1))</f>
        <v>676.7112666359476</v>
      </c>
      <c r="AO102" s="59">
        <f t="shared" si="90"/>
        <v>309.67876644201385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52.12831472483257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52.12831472483257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324.65472000000034</v>
      </c>
      <c r="BF102" s="13">
        <f t="shared" si="91"/>
        <v>76.321043173018452</v>
      </c>
      <c r="BG102" s="20">
        <f t="shared" si="61"/>
        <v>698.36612085967442</v>
      </c>
      <c r="BH102" s="59">
        <f t="shared" si="62"/>
        <v>981.00052816691846</v>
      </c>
      <c r="BI102" s="59">
        <f ca="1">AVERAGE(OFFSET($BH$3,0,0,'Données projet'!$E$11+1,1))-AVERAGE(OFFSET($H$3,0,0,'Données projet'!$E$11+1,1))</f>
        <v>667.4887768032404</v>
      </c>
      <c r="BJ102" s="59">
        <f t="shared" si="92"/>
        <v>305.76944302827178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51.326340652142839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51.326340652142839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309.43653000000035</v>
      </c>
      <c r="CA102" s="13">
        <f t="shared" si="93"/>
        <v>73.151142752153717</v>
      </c>
      <c r="CB102" s="20">
        <f t="shared" si="64"/>
        <v>666.34019671000158</v>
      </c>
      <c r="CC102" s="59">
        <f t="shared" si="65"/>
        <v>948.97460401724561</v>
      </c>
      <c r="CD102" s="59">
        <f ca="1">AVERAGE(OFFSET($CC$3,0,0,'Données projet'!$E$12+1,1))-AVERAGE(OFFSET($H$3,0,0,'Données projet'!$E$12+1,1))</f>
        <v>639.80378676828764</v>
      </c>
      <c r="CE102" s="59">
        <f t="shared" si="94"/>
        <v>294.03328334345281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48.920418434073646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48.920418434073646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-1.7053025658242404E-13</v>
      </c>
      <c r="CU102" s="17">
        <f>CT102*VLOOKUP('Données projet'!$B$13,Paramètres!$A$1:$I$89,3,0)*VLOOKUP('Données projet'!$B$13,Paramètres!$A$1:$I$89,5,0)</f>
        <v>-1.4897523215040567E-13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340.64710509454375</v>
      </c>
      <c r="CZ102" s="59">
        <f t="shared" si="96"/>
        <v>329.6409514360613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66.975309707863161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66.975309707863161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8.0470000000000024</v>
      </c>
      <c r="DO102" s="12">
        <f>IF('Données projet'!$A$166&gt;35,DO101+DN102-DW101,IF(A102&lt;'Données projet'!$A$166,$DL$205^A102,IF(A102='Données projet'!$A$166,'Données projet'!$B$166,DO101+DN102-DW101)))</f>
        <v>325.17500000000035</v>
      </c>
      <c r="DP102" s="17">
        <f>DO102*VLOOKUP('Données projet'!$B$14,Paramètres!$A$1:$I$89,3,0)*VLOOKUP('Données projet'!$B$14,Paramètres!$A$1:$I$89,5,0)</f>
        <v>314.50926000000038</v>
      </c>
      <c r="DQ102" s="13">
        <f t="shared" si="97"/>
        <v>74.209750183096105</v>
      </c>
      <c r="DR102" s="20">
        <f t="shared" si="70"/>
        <v>677.01894273555968</v>
      </c>
      <c r="DS102" s="59">
        <f t="shared" si="71"/>
        <v>959.65335004280359</v>
      </c>
      <c r="DT102" s="59">
        <f ca="1">AVERAGE(OFFSET($DS$3,0,0,'Données projet'!$E$14+1,1))-AVERAGE(OFFSET($H$3,0,0,'Données projet'!$E$14+1,1))</f>
        <v>649.03508893149228</v>
      </c>
      <c r="DU102" s="59">
        <f t="shared" si="98"/>
        <v>297.94672581383213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49.72239250676337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49.72239250676337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8.0470000000000024</v>
      </c>
      <c r="EJ102" s="12">
        <f>IF('Données projet'!$A$192&gt;35,EJ101+EI102-ER101,IF(A102&lt;'Données projet'!$A$192,$EG$205^A102,IF(A102='Données projet'!$A$192,'Données projet'!$B$192,EJ101+EI102-ER101)))</f>
        <v>325.17500000000035</v>
      </c>
      <c r="EK102" s="17">
        <f>EJ102*VLOOKUP('Données projet'!$B$15,Paramètres!$A$1:$I$89,3,0)*VLOOKUP('Données projet'!$B$15,Paramètres!$A$1:$I$89,5,0)</f>
        <v>350.01837000000035</v>
      </c>
      <c r="EL102" s="13">
        <f t="shared" si="99"/>
        <v>81.566293800282651</v>
      </c>
      <c r="EM102" s="20">
        <f t="shared" si="73"/>
        <v>751.6766227854929</v>
      </c>
      <c r="EN102" s="59">
        <f t="shared" si="74"/>
        <v>1034.3110300927369</v>
      </c>
      <c r="EO102" s="59">
        <f ca="1">AVERAGE(OFFSET($EN$3,0,0,'Données projet'!$E$15+1,1))-AVERAGE(OFFSET($H$3,0,0,'Données projet'!$E$15+1,1))</f>
        <v>713.57333631602273</v>
      </c>
      <c r="EP102" s="59">
        <f t="shared" si="100"/>
        <v>325.30302392555359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55.336211015591488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55.336211015591488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5.6843418860808015E-14</v>
      </c>
      <c r="FF102" s="17">
        <f>FE102*VLOOKUP('Données projet'!$B$16,Paramètres!$A$1:$I$89,3,0)*VLOOKUP('Données projet'!$B$16,Paramètres!$A$1:$I$89,5,0)</f>
        <v>4.4337866711430253E-14</v>
      </c>
      <c r="FG102" s="13">
        <f t="shared" si="101"/>
        <v>7.3222115536967035E-13</v>
      </c>
      <c r="FH102" s="20">
        <f t="shared" si="76"/>
        <v>1.3525069634579169E-12</v>
      </c>
      <c r="FI102" s="59">
        <f t="shared" si="77"/>
        <v>282.63440730724534</v>
      </c>
      <c r="FJ102" s="59">
        <f ca="1">AVERAGE(OFFSET($FI$3,0,0,'Données projet'!$E$16+1,1))-AVERAGE(OFFSET($H$3,0,0,'Données projet'!$E$16+1,1))</f>
        <v>302.04287561738482</v>
      </c>
      <c r="FK102" s="59">
        <f t="shared" si="102"/>
        <v>296.09828774694802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56.969137681769503</v>
      </c>
      <c r="FR102" s="21">
        <f>EXP(-LN(2)/25)*FR101+(1-EXP(-LN(2)/25))/(LN(2)/25)*Calculateur!FM102*Calculateur!FO102*VLOOKUP('Données projet'!$B$16,Paramètres!$A$1:$I$89,3,0)*0.475*44/12</f>
        <v>22.157318368544832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79.126456050314331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7.7120000000000006</v>
      </c>
      <c r="FZ102" s="12">
        <f>IF('Données projet'!$A$244&gt;35,FZ101+FY102-GH101,IF(A102&lt;'Données projet'!$A$244,$FW$205^A102,IF(A102='Données projet'!$A$244,'Données projet'!$B$244,FZ101+FY102-GH101)))</f>
        <v>291.3420000000001</v>
      </c>
      <c r="GA102" s="17">
        <f>FZ102*VLOOKUP('Données projet'!$B$17,Paramètres!$A$1:$I$89,3,0)*VLOOKUP('Données projet'!$B$17,Paramètres!$A$1:$I$89,5,0)</f>
        <v>245.4265008000001</v>
      </c>
      <c r="GB102" s="13">
        <f t="shared" si="103"/>
        <v>59.605544944565871</v>
      </c>
      <c r="GC102" s="20">
        <f t="shared" si="79"/>
        <v>531.26414633845241</v>
      </c>
      <c r="GD102" s="59">
        <f t="shared" si="80"/>
        <v>813.89855364569644</v>
      </c>
      <c r="GE102" s="59">
        <f ca="1">AVERAGE(OFFSET($GD$3,0,0,'Données projet'!$E$17+1,1))-AVERAGE(OFFSET($H$3,0,0,'Données projet'!$E$17+1,1))</f>
        <v>385.41819366740276</v>
      </c>
      <c r="GF102" s="59">
        <f t="shared" si="104"/>
        <v>262.4625391252718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36.691361263714747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36.691361263714747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67.082111083793819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3.3000000000000003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12.100000000000001</v>
      </c>
      <c r="H103" s="67">
        <f t="shared" si="56"/>
        <v>208.26666666666665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8.0470000000000024</v>
      </c>
      <c r="N103" s="13">
        <f>IF('Données projet'!$A$36&gt;35,N102+M103-V102,IF(A103&lt;'Données projet'!$A$36,$K$205^A103,IF(A103='Données projet'!$A$36,'Données projet'!$B$36,N102+M103-V102)))</f>
        <v>333.22200000000038</v>
      </c>
      <c r="O103" s="13">
        <f>N103*VLOOKUP('Données projet'!$B$9,Paramètres!$A$1:$I$89,3,0)*VLOOKUP('Données projet'!$B$9,Paramètres!$A$1:$I$89,5,0)</f>
        <v>301.49926560000034</v>
      </c>
      <c r="P103" s="13">
        <f t="shared" si="87"/>
        <v>71.490675884857296</v>
      </c>
      <c r="Q103" s="20">
        <f t="shared" si="107"/>
        <v>649.62414808612709</v>
      </c>
      <c r="R103" s="59">
        <f t="shared" si="55"/>
        <v>932.4441578407085</v>
      </c>
      <c r="S103" s="59">
        <f ca="1">AVERAGE(OFFSET($R$3,0,0,'Données projet'!$E$9+1,1))-AVERAGE(OFFSET($H$3,0,0,'Données projet'!$E$9+1,1))</f>
        <v>612.09138396952153</v>
      </c>
      <c r="T103" s="59">
        <f t="shared" si="88"/>
        <v>282.284310393542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45.602375316249869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45.602375316249869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337.88710800000041</v>
      </c>
      <c r="AK103" s="13">
        <f t="shared" si="89"/>
        <v>79.063251305296689</v>
      </c>
      <c r="AL103" s="20">
        <f t="shared" si="58"/>
        <v>726.18854245672571</v>
      </c>
      <c r="AM103" s="59">
        <f t="shared" si="59"/>
        <v>1009.0085522113071</v>
      </c>
      <c r="AN103" s="59">
        <f ca="1">AVERAGE(OFFSET($AM$3,0,0,'Données projet'!$E$10+1,1))-AVERAGE(OFFSET($H$3,0,0,'Données projet'!$E$10+1,1))</f>
        <v>676.7112666359476</v>
      </c>
      <c r="AO103" s="59">
        <f t="shared" si="90"/>
        <v>309.67876644201385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51.106110268211076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51.106110268211076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332.68884480000042</v>
      </c>
      <c r="BF103" s="13">
        <f t="shared" si="91"/>
        <v>77.987509740038504</v>
      </c>
      <c r="BG103" s="20">
        <f t="shared" si="61"/>
        <v>715.26131749056776</v>
      </c>
      <c r="BH103" s="59">
        <f t="shared" si="62"/>
        <v>998.08132724514917</v>
      </c>
      <c r="BI103" s="59">
        <f ca="1">AVERAGE(OFFSET($BH$3,0,0,'Données projet'!$E$11+1,1))-AVERAGE(OFFSET($H$3,0,0,'Données projet'!$E$11+1,1))</f>
        <v>667.4887768032404</v>
      </c>
      <c r="BJ103" s="59">
        <f t="shared" si="92"/>
        <v>305.76944302827178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50.319862417930906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50.319862417930906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317.09405520000035</v>
      </c>
      <c r="CA103" s="13">
        <f t="shared" si="93"/>
        <v>74.748394685141804</v>
      </c>
      <c r="CB103" s="20">
        <f t="shared" si="64"/>
        <v>682.45893354995599</v>
      </c>
      <c r="CC103" s="59">
        <f t="shared" si="65"/>
        <v>965.27894330453739</v>
      </c>
      <c r="CD103" s="59">
        <f ca="1">AVERAGE(OFFSET($CC$3,0,0,'Données projet'!$E$12+1,1))-AVERAGE(OFFSET($H$3,0,0,'Données projet'!$E$12+1,1))</f>
        <v>639.80378676828764</v>
      </c>
      <c r="CE103" s="59">
        <f t="shared" si="94"/>
        <v>294.03328334345281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47.961118867090399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47.961118867090399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-1.7053025658242404E-13</v>
      </c>
      <c r="CU103" s="17">
        <f>CT103*VLOOKUP('Données projet'!$B$13,Paramètres!$A$1:$I$89,3,0)*VLOOKUP('Données projet'!$B$13,Paramètres!$A$1:$I$89,5,0)</f>
        <v>-1.4897523215040567E-13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340.64710509454375</v>
      </c>
      <c r="CZ103" s="59">
        <f t="shared" si="96"/>
        <v>329.6409514360613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65.661964735397191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65.661964735397191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8.0470000000000024</v>
      </c>
      <c r="DO103" s="12">
        <f>IF('Données projet'!$A$166&gt;35,DO102+DN103-DW102,IF(A103&lt;'Données projet'!$A$166,$DL$205^A103,IF(A103='Données projet'!$A$166,'Données projet'!$B$166,DO102+DN103-DW102)))</f>
        <v>333.22200000000038</v>
      </c>
      <c r="DP103" s="17">
        <f>DO103*VLOOKUP('Données projet'!$B$14,Paramètres!$A$1:$I$89,3,0)*VLOOKUP('Données projet'!$B$14,Paramètres!$A$1:$I$89,5,0)</f>
        <v>322.2923184000004</v>
      </c>
      <c r="DQ103" s="13">
        <f t="shared" si="97"/>
        <v>75.830116762031381</v>
      </c>
      <c r="DR103" s="20">
        <f t="shared" si="70"/>
        <v>693.39657457387193</v>
      </c>
      <c r="DS103" s="59">
        <f t="shared" si="71"/>
        <v>976.21658432845334</v>
      </c>
      <c r="DT103" s="59">
        <f ca="1">AVERAGE(OFFSET($DS$3,0,0,'Données projet'!$E$14+1,1))-AVERAGE(OFFSET($H$3,0,0,'Données projet'!$E$14+1,1))</f>
        <v>649.03508893149228</v>
      </c>
      <c r="DU103" s="59">
        <f t="shared" si="98"/>
        <v>297.94672581383213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48.747366717370561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48.747366717370561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8.0470000000000024</v>
      </c>
      <c r="EJ103" s="12">
        <f>IF('Données projet'!$A$192&gt;35,EJ102+EI103-ER102,IF(A103&lt;'Données projet'!$A$192,$EG$205^A103,IF(A103='Données projet'!$A$192,'Données projet'!$B$192,EJ102+EI103-ER102)))</f>
        <v>333.22200000000038</v>
      </c>
      <c r="EK103" s="17">
        <f>EJ103*VLOOKUP('Données projet'!$B$15,Paramètres!$A$1:$I$89,3,0)*VLOOKUP('Données projet'!$B$15,Paramètres!$A$1:$I$89,5,0)</f>
        <v>358.68016080000035</v>
      </c>
      <c r="EL103" s="13">
        <f t="shared" si="99"/>
        <v>83.347290180347258</v>
      </c>
      <c r="EM103" s="20">
        <f t="shared" si="73"/>
        <v>769.86447712410529</v>
      </c>
      <c r="EN103" s="59">
        <f t="shared" si="74"/>
        <v>1052.6844868786866</v>
      </c>
      <c r="EO103" s="59">
        <f ca="1">AVERAGE(OFFSET($EN$3,0,0,'Données projet'!$E$15+1,1))-AVERAGE(OFFSET($H$3,0,0,'Données projet'!$E$15+1,1))</f>
        <v>713.57333631602273</v>
      </c>
      <c r="EP103" s="59">
        <f t="shared" si="100"/>
        <v>325.30302392555359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54.251101669331746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54.251101669331746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5.6843418860808015E-14</v>
      </c>
      <c r="FF103" s="17">
        <f>FE103*VLOOKUP('Données projet'!$B$16,Paramètres!$A$1:$I$89,3,0)*VLOOKUP('Données projet'!$B$16,Paramètres!$A$1:$I$89,5,0)</f>
        <v>4.4337866711430253E-14</v>
      </c>
      <c r="FG103" s="13">
        <f t="shared" si="101"/>
        <v>7.3222115536967035E-13</v>
      </c>
      <c r="FH103" s="20">
        <f t="shared" si="76"/>
        <v>1.3525069634579169E-12</v>
      </c>
      <c r="FI103" s="59">
        <f t="shared" si="77"/>
        <v>282.82000975458277</v>
      </c>
      <c r="FJ103" s="59">
        <f ca="1">AVERAGE(OFFSET($FI$3,0,0,'Données projet'!$E$16+1,1))-AVERAGE(OFFSET($H$3,0,0,'Données projet'!$E$16+1,1))</f>
        <v>302.04287561738482</v>
      </c>
      <c r="FK103" s="59">
        <f t="shared" si="102"/>
        <v>296.09828774694802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55.852007639572932</v>
      </c>
      <c r="FR103" s="21">
        <f>EXP(-LN(2)/25)*FR102+(1-EXP(-LN(2)/25))/(LN(2)/25)*Calculateur!FM103*Calculateur!FO103*VLOOKUP('Données projet'!$B$16,Paramètres!$A$1:$I$89,3,0)*0.475*44/12</f>
        <v>21.551425332554242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77.403432972127177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7.7120000000000006</v>
      </c>
      <c r="FZ103" s="12">
        <f>IF('Données projet'!$A$244&gt;35,FZ102+FY103-GH102,IF(A103&lt;'Données projet'!$A$244,$FW$205^A103,IF(A103='Données projet'!$A$244,'Données projet'!$B$244,FZ102+FY103-GH102)))</f>
        <v>299.05400000000009</v>
      </c>
      <c r="GA103" s="17">
        <f>FZ103*VLOOKUP('Données projet'!$B$17,Paramètres!$A$1:$I$89,3,0)*VLOOKUP('Données projet'!$B$17,Paramètres!$A$1:$I$89,5,0)</f>
        <v>251.92308960000008</v>
      </c>
      <c r="GB103" s="13">
        <f t="shared" si="103"/>
        <v>60.997557710826641</v>
      </c>
      <c r="GC103" s="20">
        <f t="shared" si="79"/>
        <v>545.00346073302319</v>
      </c>
      <c r="GD103" s="59">
        <f t="shared" si="80"/>
        <v>827.8234704876046</v>
      </c>
      <c r="GE103" s="59">
        <f ca="1">AVERAGE(OFFSET($GD$3,0,0,'Données projet'!$E$17+1,1))-AVERAGE(OFFSET($H$3,0,0,'Données projet'!$E$17+1,1))</f>
        <v>385.41819366740276</v>
      </c>
      <c r="GF103" s="59">
        <f t="shared" si="104"/>
        <v>262.4625391252718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35.971866048853876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35.971866048853876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67.132729933067651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3.3000000000000003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12.100000000000001</v>
      </c>
      <c r="H104" s="67">
        <f t="shared" si="56"/>
        <v>208.26666666666665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8.0470000000000024</v>
      </c>
      <c r="N104" s="13">
        <f>IF('Données projet'!$A$36&gt;35,N103+M104-V103,IF(A104&lt;'Données projet'!$A$36,$K$205^A104,IF(A104='Données projet'!$A$36,'Données projet'!$B$36,N103+M104-V103)))</f>
        <v>341.2690000000004</v>
      </c>
      <c r="O104" s="13">
        <f>N104*VLOOKUP('Données projet'!$B$9,Paramètres!$A$1:$I$89,3,0)*VLOOKUP('Données projet'!$B$9,Paramètres!$A$1:$I$89,5,0)</f>
        <v>308.78019120000033</v>
      </c>
      <c r="P104" s="13">
        <f t="shared" si="87"/>
        <v>73.014027120130123</v>
      </c>
      <c r="Q104" s="20">
        <f t="shared" si="107"/>
        <v>664.95826357422709</v>
      </c>
      <c r="R104" s="59">
        <f t="shared" si="55"/>
        <v>947.96065598862947</v>
      </c>
      <c r="S104" s="59">
        <f ca="1">AVERAGE(OFFSET($R$3,0,0,'Données projet'!$E$9+1,1))-AVERAGE(OFFSET($H$3,0,0,'Données projet'!$E$9+1,1))</f>
        <v>612.09138396952153</v>
      </c>
      <c r="T104" s="59">
        <f t="shared" si="88"/>
        <v>282.284310393542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44.708140551000682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44.708140551000682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346.04676600000045</v>
      </c>
      <c r="AK104" s="13">
        <f t="shared" si="89"/>
        <v>80.747961934338676</v>
      </c>
      <c r="AL104" s="20">
        <f t="shared" si="58"/>
        <v>743.33415115230719</v>
      </c>
      <c r="AM104" s="59">
        <f t="shared" si="59"/>
        <v>1026.3365435667097</v>
      </c>
      <c r="AN104" s="59">
        <f ca="1">AVERAGE(OFFSET($AM$3,0,0,'Données projet'!$E$10+1,1))-AVERAGE(OFFSET($H$3,0,0,'Données projet'!$E$10+1,1))</f>
        <v>676.7112666359476</v>
      </c>
      <c r="AO104" s="59">
        <f t="shared" si="90"/>
        <v>309.67876644201385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50.103950617500779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50.103950617500779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340.7229696000004</v>
      </c>
      <c r="BF104" s="13">
        <f t="shared" si="91"/>
        <v>79.649298047784853</v>
      </c>
      <c r="BG104" s="20">
        <f t="shared" si="61"/>
        <v>732.14836615322599</v>
      </c>
      <c r="BH104" s="59">
        <f t="shared" si="62"/>
        <v>1015.1507585676284</v>
      </c>
      <c r="BI104" s="59">
        <f ca="1">AVERAGE(OFFSET($BH$3,0,0,'Données projet'!$E$11+1,1))-AVERAGE(OFFSET($H$3,0,0,'Données projet'!$E$11+1,1))</f>
        <v>667.4887768032404</v>
      </c>
      <c r="BJ104" s="59">
        <f t="shared" si="92"/>
        <v>305.76944302827178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49.333120608000762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49.333120608000762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324.75158040000036</v>
      </c>
      <c r="CA104" s="13">
        <f t="shared" si="93"/>
        <v>76.341162664586662</v>
      </c>
      <c r="CB104" s="20">
        <f t="shared" si="64"/>
        <v>698.56986083748905</v>
      </c>
      <c r="CC104" s="59">
        <f t="shared" si="65"/>
        <v>981.57225325189142</v>
      </c>
      <c r="CD104" s="59">
        <f ca="1">AVERAGE(OFFSET($CC$3,0,0,'Données projet'!$E$12+1,1))-AVERAGE(OFFSET($H$3,0,0,'Données projet'!$E$12+1,1))</f>
        <v>639.80378676828764</v>
      </c>
      <c r="CE104" s="59">
        <f t="shared" si="94"/>
        <v>294.03328334345281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47.020630579500732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47.020630579500732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-1.7053025658242404E-13</v>
      </c>
      <c r="CU104" s="17">
        <f>CT104*VLOOKUP('Données projet'!$B$13,Paramètres!$A$1:$I$89,3,0)*VLOOKUP('Données projet'!$B$13,Paramètres!$A$1:$I$89,5,0)</f>
        <v>-1.4897523215040567E-13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340.64710509454375</v>
      </c>
      <c r="CZ104" s="59">
        <f t="shared" si="96"/>
        <v>329.6409514360613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64.374373656779952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64.374373656779952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8.0470000000000024</v>
      </c>
      <c r="DO104" s="12">
        <f>IF('Données projet'!$A$166&gt;35,DO103+DN104-DW103,IF(A104&lt;'Données projet'!$A$166,$DL$205^A104,IF(A104='Données projet'!$A$166,'Données projet'!$B$166,DO103+DN104-DW103)))</f>
        <v>341.2690000000004</v>
      </c>
      <c r="DP104" s="17">
        <f>DO104*VLOOKUP('Données projet'!$B$14,Paramètres!$A$1:$I$89,3,0)*VLOOKUP('Données projet'!$B$14,Paramètres!$A$1:$I$89,5,0)</f>
        <v>330.07537680000041</v>
      </c>
      <c r="DQ104" s="13">
        <f t="shared" si="97"/>
        <v>77.445934497848739</v>
      </c>
      <c r="DR104" s="20">
        <f t="shared" si="70"/>
        <v>709.76628384375397</v>
      </c>
      <c r="DS104" s="59">
        <f t="shared" si="71"/>
        <v>992.76867625815635</v>
      </c>
      <c r="DT104" s="59">
        <f ca="1">AVERAGE(OFFSET($DS$3,0,0,'Données projet'!$E$14+1,1))-AVERAGE(OFFSET($H$3,0,0,'Données projet'!$E$14+1,1))</f>
        <v>649.03508893149228</v>
      </c>
      <c r="DU104" s="59">
        <f t="shared" si="98"/>
        <v>297.94672581383213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47.791460589000735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47.791460589000735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8.0470000000000024</v>
      </c>
      <c r="EJ104" s="12">
        <f>IF('Données projet'!$A$192&gt;35,EJ103+EI104-ER103,IF(A104&lt;'Données projet'!$A$192,$EG$205^A104,IF(A104='Données projet'!$A$192,'Données projet'!$B$192,EJ103+EI104-ER103)))</f>
        <v>341.2690000000004</v>
      </c>
      <c r="EK104" s="17">
        <f>EJ104*VLOOKUP('Données projet'!$B$15,Paramètres!$A$1:$I$89,3,0)*VLOOKUP('Données projet'!$B$15,Paramètres!$A$1:$I$89,5,0)</f>
        <v>367.34195160000041</v>
      </c>
      <c r="EL104" s="13">
        <f t="shared" si="99"/>
        <v>85.123286782440843</v>
      </c>
      <c r="EM104" s="20">
        <f t="shared" si="73"/>
        <v>788.04362351608518</v>
      </c>
      <c r="EN104" s="59">
        <f t="shared" si="74"/>
        <v>1071.0460159304876</v>
      </c>
      <c r="EO104" s="59">
        <f ca="1">AVERAGE(OFFSET($EN$3,0,0,'Données projet'!$E$15+1,1))-AVERAGE(OFFSET($H$3,0,0,'Données projet'!$E$15+1,1))</f>
        <v>713.57333631602273</v>
      </c>
      <c r="EP104" s="59">
        <f t="shared" si="100"/>
        <v>325.30302392555359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53.187270655500811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53.187270655500811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5.6843418860808015E-14</v>
      </c>
      <c r="FF104" s="17">
        <f>FE104*VLOOKUP('Données projet'!$B$16,Paramètres!$A$1:$I$89,3,0)*VLOOKUP('Données projet'!$B$16,Paramètres!$A$1:$I$89,5,0)</f>
        <v>4.4337866711430253E-14</v>
      </c>
      <c r="FG104" s="13">
        <f t="shared" si="101"/>
        <v>7.3222115536967035E-13</v>
      </c>
      <c r="FH104" s="20">
        <f t="shared" si="76"/>
        <v>1.3525069634579169E-12</v>
      </c>
      <c r="FI104" s="59">
        <f t="shared" si="77"/>
        <v>283.0023924144038</v>
      </c>
      <c r="FJ104" s="59">
        <f ca="1">AVERAGE(OFFSET($FI$3,0,0,'Données projet'!$E$16+1,1))-AVERAGE(OFFSET($H$3,0,0,'Données projet'!$E$16+1,1))</f>
        <v>302.04287561738482</v>
      </c>
      <c r="FK104" s="59">
        <f t="shared" si="102"/>
        <v>296.09828774694802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54.756783836121791</v>
      </c>
      <c r="FR104" s="21">
        <f>EXP(-LN(2)/25)*FR103+(1-EXP(-LN(2)/25))/(LN(2)/25)*Calculateur!FM104*Calculateur!FO104*VLOOKUP('Données projet'!$B$16,Paramètres!$A$1:$I$89,3,0)*0.475*44/12</f>
        <v>20.962100473495344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75.718884309617138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7.7120000000000006</v>
      </c>
      <c r="FZ104" s="12">
        <f>IF('Données projet'!$A$244&gt;35,FZ103+FY104-GH103,IF(A104&lt;'Données projet'!$A$244,$FW$205^A104,IF(A104='Données projet'!$A$244,'Données projet'!$B$244,FZ103+FY104-GH103)))</f>
        <v>306.76600000000008</v>
      </c>
      <c r="GA104" s="17">
        <f>FZ104*VLOOKUP('Données projet'!$B$17,Paramètres!$A$1:$I$89,3,0)*VLOOKUP('Données projet'!$B$17,Paramètres!$A$1:$I$89,5,0)</f>
        <v>258.41967840000007</v>
      </c>
      <c r="GB104" s="13">
        <f t="shared" si="103"/>
        <v>62.385397818771914</v>
      </c>
      <c r="GC104" s="20">
        <f t="shared" si="79"/>
        <v>558.73550774769456</v>
      </c>
      <c r="GD104" s="59">
        <f t="shared" si="80"/>
        <v>841.73790016209705</v>
      </c>
      <c r="GE104" s="59">
        <f ca="1">AVERAGE(OFFSET($GD$3,0,0,'Données projet'!$E$17+1,1))-AVERAGE(OFFSET($H$3,0,0,'Données projet'!$E$17+1,1))</f>
        <v>385.41819366740276</v>
      </c>
      <c r="GF104" s="59">
        <f t="shared" si="104"/>
        <v>262.4625391252718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35.266479696307677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35.266479696307677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67.182470658473392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3.3000000000000003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12.100000000000001</v>
      </c>
      <c r="H105" s="67">
        <f t="shared" si="56"/>
        <v>208.26666666666665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8.0470000000000024</v>
      </c>
      <c r="N105" s="13">
        <f>IF('Données projet'!$A$36&gt;35,N104+M105-V104,IF(A105&lt;'Données projet'!$A$36,$K$205^A105,IF(A105='Données projet'!$A$36,'Données projet'!$B$36,N104+M105-V104)))</f>
        <v>349.31600000000043</v>
      </c>
      <c r="O105" s="13">
        <f>N105*VLOOKUP('Données projet'!$B$9,Paramètres!$A$1:$I$89,3,0)*VLOOKUP('Données projet'!$B$9,Paramètres!$A$1:$I$89,5,0)</f>
        <v>316.06111680000038</v>
      </c>
      <c r="P105" s="13">
        <f t="shared" si="87"/>
        <v>74.533202582557081</v>
      </c>
      <c r="Q105" s="20">
        <f t="shared" si="107"/>
        <v>680.28510625795423</v>
      </c>
      <c r="R105" s="59">
        <f t="shared" si="55"/>
        <v>963.46671740077636</v>
      </c>
      <c r="S105" s="59">
        <f ca="1">AVERAGE(OFFSET($R$3,0,0,'Données projet'!$E$9+1,1))-AVERAGE(OFFSET($H$3,0,0,'Données projet'!$E$9+1,1))</f>
        <v>612.09138396952153</v>
      </c>
      <c r="T105" s="59">
        <f t="shared" si="88"/>
        <v>282.284310393542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43.83144118406868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43.83144118406868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354.20642400000042</v>
      </c>
      <c r="AK105" s="13">
        <f t="shared" si="89"/>
        <v>82.42805447614306</v>
      </c>
      <c r="AL105" s="20">
        <f t="shared" si="58"/>
        <v>760.4717166792833</v>
      </c>
      <c r="AM105" s="59">
        <f t="shared" si="59"/>
        <v>1043.6533278221054</v>
      </c>
      <c r="AN105" s="59">
        <f ca="1">AVERAGE(OFFSET($AM$3,0,0,'Données projet'!$E$10+1,1))-AVERAGE(OFFSET($H$3,0,0,'Données projet'!$E$10+1,1))</f>
        <v>676.7112666359476</v>
      </c>
      <c r="AO105" s="59">
        <f t="shared" si="90"/>
        <v>309.67876644201385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49.121442706283879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49.121442706283879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348.75709440000048</v>
      </c>
      <c r="BF105" s="13">
        <f t="shared" si="91"/>
        <v>81.306531102395624</v>
      </c>
      <c r="BG105" s="20">
        <f t="shared" si="61"/>
        <v>749.02748108333992</v>
      </c>
      <c r="BH105" s="59">
        <f t="shared" si="62"/>
        <v>1032.2090922261621</v>
      </c>
      <c r="BI105" s="59">
        <f ca="1">AVERAGE(OFFSET($BH$3,0,0,'Données projet'!$E$11+1,1))-AVERAGE(OFFSET($H$3,0,0,'Données projet'!$E$11+1,1))</f>
        <v>667.4887768032404</v>
      </c>
      <c r="BJ105" s="59">
        <f t="shared" si="92"/>
        <v>305.76944302827178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48.365728203110272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48.365728203110272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332.40910560000043</v>
      </c>
      <c r="CA105" s="13">
        <f t="shared" si="93"/>
        <v>77.92956458771809</v>
      </c>
      <c r="CB105" s="20">
        <f t="shared" si="64"/>
        <v>714.67318391027641</v>
      </c>
      <c r="CC105" s="59">
        <f t="shared" si="65"/>
        <v>997.85479505309854</v>
      </c>
      <c r="CD105" s="59">
        <f ca="1">AVERAGE(OFFSET($CC$3,0,0,'Données projet'!$E$12+1,1))-AVERAGE(OFFSET($H$3,0,0,'Données projet'!$E$12+1,1))</f>
        <v>639.80378676828764</v>
      </c>
      <c r="CE105" s="59">
        <f t="shared" si="94"/>
        <v>294.03328334345281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46.098584693589487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46.098584693589487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-1.7053025658242404E-13</v>
      </c>
      <c r="CU105" s="17">
        <f>CT105*VLOOKUP('Données projet'!$B$13,Paramètres!$A$1:$I$89,3,0)*VLOOKUP('Données projet'!$B$13,Paramètres!$A$1:$I$89,5,0)</f>
        <v>-1.4897523215040567E-13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340.64710509454375</v>
      </c>
      <c r="CZ105" s="59">
        <f t="shared" si="96"/>
        <v>329.6409514360613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63.112031453861384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63.112031453861384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8.0470000000000024</v>
      </c>
      <c r="DO105" s="12">
        <f>IF('Données projet'!$A$166&gt;35,DO104+DN105-DW104,IF(A105&lt;'Données projet'!$A$166,$DL$205^A105,IF(A105='Données projet'!$A$166,'Données projet'!$B$166,DO104+DN105-DW104)))</f>
        <v>349.31600000000043</v>
      </c>
      <c r="DP105" s="17">
        <f>DO105*VLOOKUP('Données projet'!$B$14,Paramètres!$A$1:$I$89,3,0)*VLOOKUP('Données projet'!$B$14,Paramètres!$A$1:$I$89,5,0)</f>
        <v>337.85843520000043</v>
      </c>
      <c r="DQ105" s="13">
        <f t="shared" si="97"/>
        <v>79.057322993928835</v>
      </c>
      <c r="DR105" s="20">
        <f t="shared" si="70"/>
        <v>726.12827885442675</v>
      </c>
      <c r="DS105" s="59">
        <f t="shared" si="71"/>
        <v>1009.3098899972488</v>
      </c>
      <c r="DT105" s="59">
        <f ca="1">AVERAGE(OFFSET($DS$3,0,0,'Données projet'!$E$14+1,1))-AVERAGE(OFFSET($H$3,0,0,'Données projet'!$E$14+1,1))</f>
        <v>649.03508893149228</v>
      </c>
      <c r="DU105" s="59">
        <f t="shared" si="98"/>
        <v>297.94672581383213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46.854299196763073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46.854299196763073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8.0470000000000024</v>
      </c>
      <c r="EJ105" s="12">
        <f>IF('Données projet'!$A$192&gt;35,EJ104+EI105-ER104,IF(A105&lt;'Données projet'!$A$192,$EG$205^A105,IF(A105='Données projet'!$A$192,'Données projet'!$B$192,EJ104+EI105-ER104)))</f>
        <v>349.31600000000043</v>
      </c>
      <c r="EK105" s="17">
        <f>EJ105*VLOOKUP('Données projet'!$B$15,Paramètres!$A$1:$I$89,3,0)*VLOOKUP('Données projet'!$B$15,Paramètres!$A$1:$I$89,5,0)</f>
        <v>376.00374240000048</v>
      </c>
      <c r="EL105" s="13">
        <f t="shared" si="99"/>
        <v>86.894415066438185</v>
      </c>
      <c r="EM105" s="20">
        <f t="shared" si="73"/>
        <v>806.21429092071401</v>
      </c>
      <c r="EN105" s="59">
        <f t="shared" si="74"/>
        <v>1089.3959020635361</v>
      </c>
      <c r="EO105" s="59">
        <f ca="1">AVERAGE(OFFSET($EN$3,0,0,'Données projet'!$E$15+1,1))-AVERAGE(OFFSET($H$3,0,0,'Données projet'!$E$15+1,1))</f>
        <v>713.57333631602273</v>
      </c>
      <c r="EP105" s="59">
        <f t="shared" si="100"/>
        <v>325.30302392555359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52.144300718978251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52.144300718978251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5.6843418860808015E-14</v>
      </c>
      <c r="FF105" s="17">
        <f>FE105*VLOOKUP('Données projet'!$B$16,Paramètres!$A$1:$I$89,3,0)*VLOOKUP('Données projet'!$B$16,Paramètres!$A$1:$I$89,5,0)</f>
        <v>4.4337866711430253E-14</v>
      </c>
      <c r="FG105" s="13">
        <f t="shared" si="101"/>
        <v>7.3222115536967035E-13</v>
      </c>
      <c r="FH105" s="20">
        <f t="shared" si="76"/>
        <v>1.3525069634579169E-12</v>
      </c>
      <c r="FI105" s="59">
        <f t="shared" si="77"/>
        <v>283.18161114282344</v>
      </c>
      <c r="FJ105" s="59">
        <f ca="1">AVERAGE(OFFSET($FI$3,0,0,'Données projet'!$E$16+1,1))-AVERAGE(OFFSET($H$3,0,0,'Données projet'!$E$16+1,1))</f>
        <v>302.04287561738482</v>
      </c>
      <c r="FK105" s="59">
        <f t="shared" si="102"/>
        <v>296.09828774694802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53.683036703435768</v>
      </c>
      <c r="FR105" s="21">
        <f>EXP(-LN(2)/25)*FR104+(1-EXP(-LN(2)/25))/(LN(2)/25)*Calculateur!FM105*Calculateur!FO105*VLOOKUP('Données projet'!$B$16,Paramètres!$A$1:$I$89,3,0)*0.475*44/12</f>
        <v>20.388890733698659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74.071927437134434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7.7120000000000006</v>
      </c>
      <c r="FZ105" s="12">
        <f>IF('Données projet'!$A$244&gt;35,FZ104+FY105-GH104,IF(A105&lt;'Données projet'!$A$244,$FW$205^A105,IF(A105='Données projet'!$A$244,'Données projet'!$B$244,FZ104+FY105-GH104)))</f>
        <v>314.47800000000007</v>
      </c>
      <c r="GA105" s="17">
        <f>FZ105*VLOOKUP('Données projet'!$B$17,Paramètres!$A$1:$I$89,3,0)*VLOOKUP('Données projet'!$B$17,Paramètres!$A$1:$I$89,5,0)</f>
        <v>264.91626720000011</v>
      </c>
      <c r="GB105" s="13">
        <f t="shared" si="103"/>
        <v>63.769182231734497</v>
      </c>
      <c r="GC105" s="20">
        <f t="shared" si="79"/>
        <v>572.46049109360445</v>
      </c>
      <c r="GD105" s="59">
        <f t="shared" si="80"/>
        <v>855.64210223642658</v>
      </c>
      <c r="GE105" s="59">
        <f ca="1">AVERAGE(OFFSET($GD$3,0,0,'Données projet'!$E$17+1,1))-AVERAGE(OFFSET($H$3,0,0,'Données projet'!$E$17+1,1))</f>
        <v>385.41819366740276</v>
      </c>
      <c r="GF105" s="59">
        <f t="shared" si="104"/>
        <v>262.4625391252718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34.574925539891723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34.574925539891723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67.231348493496938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3.3000000000000003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12.100000000000001</v>
      </c>
      <c r="H106" s="67">
        <f t="shared" si="56"/>
        <v>208.26666666666665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8.0470000000000024</v>
      </c>
      <c r="N106" s="13">
        <f>IF('Données projet'!$A$36&gt;35,N105+M106-V105,IF(A106&lt;'Données projet'!$A$36,$K$205^A106,IF(A106='Données projet'!$A$36,'Données projet'!$B$36,N105+M106-V105)))</f>
        <v>357.36300000000045</v>
      </c>
      <c r="O106" s="13">
        <f>N106*VLOOKUP('Données projet'!$B$9,Paramètres!$A$1:$I$89,3,0)*VLOOKUP('Données projet'!$B$9,Paramètres!$A$1:$I$89,5,0)</f>
        <v>323.34204240000037</v>
      </c>
      <c r="P106" s="13">
        <f t="shared" si="87"/>
        <v>76.048309539529996</v>
      </c>
      <c r="Q106" s="20">
        <f t="shared" si="107"/>
        <v>695.60486296134877</v>
      </c>
      <c r="R106" s="59">
        <f t="shared" si="55"/>
        <v>978.96258378832545</v>
      </c>
      <c r="S106" s="59">
        <f ca="1">AVERAGE(OFFSET($R$3,0,0,'Données projet'!$E$9+1,1))-AVERAGE(OFFSET($H$3,0,0,'Données projet'!$E$9+1,1))</f>
        <v>612.09138396952153</v>
      </c>
      <c r="T106" s="59">
        <f t="shared" si="88"/>
        <v>282.284310393542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42.971933356988401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42.971933356988401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362.36608200000046</v>
      </c>
      <c r="AK106" s="13">
        <f t="shared" si="89"/>
        <v>84.103647560288479</v>
      </c>
      <c r="AL106" s="20">
        <f t="shared" si="58"/>
        <v>777.60144565083658</v>
      </c>
      <c r="AM106" s="59">
        <f t="shared" si="59"/>
        <v>1060.9591664778134</v>
      </c>
      <c r="AN106" s="59">
        <f ca="1">AVERAGE(OFFSET($AM$3,0,0,'Données projet'!$E$10+1,1))-AVERAGE(OFFSET($H$3,0,0,'Données projet'!$E$10+1,1))</f>
        <v>676.7112666359476</v>
      </c>
      <c r="AO106" s="59">
        <f t="shared" si="90"/>
        <v>309.67876644201385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48.158201175935289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48.158201175935289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356.79121920000046</v>
      </c>
      <c r="BF106" s="13">
        <f t="shared" si="91"/>
        <v>82.959325919364858</v>
      </c>
      <c r="BG106" s="20">
        <f t="shared" si="61"/>
        <v>765.89886608289453</v>
      </c>
      <c r="BH106" s="59">
        <f t="shared" si="62"/>
        <v>1049.2565869098712</v>
      </c>
      <c r="BI106" s="59">
        <f ca="1">AVERAGE(OFFSET($BH$3,0,0,'Données projet'!$E$11+1,1))-AVERAGE(OFFSET($H$3,0,0,'Données projet'!$E$11+1,1))</f>
        <v>667.4887768032404</v>
      </c>
      <c r="BJ106" s="59">
        <f t="shared" si="92"/>
        <v>305.76944302827178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47.417305773228584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47.417305773228584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340.06663080000044</v>
      </c>
      <c r="CA106" s="13">
        <f t="shared" si="93"/>
        <v>79.513712609935965</v>
      </c>
      <c r="CB106" s="20">
        <f t="shared" si="64"/>
        <v>730.76909810563927</v>
      </c>
      <c r="CC106" s="59">
        <f t="shared" si="65"/>
        <v>1014.1268189326161</v>
      </c>
      <c r="CD106" s="59">
        <f ca="1">AVERAGE(OFFSET($CC$3,0,0,'Données projet'!$E$12+1,1))-AVERAGE(OFFSET($H$3,0,0,'Données projet'!$E$12+1,1))</f>
        <v>639.80378676828764</v>
      </c>
      <c r="CE106" s="59">
        <f t="shared" si="94"/>
        <v>294.03328334345281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45.194619565108503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45.194619565108503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-1.7053025658242404E-13</v>
      </c>
      <c r="CU106" s="17">
        <f>CT106*VLOOKUP('Données projet'!$B$13,Paramètres!$A$1:$I$89,3,0)*VLOOKUP('Données projet'!$B$13,Paramètres!$A$1:$I$89,5,0)</f>
        <v>-1.4897523215040567E-13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340.64710509454375</v>
      </c>
      <c r="CZ106" s="59">
        <f t="shared" si="96"/>
        <v>329.6409514360613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61.874443011589328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61.874443011589328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8.0470000000000024</v>
      </c>
      <c r="DO106" s="12">
        <f>IF('Données projet'!$A$166&gt;35,DO105+DN106-DW105,IF(A106&lt;'Données projet'!$A$166,$DL$205^A106,IF(A106='Données projet'!$A$166,'Données projet'!$B$166,DO105+DN106-DW105)))</f>
        <v>357.36300000000045</v>
      </c>
      <c r="DP106" s="17">
        <f>DO106*VLOOKUP('Données projet'!$B$14,Paramètres!$A$1:$I$89,3,0)*VLOOKUP('Données projet'!$B$14,Paramètres!$A$1:$I$89,5,0)</f>
        <v>345.64149360000044</v>
      </c>
      <c r="DQ106" s="13">
        <f t="shared" si="97"/>
        <v>80.664396028729414</v>
      </c>
      <c r="DR106" s="20">
        <f t="shared" si="70"/>
        <v>742.48275777003767</v>
      </c>
      <c r="DS106" s="59">
        <f t="shared" si="71"/>
        <v>1025.8404785970145</v>
      </c>
      <c r="DT106" s="59">
        <f ca="1">AVERAGE(OFFSET($DS$3,0,0,'Données projet'!$E$14+1,1))-AVERAGE(OFFSET($H$3,0,0,'Données projet'!$E$14+1,1))</f>
        <v>649.03508893149228</v>
      </c>
      <c r="DU106" s="59">
        <f t="shared" si="98"/>
        <v>297.94672581383213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45.935514967815188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45.935514967815188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8.0470000000000024</v>
      </c>
      <c r="EJ106" s="12">
        <f>IF('Données projet'!$A$192&gt;35,EJ105+EI106-ER105,IF(A106&lt;'Données projet'!$A$192,$EG$205^A106,IF(A106='Données projet'!$A$192,'Données projet'!$B$192,EJ105+EI106-ER105)))</f>
        <v>357.36300000000045</v>
      </c>
      <c r="EK106" s="17">
        <f>EJ106*VLOOKUP('Données projet'!$B$15,Paramètres!$A$1:$I$89,3,0)*VLOOKUP('Données projet'!$B$15,Paramètres!$A$1:$I$89,5,0)</f>
        <v>384.66553320000048</v>
      </c>
      <c r="EL106" s="13">
        <f t="shared" si="99"/>
        <v>88.660800089856849</v>
      </c>
      <c r="EM106" s="20">
        <f t="shared" si="73"/>
        <v>824.37669714650144</v>
      </c>
      <c r="EN106" s="59">
        <f t="shared" si="74"/>
        <v>1107.7344179734782</v>
      </c>
      <c r="EO106" s="59">
        <f ca="1">AVERAGE(OFFSET($EN$3,0,0,'Données projet'!$E$15+1,1))-AVERAGE(OFFSET($H$3,0,0,'Données projet'!$E$15+1,1))</f>
        <v>713.57333631602273</v>
      </c>
      <c r="EP106" s="59">
        <f t="shared" si="100"/>
        <v>325.30302392555359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51.121782786762054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51.121782786762054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5.6843418860808015E-14</v>
      </c>
      <c r="FF106" s="17">
        <f>FE106*VLOOKUP('Données projet'!$B$16,Paramètres!$A$1:$I$89,3,0)*VLOOKUP('Données projet'!$B$16,Paramètres!$A$1:$I$89,5,0)</f>
        <v>4.4337866711430253E-14</v>
      </c>
      <c r="FG106" s="13">
        <f t="shared" si="101"/>
        <v>7.3222115536967035E-13</v>
      </c>
      <c r="FH106" s="20">
        <f t="shared" si="76"/>
        <v>1.3525069634579169E-12</v>
      </c>
      <c r="FI106" s="59">
        <f t="shared" si="77"/>
        <v>283.3577208269781</v>
      </c>
      <c r="FJ106" s="59">
        <f ca="1">AVERAGE(OFFSET($FI$3,0,0,'Données projet'!$E$16+1,1))-AVERAGE(OFFSET($H$3,0,0,'Données projet'!$E$16+1,1))</f>
        <v>302.04287561738482</v>
      </c>
      <c r="FK106" s="59">
        <f t="shared" si="102"/>
        <v>296.09828774694802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52.630345097100637</v>
      </c>
      <c r="FR106" s="21">
        <f>EXP(-LN(2)/25)*FR105+(1-EXP(-LN(2)/25))/(LN(2)/25)*Calculateur!FM106*Calculateur!FO106*VLOOKUP('Données projet'!$B$16,Paramètres!$A$1:$I$89,3,0)*0.475*44/12</f>
        <v>19.831355444380506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72.46170054148115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>
        <f>VLOOKUP(A106,'Données projet'!$A$243:$I$263,2,0)</f>
        <v>322.19</v>
      </c>
      <c r="FX106" s="12">
        <f>VLOOKUP(A106,'Données projet'!$A$243:$I$263,9,0)</f>
        <v>7.7120000000000006</v>
      </c>
      <c r="FY106" s="12">
        <f t="array" ref="FY106">INDEX(FX:FX,MIN(IF(ISNUMBER(FX106:FX302),ROW(FX106:FX302),"")))</f>
        <v>7.7120000000000006</v>
      </c>
      <c r="FZ106" s="12">
        <f>IF('Données projet'!$A$244&gt;35,FZ105+FY106-GH105,IF(A106&lt;'Données projet'!$A$244,$FW$205^A106,IF(A106='Données projet'!$A$244,'Données projet'!$B$244,FZ105+FY106-GH105)))</f>
        <v>322.19000000000005</v>
      </c>
      <c r="GA106" s="17">
        <f>FZ106*VLOOKUP('Données projet'!$B$17,Paramètres!$A$1:$I$89,3,0)*VLOOKUP('Données projet'!$B$17,Paramètres!$A$1:$I$89,5,0)</f>
        <v>271.41285600000009</v>
      </c>
      <c r="GB106" s="13">
        <f t="shared" si="103"/>
        <v>65.149021849374975</v>
      </c>
      <c r="GC106" s="20">
        <f t="shared" si="79"/>
        <v>586.17860392099487</v>
      </c>
      <c r="GD106" s="59">
        <f t="shared" si="80"/>
        <v>869.53632474797155</v>
      </c>
      <c r="GE106" s="59">
        <f ca="1">AVERAGE(OFFSET($GD$3,0,0,'Données projet'!$E$17+1,1))-AVERAGE(OFFSET($H$3,0,0,'Données projet'!$E$17+1,1))</f>
        <v>385.41819366740276</v>
      </c>
      <c r="GF106" s="59">
        <f t="shared" si="104"/>
        <v>262.4625391252718</v>
      </c>
      <c r="GG106" s="15">
        <f>IF(ISNA(VLOOKUP(A106,'Données projet'!$A$243:$I$263,3,0)),0,VLOOKUP(A106,'Données projet'!$A$243:$I$263,3,0))</f>
        <v>9</v>
      </c>
      <c r="GH106" s="15">
        <f>IF(ISNA(VLOOKUP(A106,'Données projet'!$A$243:$I$263,4,0)),0,VLOOKUP(A106,'Données projet'!$A$243:$I$263,4,0))</f>
        <v>58.98</v>
      </c>
      <c r="GI106" s="16">
        <f>IF(ISNA(VLOOKUP(A106,'Données projet'!$A$243:$I$263,5,0)),0%,VLOOKUP(A106,'Données projet'!$A$243:$I$263,5,0)*VLOOKUP('Données projet'!$B$17,Paramètres!$A$1:$I$89,7,0))</f>
        <v>0.25800000000000001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48.067587924490347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48.067587924490347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67.279378407357285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3.3000000000000003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12.100000000000001</v>
      </c>
      <c r="H107" s="67">
        <f t="shared" si="56"/>
        <v>208.26666666666665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365.41</v>
      </c>
      <c r="L107" s="12">
        <f>VLOOKUP(A107,'Données projet'!$A$35:$I$55,9,0)</f>
        <v>8.0470000000000024</v>
      </c>
      <c r="M107" s="12">
        <f t="array" ref="M107">INDEX(L:L,MIN(IF(ISNUMBER(L107:L303),ROW(L107:L303),"")))</f>
        <v>8.0470000000000024</v>
      </c>
      <c r="N107" s="13">
        <f>IF('Données projet'!$A$36&gt;35,N106+M107-V106,IF(A107&lt;'Données projet'!$A$36,$K$205^A107,IF(A107='Données projet'!$A$36,'Données projet'!$B$36,N106+M107-V106)))</f>
        <v>365.41000000000048</v>
      </c>
      <c r="O107" s="13">
        <f>N107*VLOOKUP('Données projet'!$B$9,Paramètres!$A$1:$I$89,3,0)*VLOOKUP('Données projet'!$B$9,Paramètres!$A$1:$I$89,5,0)</f>
        <v>330.62296800000041</v>
      </c>
      <c r="P107" s="13">
        <f t="shared" si="87"/>
        <v>77.559450151847827</v>
      </c>
      <c r="Q107" s="20">
        <f t="shared" si="107"/>
        <v>710.91771161446911</v>
      </c>
      <c r="R107" s="59">
        <f t="shared" si="55"/>
        <v>994.44848701630269</v>
      </c>
      <c r="S107" s="59">
        <f ca="1">AVERAGE(OFFSET($R$3,0,0,'Données projet'!$E$9+1,1))-AVERAGE(OFFSET($H$3,0,0,'Données projet'!$E$9+1,1))</f>
        <v>612.09138396952153</v>
      </c>
      <c r="T107" s="59">
        <f t="shared" si="88"/>
        <v>282.284310393542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0.25800000000000001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57.661865407845688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57.661865407845688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370.5257400000005</v>
      </c>
      <c r="AK107" s="13">
        <f t="shared" si="89"/>
        <v>85.774854168850283</v>
      </c>
      <c r="AL107" s="20">
        <f t="shared" si="58"/>
        <v>794.72353484408177</v>
      </c>
      <c r="AM107" s="59">
        <f t="shared" si="59"/>
        <v>1078.2543102459153</v>
      </c>
      <c r="AN107" s="59">
        <f ca="1">AVERAGE(OFFSET($AM$3,0,0,'Données projet'!$E$10+1,1))-AVERAGE(OFFSET($H$3,0,0,'Données projet'!$E$10+1,1))</f>
        <v>676.7112666359476</v>
      </c>
      <c r="AO107" s="59">
        <f t="shared" si="90"/>
        <v>309.67876644201385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64.621056060516736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64.621056060516736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364.82534400000048</v>
      </c>
      <c r="BF107" s="13">
        <f t="shared" si="91"/>
        <v>84.607793943523887</v>
      </c>
      <c r="BG107" s="20">
        <f t="shared" si="61"/>
        <v>782.76271525163827</v>
      </c>
      <c r="BH107" s="59">
        <f t="shared" si="62"/>
        <v>1066.293490653472</v>
      </c>
      <c r="BI107" s="59">
        <f ca="1">AVERAGE(OFFSET($BH$3,0,0,'Données projet'!$E$11+1,1))-AVERAGE(OFFSET($H$3,0,0,'Données projet'!$E$11+1,1))</f>
        <v>667.4887768032404</v>
      </c>
      <c r="BJ107" s="59">
        <f t="shared" si="92"/>
        <v>305.76944302827178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63.626885967278014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63.626885967278014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347.72415600000045</v>
      </c>
      <c r="CA107" s="13">
        <f t="shared" si="93"/>
        <v>81.093713547347789</v>
      </c>
      <c r="CB107" s="20">
        <f t="shared" si="64"/>
        <v>746.85778946163146</v>
      </c>
      <c r="CC107" s="59">
        <f t="shared" si="65"/>
        <v>1030.388564863465</v>
      </c>
      <c r="CD107" s="59">
        <f ca="1">AVERAGE(OFFSET($CC$3,0,0,'Données projet'!$E$12+1,1))-AVERAGE(OFFSET($H$3,0,0,'Données projet'!$E$12+1,1))</f>
        <v>639.80378676828764</v>
      </c>
      <c r="CE107" s="59">
        <f t="shared" si="94"/>
        <v>294.03328334345281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0.25800000000000001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60.644375687561855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60.644375687561855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-1.7053025658242404E-13</v>
      </c>
      <c r="CU107" s="17">
        <f>CT107*VLOOKUP('Données projet'!$B$13,Paramètres!$A$1:$I$89,3,0)*VLOOKUP('Données projet'!$B$13,Paramètres!$A$1:$I$89,5,0)</f>
        <v>-1.4897523215040567E-13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340.64710509454375</v>
      </c>
      <c r="CZ107" s="59">
        <f t="shared" si="96"/>
        <v>329.6409514360613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60.661122923815817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60.661122923815817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365.41</v>
      </c>
      <c r="DM107" s="12">
        <f>VLOOKUP(A107,'Données projet'!$A$165:$I$185,9,0)</f>
        <v>8.0470000000000024</v>
      </c>
      <c r="DN107" s="12">
        <f t="array" ref="DN107">INDEX(DM:DM,MIN(IF(ISNUMBER(DM107:DM303),ROW(DM107:DM303),"")))</f>
        <v>8.0470000000000024</v>
      </c>
      <c r="DO107" s="12">
        <f>IF('Données projet'!$A$166&gt;35,DO106+DN107-DW106,IF(A107&lt;'Données projet'!$A$166,$DL$205^A107,IF(A107='Données projet'!$A$166,'Données projet'!$B$166,DO106+DN107-DW106)))</f>
        <v>365.41000000000048</v>
      </c>
      <c r="DP107" s="17">
        <f>DO107*VLOOKUP('Données projet'!$B$14,Paramètres!$A$1:$I$89,3,0)*VLOOKUP('Données projet'!$B$14,Paramètres!$A$1:$I$89,5,0)</f>
        <v>353.42455200000046</v>
      </c>
      <c r="DQ107" s="13">
        <f t="shared" si="97"/>
        <v>82.267261964148275</v>
      </c>
      <c r="DR107" s="20">
        <f t="shared" si="70"/>
        <v>758.8299093208924</v>
      </c>
      <c r="DS107" s="59">
        <f t="shared" si="71"/>
        <v>1042.3606847227261</v>
      </c>
      <c r="DT107" s="59">
        <f ca="1">AVERAGE(OFFSET($DS$3,0,0,'Données projet'!$E$14+1,1))-AVERAGE(OFFSET($H$3,0,0,'Données projet'!$E$14+1,1))</f>
        <v>649.03508893149228</v>
      </c>
      <c r="DU107" s="59">
        <f t="shared" si="98"/>
        <v>297.94672581383213</v>
      </c>
      <c r="DV107" s="15">
        <f>IF(ISNA(VLOOKUP(A107,'Données projet'!$A$165:$I$185,3,0)),0,VLOOKUP(A107,'Données projet'!$A$165:$I$185,3,0))</f>
        <v>8</v>
      </c>
      <c r="DW107" s="15">
        <f>IF(ISNA(VLOOKUP(A107,'Données projet'!$A$165:$I$185,4,0)),0,VLOOKUP(A107,'Données projet'!$A$165:$I$185,4,0))</f>
        <v>60.19</v>
      </c>
      <c r="DX107" s="16">
        <f>IF(ISNA(VLOOKUP(A107,'Données projet'!$A$165:$I$185,5,0)),0%,VLOOKUP(A107,'Données projet'!$A$165:$I$185,5,0)*VLOOKUP('Données projet'!$B$14,Paramètres!$A$1:$I$89,7,0))</f>
        <v>0.25800000000000001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61.638545780800555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61.638545780800555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>
        <f>VLOOKUP(A107,'Données projet'!$A$191:$I$211,2,0)</f>
        <v>365.41</v>
      </c>
      <c r="EH107" s="12">
        <f>VLOOKUP(A107,'Données projet'!$A$191:$I$211,9,0)</f>
        <v>8.0470000000000024</v>
      </c>
      <c r="EI107" s="12">
        <f t="array" ref="EI107">INDEX(EH:EH,MIN(IF(ISNUMBER(EH107:EH303),ROW(EH107:EH303),"")))</f>
        <v>8.0470000000000024</v>
      </c>
      <c r="EJ107" s="12">
        <f>IF('Données projet'!$A$192&gt;35,EJ106+EI107-ER106,IF(A107&lt;'Données projet'!$A$192,$EG$205^A107,IF(A107='Données projet'!$A$192,'Données projet'!$B$192,EJ106+EI107-ER106)))</f>
        <v>365.41000000000048</v>
      </c>
      <c r="EK107" s="17">
        <f>EJ107*VLOOKUP('Données projet'!$B$15,Paramètres!$A$1:$I$89,3,0)*VLOOKUP('Données projet'!$B$15,Paramètres!$A$1:$I$89,5,0)</f>
        <v>393.32732400000049</v>
      </c>
      <c r="EL107" s="13">
        <f t="shared" si="99"/>
        <v>90.42256095670065</v>
      </c>
      <c r="EM107" s="20">
        <f t="shared" si="73"/>
        <v>842.53104963292105</v>
      </c>
      <c r="EN107" s="59">
        <f t="shared" si="74"/>
        <v>1126.0618250347547</v>
      </c>
      <c r="EO107" s="59">
        <f ca="1">AVERAGE(OFFSET($EN$3,0,0,'Données projet'!$E$15+1,1))-AVERAGE(OFFSET($H$3,0,0,'Données projet'!$E$15+1,1))</f>
        <v>713.57333631602273</v>
      </c>
      <c r="EP107" s="59">
        <f t="shared" si="100"/>
        <v>325.30302392555359</v>
      </c>
      <c r="EQ107" s="15">
        <f>IF(ISNA(VLOOKUP(A107,'Données projet'!$A$191:$I$211,3,0)),0,VLOOKUP(A107,'Données projet'!$A$191:$I$211,3,0))</f>
        <v>8</v>
      </c>
      <c r="ER107" s="15">
        <f>IF(ISNA(VLOOKUP(A107,'Données projet'!$A$191:$I$211,4,0)),0,VLOOKUP(A107,'Données projet'!$A$191:$I$211,4,0))</f>
        <v>60.19</v>
      </c>
      <c r="ES107" s="16">
        <f>IF(ISNA(VLOOKUP(A107,'Données projet'!$A$191:$I$211,5,0)),0%,VLOOKUP(A107,'Données projet'!$A$191:$I$211,5,0)*VLOOKUP('Données projet'!$B$15,Paramètres!$A$1:$I$89,7,0))</f>
        <v>0.25800000000000001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68.597736433471596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68.597736433471596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5.6843418860808015E-14</v>
      </c>
      <c r="FF107" s="17">
        <f>FE107*VLOOKUP('Données projet'!$B$16,Paramètres!$A$1:$I$89,3,0)*VLOOKUP('Données projet'!$B$16,Paramètres!$A$1:$I$89,5,0)</f>
        <v>4.4337866711430253E-14</v>
      </c>
      <c r="FG107" s="13">
        <f t="shared" si="101"/>
        <v>7.3222115536967035E-13</v>
      </c>
      <c r="FH107" s="20">
        <f t="shared" si="76"/>
        <v>1.3525069634579169E-12</v>
      </c>
      <c r="FI107" s="59">
        <f t="shared" si="77"/>
        <v>283.53077540183494</v>
      </c>
      <c r="FJ107" s="59">
        <f ca="1">AVERAGE(OFFSET($FI$3,0,0,'Données projet'!$E$16+1,1))-AVERAGE(OFFSET($H$3,0,0,'Données projet'!$E$16+1,1))</f>
        <v>302.04287561738482</v>
      </c>
      <c r="FK107" s="59">
        <f t="shared" si="102"/>
        <v>296.09828774694802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51.59829613108726</v>
      </c>
      <c r="FR107" s="21">
        <f>EXP(-LN(2)/25)*FR106+(1-EXP(-LN(2)/25))/(LN(2)/25)*Calculateur!FM107*Calculateur!FO107*VLOOKUP('Données projet'!$B$16,Paramètres!$A$1:$I$89,3,0)*0.475*44/12</f>
        <v>19.289065986868263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70.887362117955519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7.456999999999999</v>
      </c>
      <c r="FZ107" s="12">
        <f>IF('Données projet'!$A$244&gt;35,FZ106+FY107-GH106,IF(A107&lt;'Données projet'!$A$244,$FW$205^A107,IF(A107='Données projet'!$A$244,'Données projet'!$B$244,FZ106+FY107-GH106)))</f>
        <v>270.66700000000003</v>
      </c>
      <c r="GA107" s="17">
        <f>FZ107*VLOOKUP('Données projet'!$B$17,Paramètres!$A$1:$I$89,3,0)*VLOOKUP('Données projet'!$B$17,Paramètres!$A$1:$I$89,5,0)</f>
        <v>228.00988080000005</v>
      </c>
      <c r="GB107" s="13">
        <f t="shared" si="103"/>
        <v>55.852153831597562</v>
      </c>
      <c r="GC107" s="20">
        <f t="shared" si="79"/>
        <v>494.39304365003255</v>
      </c>
      <c r="GD107" s="59">
        <f t="shared" si="80"/>
        <v>777.92381905186608</v>
      </c>
      <c r="GE107" s="59">
        <f ca="1">AVERAGE(OFFSET($GD$3,0,0,'Données projet'!$E$17+1,1))-AVERAGE(OFFSET($H$3,0,0,'Données projet'!$E$17+1,1))</f>
        <v>385.41819366740276</v>
      </c>
      <c r="GF107" s="59">
        <f t="shared" si="104"/>
        <v>262.4625391252718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47.125011843624783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47.125011843624783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67.326575109590976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3.3000000000000003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12.100000000000001</v>
      </c>
      <c r="H108" s="67">
        <f t="shared" si="56"/>
        <v>208.26666666666665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7.9349999999999969</v>
      </c>
      <c r="N108" s="13">
        <f>IF('Données projet'!$A$36&gt;35,N107+M108-V107,IF(A108&lt;'Données projet'!$A$36,$K$205^A108,IF(A108='Données projet'!$A$36,'Données projet'!$B$36,N107+M108-V107)))</f>
        <v>313.15500000000048</v>
      </c>
      <c r="O108" s="13">
        <f>N108*VLOOKUP('Données projet'!$B$9,Paramètres!$A$1:$I$89,3,0)*VLOOKUP('Données projet'!$B$9,Paramètres!$A$1:$I$89,5,0)</f>
        <v>283.34264400000046</v>
      </c>
      <c r="P108" s="13">
        <f t="shared" si="87"/>
        <v>67.672917015543916</v>
      </c>
      <c r="Q108" s="20">
        <f t="shared" si="107"/>
        <v>611.3521021020731</v>
      </c>
      <c r="R108" s="59">
        <f t="shared" si="55"/>
        <v>895.05292996878188</v>
      </c>
      <c r="S108" s="59">
        <f ca="1">AVERAGE(OFFSET($R$3,0,0,'Données projet'!$E$9+1,1))-AVERAGE(OFFSET($H$3,0,0,'Données projet'!$E$9+1,1))</f>
        <v>612.09138396952153</v>
      </c>
      <c r="T108" s="59">
        <f t="shared" si="88"/>
        <v>282.284310393542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56.531151397462956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56.531151397462956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317.53917000000052</v>
      </c>
      <c r="AK108" s="13">
        <f t="shared" si="89"/>
        <v>74.841100302084755</v>
      </c>
      <c r="AL108" s="20">
        <f t="shared" si="58"/>
        <v>683.39563744279849</v>
      </c>
      <c r="AM108" s="59">
        <f t="shared" si="59"/>
        <v>967.09646530950727</v>
      </c>
      <c r="AN108" s="59">
        <f ca="1">AVERAGE(OFFSET($AM$3,0,0,'Données projet'!$E$10+1,1))-AVERAGE(OFFSET($H$3,0,0,'Données projet'!$E$10+1,1))</f>
        <v>676.7112666359476</v>
      </c>
      <c r="AO108" s="59">
        <f t="shared" si="90"/>
        <v>309.67876644201385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63.353876566122295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63.353876566122295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312.65395200000046</v>
      </c>
      <c r="BF108" s="13">
        <f t="shared" si="91"/>
        <v>73.8228056954826</v>
      </c>
      <c r="BG108" s="20">
        <f t="shared" si="61"/>
        <v>673.11368631963296</v>
      </c>
      <c r="BH108" s="59">
        <f t="shared" si="62"/>
        <v>956.81451418634174</v>
      </c>
      <c r="BI108" s="59">
        <f ca="1">AVERAGE(OFFSET($BH$3,0,0,'Données projet'!$E$11+1,1))-AVERAGE(OFFSET($H$3,0,0,'Données projet'!$E$11+1,1))</f>
        <v>667.4887768032404</v>
      </c>
      <c r="BJ108" s="59">
        <f t="shared" si="92"/>
        <v>305.76944302827178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62.379201542028106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62.379201542028106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297.99829800000049</v>
      </c>
      <c r="CA108" s="13">
        <f t="shared" si="93"/>
        <v>70.756666487806527</v>
      </c>
      <c r="CB108" s="20">
        <f t="shared" si="64"/>
        <v>642.24822981626392</v>
      </c>
      <c r="CC108" s="59">
        <f t="shared" si="65"/>
        <v>925.94905768297258</v>
      </c>
      <c r="CD108" s="59">
        <f ca="1">AVERAGE(OFFSET($CC$3,0,0,'Données projet'!$E$12+1,1))-AVERAGE(OFFSET($H$3,0,0,'Données projet'!$E$12+1,1))</f>
        <v>639.80378676828764</v>
      </c>
      <c r="CE108" s="59">
        <f t="shared" si="94"/>
        <v>294.03328334345281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59.455176469745531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59.455176469745531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-1.7053025658242404E-13</v>
      </c>
      <c r="CU108" s="17">
        <f>CT108*VLOOKUP('Données projet'!$B$13,Paramètres!$A$1:$I$89,3,0)*VLOOKUP('Données projet'!$B$13,Paramètres!$A$1:$I$89,5,0)</f>
        <v>-1.4897523215040567E-13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340.64710509454375</v>
      </c>
      <c r="CZ108" s="59">
        <f t="shared" si="96"/>
        <v>329.6409514360613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59.471595302911361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59.471595302911361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7.9349999999999969</v>
      </c>
      <c r="DO108" s="12">
        <f>IF('Données projet'!$A$166&gt;35,DO107+DN108-DW107,IF(A108&lt;'Données projet'!$A$166,$DL$205^A108,IF(A108='Données projet'!$A$166,'Données projet'!$B$166,DO107+DN108-DW107)))</f>
        <v>313.15500000000048</v>
      </c>
      <c r="DP108" s="17">
        <f>DO108*VLOOKUP('Données projet'!$B$14,Paramètres!$A$1:$I$89,3,0)*VLOOKUP('Données projet'!$B$14,Paramètres!$A$1:$I$89,5,0)</f>
        <v>302.88351600000044</v>
      </c>
      <c r="DQ108" s="13">
        <f t="shared" si="97"/>
        <v>71.780622233603793</v>
      </c>
      <c r="DR108" s="20">
        <f t="shared" si="70"/>
        <v>652.54004075686078</v>
      </c>
      <c r="DS108" s="59">
        <f t="shared" si="71"/>
        <v>936.24086862356944</v>
      </c>
      <c r="DT108" s="59">
        <f ca="1">AVERAGE(OFFSET($DS$3,0,0,'Données projet'!$E$14+1,1))-AVERAGE(OFFSET($H$3,0,0,'Données projet'!$E$14+1,1))</f>
        <v>649.03508893149228</v>
      </c>
      <c r="DU108" s="59">
        <f t="shared" si="98"/>
        <v>297.94672581383213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60.429851493839706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60.429851493839706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7.9349999999999969</v>
      </c>
      <c r="EJ108" s="12">
        <f>IF('Données projet'!$A$192&gt;35,EJ107+EI108-ER107,IF(A108&lt;'Données projet'!$A$192,$EG$205^A108,IF(A108='Données projet'!$A$192,'Données projet'!$B$192,EJ107+EI108-ER107)))</f>
        <v>313.15500000000048</v>
      </c>
      <c r="EK108" s="17">
        <f>EJ108*VLOOKUP('Données projet'!$B$15,Paramètres!$A$1:$I$89,3,0)*VLOOKUP('Données projet'!$B$15,Paramètres!$A$1:$I$89,5,0)</f>
        <v>337.0800420000005</v>
      </c>
      <c r="EL108" s="13">
        <f t="shared" si="99"/>
        <v>78.896362106429635</v>
      </c>
      <c r="EM108" s="20">
        <f t="shared" si="73"/>
        <v>724.49223715203243</v>
      </c>
      <c r="EN108" s="59">
        <f t="shared" si="74"/>
        <v>1008.1930650187412</v>
      </c>
      <c r="EO108" s="59">
        <f ca="1">AVERAGE(OFFSET($EN$3,0,0,'Données projet'!$E$15+1,1))-AVERAGE(OFFSET($H$3,0,0,'Données projet'!$E$15+1,1))</f>
        <v>713.57333631602273</v>
      </c>
      <c r="EP108" s="59">
        <f t="shared" si="100"/>
        <v>325.30302392555359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67.252576662499038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67.252576662499038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5.6843418860808015E-14</v>
      </c>
      <c r="FF108" s="17">
        <f>FE108*VLOOKUP('Données projet'!$B$16,Paramètres!$A$1:$I$89,3,0)*VLOOKUP('Données projet'!$B$16,Paramètres!$A$1:$I$89,5,0)</f>
        <v>4.4337866711430253E-14</v>
      </c>
      <c r="FG108" s="13">
        <f t="shared" si="101"/>
        <v>7.3222115536967035E-13</v>
      </c>
      <c r="FH108" s="20">
        <f t="shared" si="76"/>
        <v>1.3525069634579169E-12</v>
      </c>
      <c r="FI108" s="59">
        <f t="shared" si="77"/>
        <v>283.70082786671009</v>
      </c>
      <c r="FJ108" s="59">
        <f ca="1">AVERAGE(OFFSET($FI$3,0,0,'Données projet'!$E$16+1,1))-AVERAGE(OFFSET($H$3,0,0,'Données projet'!$E$16+1,1))</f>
        <v>302.04287561738482</v>
      </c>
      <c r="FK108" s="59">
        <f t="shared" si="102"/>
        <v>296.09828774694802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50.586485015809693</v>
      </c>
      <c r="FR108" s="21">
        <f>EXP(-LN(2)/25)*FR107+(1-EXP(-LN(2)/25))/(LN(2)/25)*Calculateur!FM108*Calculateur!FO108*VLOOKUP('Données projet'!$B$16,Paramètres!$A$1:$I$89,3,0)*0.475*44/12</f>
        <v>18.761605463089456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69.348090478899152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7.456999999999999</v>
      </c>
      <c r="FZ108" s="12">
        <f>IF('Données projet'!$A$244&gt;35,FZ107+FY108-GH107,IF(A108&lt;'Données projet'!$A$244,$FW$205^A108,IF(A108='Données projet'!$A$244,'Données projet'!$B$244,FZ107+FY108-GH107)))</f>
        <v>278.12400000000002</v>
      </c>
      <c r="GA108" s="17">
        <f>FZ108*VLOOKUP('Données projet'!$B$17,Paramètres!$A$1:$I$89,3,0)*VLOOKUP('Données projet'!$B$17,Paramètres!$A$1:$I$89,5,0)</f>
        <v>234.29165760000006</v>
      </c>
      <c r="GB108" s="13">
        <f t="shared" si="103"/>
        <v>57.209637433767824</v>
      </c>
      <c r="GC108" s="20">
        <f t="shared" si="79"/>
        <v>507.69808885047905</v>
      </c>
      <c r="GD108" s="59">
        <f t="shared" si="80"/>
        <v>791.39891671718783</v>
      </c>
      <c r="GE108" s="59">
        <f ca="1">AVERAGE(OFFSET($GD$3,0,0,'Données projet'!$E$17+1,1))-AVERAGE(OFFSET($H$3,0,0,'Données projet'!$E$17+1,1))</f>
        <v>385.41819366740276</v>
      </c>
      <c r="GF108" s="59">
        <f t="shared" si="104"/>
        <v>262.4625391252718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46.200919104790351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46.200919104790351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67.372953054556916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3.3000000000000003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12.100000000000001</v>
      </c>
      <c r="H109" s="67">
        <f t="shared" si="56"/>
        <v>208.26666666666665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7.9349999999999969</v>
      </c>
      <c r="N109" s="13">
        <f>IF('Données projet'!$A$36&gt;35,N108+M109-V108,IF(A109&lt;'Données projet'!$A$36,$K$205^A109,IF(A109='Données projet'!$A$36,'Données projet'!$B$36,N108+M109-V108)))</f>
        <v>321.09000000000049</v>
      </c>
      <c r="O109" s="13">
        <f>N109*VLOOKUP('Données projet'!$B$9,Paramètres!$A$1:$I$89,3,0)*VLOOKUP('Données projet'!$B$9,Paramètres!$A$1:$I$89,5,0)</f>
        <v>290.52223200000043</v>
      </c>
      <c r="P109" s="13">
        <f t="shared" si="87"/>
        <v>69.185862279978352</v>
      </c>
      <c r="Q109" s="20">
        <f t="shared" si="107"/>
        <v>626.49159753762979</v>
      </c>
      <c r="R109" s="59">
        <f t="shared" si="55"/>
        <v>910.3595278391283</v>
      </c>
      <c r="S109" s="59">
        <f ca="1">AVERAGE(OFFSET($R$3,0,0,'Données projet'!$E$9+1,1))-AVERAGE(OFFSET($H$3,0,0,'Données projet'!$E$9+1,1))</f>
        <v>612.09138396952153</v>
      </c>
      <c r="T109" s="59">
        <f t="shared" si="88"/>
        <v>282.284310393542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55.422609999156386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55.422609999156386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325.58526000000052</v>
      </c>
      <c r="AK109" s="13">
        <f t="shared" si="89"/>
        <v>76.514302718659977</v>
      </c>
      <c r="AL109" s="20">
        <f t="shared" si="58"/>
        <v>700.32340506833361</v>
      </c>
      <c r="AM109" s="59">
        <f t="shared" si="59"/>
        <v>984.19133536983213</v>
      </c>
      <c r="AN109" s="59">
        <f ca="1">AVERAGE(OFFSET($AM$3,0,0,'Données projet'!$E$10+1,1))-AVERAGE(OFFSET($H$3,0,0,'Données projet'!$E$10+1,1))</f>
        <v>676.7112666359476</v>
      </c>
      <c r="AO109" s="59">
        <f t="shared" si="90"/>
        <v>309.67876644201385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62.111545688709754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62.111545688709754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320.57625600000051</v>
      </c>
      <c r="BF109" s="13">
        <f t="shared" si="91"/>
        <v>75.473242372515315</v>
      </c>
      <c r="BG109" s="20">
        <f t="shared" si="61"/>
        <v>689.78620966546498</v>
      </c>
      <c r="BH109" s="59">
        <f t="shared" si="62"/>
        <v>973.65413996696361</v>
      </c>
      <c r="BI109" s="59">
        <f ca="1">AVERAGE(OFFSET($BH$3,0,0,'Données projet'!$E$11+1,1))-AVERAGE(OFFSET($H$3,0,0,'Données projet'!$E$11+1,1))</f>
        <v>667.4887768032404</v>
      </c>
      <c r="BJ109" s="59">
        <f t="shared" si="92"/>
        <v>305.76944302827178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61.155983447344994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61.155983447344994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305.54924400000044</v>
      </c>
      <c r="CA109" s="13">
        <f t="shared" si="93"/>
        <v>72.338554312522433</v>
      </c>
      <c r="CB109" s="20">
        <f t="shared" si="64"/>
        <v>658.1545820609773</v>
      </c>
      <c r="CC109" s="59">
        <f t="shared" si="65"/>
        <v>942.02251236247594</v>
      </c>
      <c r="CD109" s="59">
        <f ca="1">AVERAGE(OFFSET($CC$3,0,0,'Données projet'!$E$12+1,1))-AVERAGE(OFFSET($H$3,0,0,'Données projet'!$E$12+1,1))</f>
        <v>639.80378676828764</v>
      </c>
      <c r="CE109" s="59">
        <f t="shared" si="94"/>
        <v>294.03328334345281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58.289296723250686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58.289296723250686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-1.7053025658242404E-13</v>
      </c>
      <c r="CU109" s="17">
        <f>CT109*VLOOKUP('Données projet'!$B$13,Paramètres!$A$1:$I$89,3,0)*VLOOKUP('Données projet'!$B$13,Paramètres!$A$1:$I$89,5,0)</f>
        <v>-1.4897523215040567E-13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340.64710509454375</v>
      </c>
      <c r="CZ109" s="59">
        <f t="shared" si="96"/>
        <v>329.6409514360613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58.305393593112633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58.305393593112633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7.9349999999999969</v>
      </c>
      <c r="DO109" s="12">
        <f>IF('Données projet'!$A$166&gt;35,DO108+DN109-DW108,IF(A109&lt;'Données projet'!$A$166,$DL$205^A109,IF(A109='Données projet'!$A$166,'Données projet'!$B$166,DO108+DN109-DW108)))</f>
        <v>321.09000000000049</v>
      </c>
      <c r="DP109" s="17">
        <f>DO109*VLOOKUP('Données projet'!$B$14,Paramètres!$A$1:$I$89,3,0)*VLOOKUP('Données projet'!$B$14,Paramètres!$A$1:$I$89,5,0)</f>
        <v>310.5582480000005</v>
      </c>
      <c r="DQ109" s="13">
        <f t="shared" si="97"/>
        <v>73.385402362433595</v>
      </c>
      <c r="DR109" s="20">
        <f t="shared" si="70"/>
        <v>668.70185771457261</v>
      </c>
      <c r="DS109" s="59">
        <f t="shared" si="71"/>
        <v>952.56978801607124</v>
      </c>
      <c r="DT109" s="59">
        <f ca="1">AVERAGE(OFFSET($DS$3,0,0,'Données projet'!$E$14+1,1))-AVERAGE(OFFSET($H$3,0,0,'Données projet'!$E$14+1,1))</f>
        <v>649.03508893149228</v>
      </c>
      <c r="DU109" s="59">
        <f t="shared" si="98"/>
        <v>297.94672581383213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59.244858964615439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59.244858964615439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7.9349999999999969</v>
      </c>
      <c r="EJ109" s="12">
        <f>IF('Données projet'!$A$192&gt;35,EJ108+EI109-ER108,IF(A109&lt;'Données projet'!$A$192,$EG$205^A109,IF(A109='Données projet'!$A$192,'Données projet'!$B$192,EJ108+EI109-ER108)))</f>
        <v>321.09000000000049</v>
      </c>
      <c r="EK109" s="17">
        <f>EJ109*VLOOKUP('Données projet'!$B$15,Paramètres!$A$1:$I$89,3,0)*VLOOKUP('Données projet'!$B$15,Paramètres!$A$1:$I$89,5,0)</f>
        <v>345.62127600000048</v>
      </c>
      <c r="EL109" s="13">
        <f t="shared" si="99"/>
        <v>80.660226924058378</v>
      </c>
      <c r="EM109" s="20">
        <f t="shared" si="73"/>
        <v>742.44028425940235</v>
      </c>
      <c r="EN109" s="59">
        <f t="shared" si="74"/>
        <v>1026.308214560901</v>
      </c>
      <c r="EO109" s="59">
        <f ca="1">AVERAGE(OFFSET($EN$3,0,0,'Données projet'!$E$15+1,1))-AVERAGE(OFFSET($H$3,0,0,'Données projet'!$E$15+1,1))</f>
        <v>713.57333631602273</v>
      </c>
      <c r="EP109" s="59">
        <f t="shared" si="100"/>
        <v>325.30302392555359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65.933794654168807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65.933794654168807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5.6843418860808015E-14</v>
      </c>
      <c r="FF109" s="17">
        <f>FE109*VLOOKUP('Données projet'!$B$16,Paramètres!$A$1:$I$89,3,0)*VLOOKUP('Données projet'!$B$16,Paramètres!$A$1:$I$89,5,0)</f>
        <v>4.4337866711430253E-14</v>
      </c>
      <c r="FG109" s="13">
        <f t="shared" si="101"/>
        <v>7.3222115536967035E-13</v>
      </c>
      <c r="FH109" s="20">
        <f t="shared" si="76"/>
        <v>1.3525069634579169E-12</v>
      </c>
      <c r="FI109" s="59">
        <f t="shared" si="77"/>
        <v>283.86793030149994</v>
      </c>
      <c r="FJ109" s="59">
        <f ca="1">AVERAGE(OFFSET($FI$3,0,0,'Données projet'!$E$16+1,1))-AVERAGE(OFFSET($H$3,0,0,'Données projet'!$E$16+1,1))</f>
        <v>302.04287561738482</v>
      </c>
      <c r="FK109" s="59">
        <f t="shared" si="102"/>
        <v>296.09828774694802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49.594514899358877</v>
      </c>
      <c r="FR109" s="21">
        <f>EXP(-LN(2)/25)*FR108+(1-EXP(-LN(2)/25))/(LN(2)/25)*Calculateur!FM109*Calculateur!FO109*VLOOKUP('Données projet'!$B$16,Paramètres!$A$1:$I$89,3,0)*0.475*44/12</f>
        <v>18.248568375071322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67.843083274430199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7.456999999999999</v>
      </c>
      <c r="FZ109" s="12">
        <f>IF('Données projet'!$A$244&gt;35,FZ108+FY109-GH108,IF(A109&lt;'Données projet'!$A$244,$FW$205^A109,IF(A109='Données projet'!$A$244,'Données projet'!$B$244,FZ108+FY109-GH108)))</f>
        <v>285.58100000000002</v>
      </c>
      <c r="GA109" s="17">
        <f>FZ109*VLOOKUP('Données projet'!$B$17,Paramètres!$A$1:$I$89,3,0)*VLOOKUP('Données projet'!$B$17,Paramètres!$A$1:$I$89,5,0)</f>
        <v>240.57343440000005</v>
      </c>
      <c r="GB109" s="13">
        <f t="shared" si="103"/>
        <v>58.562890545465834</v>
      </c>
      <c r="GC109" s="20">
        <f t="shared" si="79"/>
        <v>520.99576594668645</v>
      </c>
      <c r="GD109" s="59">
        <f t="shared" si="80"/>
        <v>804.86369624818508</v>
      </c>
      <c r="GE109" s="59">
        <f ca="1">AVERAGE(OFFSET($GD$3,0,0,'Données projet'!$E$17+1,1))-AVERAGE(OFFSET($H$3,0,0,'Données projet'!$E$17+1,1))</f>
        <v>385.41819366740276</v>
      </c>
      <c r="GF109" s="59">
        <f t="shared" si="104"/>
        <v>262.4625391252718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45.294947260923543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45.294947260923543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67.41852644586325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3.3000000000000003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12.100000000000001</v>
      </c>
      <c r="H110" s="67">
        <f t="shared" si="56"/>
        <v>208.26666666666665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7.9349999999999969</v>
      </c>
      <c r="N110" s="13">
        <f>IF('Données projet'!$A$36&gt;35,N109+M110-V109,IF(A110&lt;'Données projet'!$A$36,$K$205^A110,IF(A110='Données projet'!$A$36,'Données projet'!$B$36,N109+M110-V109)))</f>
        <v>329.02500000000049</v>
      </c>
      <c r="O110" s="13">
        <f>N110*VLOOKUP('Données projet'!$B$9,Paramètres!$A$1:$I$89,3,0)*VLOOKUP('Données projet'!$B$9,Paramètres!$A$1:$I$89,5,0)</f>
        <v>297.70182000000045</v>
      </c>
      <c r="P110" s="13">
        <f t="shared" si="87"/>
        <v>70.69446125561177</v>
      </c>
      <c r="Q110" s="20">
        <f t="shared" si="107"/>
        <v>641.62352318685794</v>
      </c>
      <c r="R110" s="59">
        <f t="shared" si="55"/>
        <v>925.65565706948792</v>
      </c>
      <c r="S110" s="59">
        <f ca="1">AVERAGE(OFFSET($R$3,0,0,'Données projet'!$E$9+1,1))-AVERAGE(OFFSET($H$3,0,0,'Données projet'!$E$9+1,1))</f>
        <v>612.09138396952153</v>
      </c>
      <c r="T110" s="59">
        <f t="shared" si="88"/>
        <v>282.284310393542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54.335806421527117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54.335806421527117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333.63135000000051</v>
      </c>
      <c r="AK110" s="13">
        <f t="shared" si="89"/>
        <v>78.182698470317533</v>
      </c>
      <c r="AL110" s="20">
        <f t="shared" si="58"/>
        <v>717.24280108580388</v>
      </c>
      <c r="AM110" s="59">
        <f t="shared" si="59"/>
        <v>1001.2749349684339</v>
      </c>
      <c r="AN110" s="59">
        <f ca="1">AVERAGE(OFFSET($AM$3,0,0,'Données projet'!$E$10+1,1))-AVERAGE(OFFSET($H$3,0,0,'Données projet'!$E$10+1,1))</f>
        <v>676.7112666359476</v>
      </c>
      <c r="AO110" s="59">
        <f t="shared" si="90"/>
        <v>309.67876644201385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60.893576162056263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60.893576162056263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328.49856000000051</v>
      </c>
      <c r="BF110" s="13">
        <f t="shared" si="91"/>
        <v>77.118937784536854</v>
      </c>
      <c r="BG110" s="20">
        <f t="shared" si="61"/>
        <v>706.45047530806914</v>
      </c>
      <c r="BH110" s="59">
        <f t="shared" si="62"/>
        <v>990.48260919069912</v>
      </c>
      <c r="BI110" s="59">
        <f ca="1">AVERAGE(OFFSET($BH$3,0,0,'Données projet'!$E$11+1,1))-AVERAGE(OFFSET($H$3,0,0,'Données projet'!$E$11+1,1))</f>
        <v>667.4887768032404</v>
      </c>
      <c r="BJ110" s="59">
        <f t="shared" si="92"/>
        <v>305.76944302827178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59.956751913409249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59.956751913409249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313.10019000000045</v>
      </c>
      <c r="CA110" s="13">
        <f t="shared" si="93"/>
        <v>73.915897794823138</v>
      </c>
      <c r="CB110" s="20">
        <f t="shared" si="64"/>
        <v>674.05301957598442</v>
      </c>
      <c r="CC110" s="59">
        <f t="shared" si="65"/>
        <v>958.0851534586144</v>
      </c>
      <c r="CD110" s="59">
        <f ca="1">AVERAGE(OFFSET($CC$3,0,0,'Données projet'!$E$12+1,1))-AVERAGE(OFFSET($H$3,0,0,'Données projet'!$E$12+1,1))</f>
        <v>639.80378676828764</v>
      </c>
      <c r="CE110" s="59">
        <f t="shared" si="94"/>
        <v>294.03328334345281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57.14627916746818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57.14627916746818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-1.7053025658242404E-13</v>
      </c>
      <c r="CU110" s="17">
        <f>CT110*VLOOKUP('Données projet'!$B$13,Paramètres!$A$1:$I$89,3,0)*VLOOKUP('Données projet'!$B$13,Paramètres!$A$1:$I$89,5,0)</f>
        <v>-1.4897523215040567E-13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340.64710509454375</v>
      </c>
      <c r="CZ110" s="59">
        <f t="shared" si="96"/>
        <v>329.6409514360613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57.162060387530254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57.162060387530254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7.9349999999999969</v>
      </c>
      <c r="DO110" s="12">
        <f>IF('Données projet'!$A$166&gt;35,DO109+DN110-DW109,IF(A110&lt;'Données projet'!$A$166,$DL$205^A110,IF(A110='Données projet'!$A$166,'Données projet'!$B$166,DO109+DN110-DW109)))</f>
        <v>329.02500000000049</v>
      </c>
      <c r="DP110" s="17">
        <f>DO110*VLOOKUP('Données projet'!$B$14,Paramètres!$A$1:$I$89,3,0)*VLOOKUP('Données projet'!$B$14,Paramètres!$A$1:$I$89,5,0)</f>
        <v>318.23298000000051</v>
      </c>
      <c r="DQ110" s="13">
        <f t="shared" si="97"/>
        <v>74.985572385355411</v>
      </c>
      <c r="DR110" s="20">
        <f t="shared" si="70"/>
        <v>684.85564540449479</v>
      </c>
      <c r="DS110" s="59">
        <f t="shared" si="71"/>
        <v>968.88777928712477</v>
      </c>
      <c r="DT110" s="59">
        <f ca="1">AVERAGE(OFFSET($DS$3,0,0,'Données projet'!$E$14+1,1))-AVERAGE(OFFSET($H$3,0,0,'Données projet'!$E$14+1,1))</f>
        <v>649.03508893149228</v>
      </c>
      <c r="DU110" s="59">
        <f t="shared" si="98"/>
        <v>297.94672581383213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58.083103416115186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58.083103416115186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7.9349999999999969</v>
      </c>
      <c r="EJ110" s="12">
        <f>IF('Données projet'!$A$192&gt;35,EJ109+EI110-ER109,IF(A110&lt;'Données projet'!$A$192,$EG$205^A110,IF(A110='Données projet'!$A$192,'Données projet'!$B$192,EJ109+EI110-ER109)))</f>
        <v>329.02500000000049</v>
      </c>
      <c r="EK110" s="17">
        <f>EJ110*VLOOKUP('Données projet'!$B$15,Paramètres!$A$1:$I$89,3,0)*VLOOKUP('Données projet'!$B$15,Paramètres!$A$1:$I$89,5,0)</f>
        <v>354.16251000000051</v>
      </c>
      <c r="EL110" s="13">
        <f t="shared" si="99"/>
        <v>82.419024627837416</v>
      </c>
      <c r="EM110" s="20">
        <f t="shared" si="73"/>
        <v>760.37950614348438</v>
      </c>
      <c r="EN110" s="59">
        <f t="shared" si="74"/>
        <v>1044.4116400261144</v>
      </c>
      <c r="EO110" s="59">
        <f ca="1">AVERAGE(OFFSET($EN$3,0,0,'Données projet'!$E$15+1,1))-AVERAGE(OFFSET($H$3,0,0,'Données projet'!$E$15+1,1))</f>
        <v>713.57333631602273</v>
      </c>
      <c r="EP110" s="59">
        <f t="shared" si="100"/>
        <v>325.30302392555359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64.640873156644332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64.640873156644332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5.6843418860808015E-14</v>
      </c>
      <c r="FF110" s="17">
        <f>FE110*VLOOKUP('Données projet'!$B$16,Paramètres!$A$1:$I$89,3,0)*VLOOKUP('Données projet'!$B$16,Paramètres!$A$1:$I$89,5,0)</f>
        <v>4.4337866711430253E-14</v>
      </c>
      <c r="FG110" s="13">
        <f t="shared" si="101"/>
        <v>7.3222115536967035E-13</v>
      </c>
      <c r="FH110" s="20">
        <f t="shared" si="76"/>
        <v>1.3525069634579169E-12</v>
      </c>
      <c r="FI110" s="59">
        <f t="shared" si="77"/>
        <v>284.03213388263134</v>
      </c>
      <c r="FJ110" s="59">
        <f ca="1">AVERAGE(OFFSET($FI$3,0,0,'Données projet'!$E$16+1,1))-AVERAGE(OFFSET($H$3,0,0,'Données projet'!$E$16+1,1))</f>
        <v>302.04287561738482</v>
      </c>
      <c r="FK110" s="59">
        <f t="shared" si="102"/>
        <v>296.09828774694802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48.621996711849633</v>
      </c>
      <c r="FR110" s="21">
        <f>EXP(-LN(2)/25)*FR109+(1-EXP(-LN(2)/25))/(LN(2)/25)*Calculateur!FM110*Calculateur!FO110*VLOOKUP('Données projet'!$B$16,Paramètres!$A$1:$I$89,3,0)*0.475*44/12</f>
        <v>17.749560313204494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66.37155702505413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7.456999999999999</v>
      </c>
      <c r="FZ110" s="12">
        <f>IF('Données projet'!$A$244&gt;35,FZ109+FY110-GH109,IF(A110&lt;'Données projet'!$A$244,$FW$205^A110,IF(A110='Données projet'!$A$244,'Données projet'!$B$244,FZ109+FY110-GH109)))</f>
        <v>293.03800000000001</v>
      </c>
      <c r="GA110" s="17">
        <f>FZ110*VLOOKUP('Données projet'!$B$17,Paramètres!$A$1:$I$89,3,0)*VLOOKUP('Données projet'!$B$17,Paramètres!$A$1:$I$89,5,0)</f>
        <v>246.85521120000001</v>
      </c>
      <c r="GB110" s="13">
        <f t="shared" si="103"/>
        <v>59.912036331165396</v>
      </c>
      <c r="GC110" s="20">
        <f t="shared" si="79"/>
        <v>534.28628945011303</v>
      </c>
      <c r="GD110" s="59">
        <f t="shared" si="80"/>
        <v>818.31842333274301</v>
      </c>
      <c r="GE110" s="59">
        <f ca="1">AVERAGE(OFFSET($GD$3,0,0,'Données projet'!$E$17+1,1))-AVERAGE(OFFSET($H$3,0,0,'Données projet'!$E$17+1,1))</f>
        <v>385.41819366740276</v>
      </c>
      <c r="GF110" s="59">
        <f t="shared" si="104"/>
        <v>262.4625391252718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44.406740972326702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44.406740972326702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67.463309240717265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3.3000000000000003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12.100000000000001</v>
      </c>
      <c r="H111" s="67">
        <f t="shared" si="56"/>
        <v>208.26666666666665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7.9349999999999969</v>
      </c>
      <c r="N111" s="13">
        <f>IF('Données projet'!$A$36&gt;35,N110+M111-V110,IF(A111&lt;'Données projet'!$A$36,$K$205^A111,IF(A111='Données projet'!$A$36,'Données projet'!$B$36,N110+M111-V110)))</f>
        <v>336.96000000000049</v>
      </c>
      <c r="O111" s="13">
        <f>N111*VLOOKUP('Données projet'!$B$9,Paramètres!$A$1:$I$89,3,0)*VLOOKUP('Données projet'!$B$9,Paramètres!$A$1:$I$89,5,0)</f>
        <v>304.88140800000042</v>
      </c>
      <c r="P111" s="13">
        <f t="shared" si="87"/>
        <v>72.198830820277394</v>
      </c>
      <c r="Q111" s="20">
        <f t="shared" si="107"/>
        <v>656.74808261198393</v>
      </c>
      <c r="R111" s="59">
        <f t="shared" si="55"/>
        <v>940.94157151071681</v>
      </c>
      <c r="S111" s="59">
        <f ca="1">AVERAGE(OFFSET($R$3,0,0,'Données projet'!$E$9+1,1))-AVERAGE(OFFSET($H$3,0,0,'Données projet'!$E$9+1,1))</f>
        <v>612.09138396952153</v>
      </c>
      <c r="T111" s="59">
        <f t="shared" si="88"/>
        <v>282.284310393542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53.270314399170431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53.270314399170431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341.6774400000005</v>
      </c>
      <c r="AK111" s="13">
        <f t="shared" si="89"/>
        <v>79.846416815053246</v>
      </c>
      <c r="AL111" s="20">
        <f t="shared" si="58"/>
        <v>734.15405061955198</v>
      </c>
      <c r="AM111" s="59">
        <f t="shared" si="59"/>
        <v>1018.347539518285</v>
      </c>
      <c r="AN111" s="59">
        <f ca="1">AVERAGE(OFFSET($AM$3,0,0,'Données projet'!$E$10+1,1))-AVERAGE(OFFSET($H$3,0,0,'Données projet'!$E$10+1,1))</f>
        <v>676.7112666359476</v>
      </c>
      <c r="AO111" s="59">
        <f t="shared" si="90"/>
        <v>309.67876644201385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59.699490274932387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59.699490274932387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336.42086400000051</v>
      </c>
      <c r="BF111" s="13">
        <f t="shared" si="91"/>
        <v>78.76001943084735</v>
      </c>
      <c r="BG111" s="20">
        <f t="shared" si="61"/>
        <v>723.10670530872665</v>
      </c>
      <c r="BH111" s="59">
        <f t="shared" si="62"/>
        <v>1007.3001942074595</v>
      </c>
      <c r="BI111" s="59">
        <f ca="1">AVERAGE(OFFSET($BH$3,0,0,'Données projet'!$E$11+1,1))-AVERAGE(OFFSET($H$3,0,0,'Données projet'!$E$11+1,1))</f>
        <v>667.4887768032404</v>
      </c>
      <c r="BJ111" s="59">
        <f t="shared" si="92"/>
        <v>305.76944302827178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58.781036578394975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58.781036578394975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320.65113600000046</v>
      </c>
      <c r="CA111" s="13">
        <f t="shared" si="93"/>
        <v>75.48881913848264</v>
      </c>
      <c r="CB111" s="20">
        <f t="shared" si="64"/>
        <v>689.94375519952473</v>
      </c>
      <c r="CC111" s="59">
        <f t="shared" si="65"/>
        <v>974.13724409825772</v>
      </c>
      <c r="CD111" s="59">
        <f ca="1">AVERAGE(OFFSET($CC$3,0,0,'Données projet'!$E$12+1,1))-AVERAGE(OFFSET($H$3,0,0,'Données projet'!$E$12+1,1))</f>
        <v>639.80378676828764</v>
      </c>
      <c r="CE111" s="59">
        <f t="shared" si="94"/>
        <v>294.03328334345281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56.025675488782696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56.025675488782696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-1.7053025658242404E-13</v>
      </c>
      <c r="CU111" s="17">
        <f>CT111*VLOOKUP('Données projet'!$B$13,Paramètres!$A$1:$I$89,3,0)*VLOOKUP('Données projet'!$B$13,Paramètres!$A$1:$I$89,5,0)</f>
        <v>-1.4897523215040567E-13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340.64710509454375</v>
      </c>
      <c r="CZ111" s="59">
        <f t="shared" si="96"/>
        <v>329.6409514360613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56.041147248744949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56.041147248744949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7.9349999999999969</v>
      </c>
      <c r="DO111" s="12">
        <f>IF('Données projet'!$A$166&gt;35,DO110+DN111-DW110,IF(A111&lt;'Données projet'!$A$166,$DL$205^A111,IF(A111='Données projet'!$A$166,'Données projet'!$B$166,DO110+DN111-DW110)))</f>
        <v>336.96000000000049</v>
      </c>
      <c r="DP111" s="17">
        <f>DO111*VLOOKUP('Données projet'!$B$14,Paramètres!$A$1:$I$89,3,0)*VLOOKUP('Données projet'!$B$14,Paramètres!$A$1:$I$89,5,0)</f>
        <v>325.90771200000052</v>
      </c>
      <c r="DQ111" s="13">
        <f t="shared" si="97"/>
        <v>76.581256274616251</v>
      </c>
      <c r="DR111" s="20">
        <f t="shared" si="70"/>
        <v>701.00161974495734</v>
      </c>
      <c r="DS111" s="59">
        <f t="shared" si="71"/>
        <v>985.19510864369022</v>
      </c>
      <c r="DT111" s="59">
        <f ca="1">AVERAGE(OFFSET($DS$3,0,0,'Données projet'!$E$14+1,1))-AVERAGE(OFFSET($H$3,0,0,'Données projet'!$E$14+1,1))</f>
        <v>649.03508893149228</v>
      </c>
      <c r="DU111" s="59">
        <f t="shared" si="98"/>
        <v>297.94672581383213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56.944129185320108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56.944129185320108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7.9349999999999969</v>
      </c>
      <c r="EJ111" s="12">
        <f>IF('Données projet'!$A$192&gt;35,EJ110+EI111-ER110,IF(A111&lt;'Données projet'!$A$192,$EG$205^A111,IF(A111='Données projet'!$A$192,'Données projet'!$B$192,EJ110+EI111-ER110)))</f>
        <v>336.96000000000049</v>
      </c>
      <c r="EK111" s="17">
        <f>EJ111*VLOOKUP('Données projet'!$B$15,Paramètres!$A$1:$I$89,3,0)*VLOOKUP('Données projet'!$B$15,Paramètres!$A$1:$I$89,5,0)</f>
        <v>362.70374400000048</v>
      </c>
      <c r="EL111" s="13">
        <f t="shared" si="99"/>
        <v>84.172891479601518</v>
      </c>
      <c r="EM111" s="20">
        <f t="shared" si="73"/>
        <v>778.31014012697335</v>
      </c>
      <c r="EN111" s="59">
        <f t="shared" si="74"/>
        <v>1062.5036290257062</v>
      </c>
      <c r="EO111" s="59">
        <f ca="1">AVERAGE(OFFSET($EN$3,0,0,'Données projet'!$E$15+1,1))-AVERAGE(OFFSET($H$3,0,0,'Données projet'!$E$15+1,1))</f>
        <v>713.57333631602273</v>
      </c>
      <c r="EP111" s="59">
        <f t="shared" si="100"/>
        <v>325.30302392555359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63.373305061082064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63.373305061082064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5.6843418860808015E-14</v>
      </c>
      <c r="FF111" s="17">
        <f>FE111*VLOOKUP('Données projet'!$B$16,Paramètres!$A$1:$I$89,3,0)*VLOOKUP('Données projet'!$B$16,Paramètres!$A$1:$I$89,5,0)</f>
        <v>4.4337866711430253E-14</v>
      </c>
      <c r="FG111" s="13">
        <f t="shared" si="101"/>
        <v>7.3222115536967035E-13</v>
      </c>
      <c r="FH111" s="20">
        <f t="shared" si="76"/>
        <v>1.3525069634579169E-12</v>
      </c>
      <c r="FI111" s="59">
        <f t="shared" si="77"/>
        <v>284.1934888987343</v>
      </c>
      <c r="FJ111" s="59">
        <f ca="1">AVERAGE(OFFSET($FI$3,0,0,'Données projet'!$E$16+1,1))-AVERAGE(OFFSET($H$3,0,0,'Données projet'!$E$16+1,1))</f>
        <v>302.04287561738482</v>
      </c>
      <c r="FK111" s="59">
        <f t="shared" si="102"/>
        <v>296.09828774694802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47.668549012819923</v>
      </c>
      <c r="FR111" s="21">
        <f>EXP(-LN(2)/25)*FR110+(1-EXP(-LN(2)/25))/(LN(2)/25)*Calculateur!FM111*Calculateur!FO111*VLOOKUP('Données projet'!$B$16,Paramètres!$A$1:$I$89,3,0)*0.475*44/12</f>
        <v>17.264197653031108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64.932746665851028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7.456999999999999</v>
      </c>
      <c r="FZ111" s="12">
        <f>IF('Données projet'!$A$244&gt;35,FZ110+FY111-GH110,IF(A111&lt;'Données projet'!$A$244,$FW$205^A111,IF(A111='Données projet'!$A$244,'Données projet'!$B$244,FZ110+FY111-GH110)))</f>
        <v>300.495</v>
      </c>
      <c r="GA111" s="17">
        <f>FZ111*VLOOKUP('Données projet'!$B$17,Paramètres!$A$1:$I$89,3,0)*VLOOKUP('Données projet'!$B$17,Paramètres!$A$1:$I$89,5,0)</f>
        <v>253.13698800000003</v>
      </c>
      <c r="GB111" s="13">
        <f t="shared" si="103"/>
        <v>61.257191329793066</v>
      </c>
      <c r="GC111" s="20">
        <f t="shared" si="79"/>
        <v>547.56986233272289</v>
      </c>
      <c r="GD111" s="59">
        <f t="shared" si="80"/>
        <v>831.76335123145577</v>
      </c>
      <c r="GE111" s="59">
        <f ca="1">AVERAGE(OFFSET($GD$3,0,0,'Données projet'!$E$17+1,1))-AVERAGE(OFFSET($H$3,0,0,'Données projet'!$E$17+1,1))</f>
        <v>385.41819366740276</v>
      </c>
      <c r="GF111" s="59">
        <f t="shared" si="104"/>
        <v>262.4625391252718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43.535951867296902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43.535951867296902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67.507315154199887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3.3000000000000003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12.100000000000001</v>
      </c>
      <c r="H112" s="67">
        <f t="shared" si="56"/>
        <v>208.26666666666665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7.9349999999999969</v>
      </c>
      <c r="N112" s="13">
        <f>IF('Données projet'!$A$36&gt;35,N111+M112-V111,IF(A112&lt;'Données projet'!$A$36,$K$205^A112,IF(A112='Données projet'!$A$36,'Données projet'!$B$36,N111+M112-V111)))</f>
        <v>344.89500000000049</v>
      </c>
      <c r="O112" s="13">
        <f>N112*VLOOKUP('Données projet'!$B$9,Paramètres!$A$1:$I$89,3,0)*VLOOKUP('Données projet'!$B$9,Paramètres!$A$1:$I$89,5,0)</f>
        <v>312.06099600000044</v>
      </c>
      <c r="P112" s="13">
        <f t="shared" si="87"/>
        <v>73.699082033131035</v>
      </c>
      <c r="Q112" s="20">
        <f t="shared" si="107"/>
        <v>671.86546924103743</v>
      </c>
      <c r="R112" s="59">
        <f t="shared" si="55"/>
        <v>956.21751400707967</v>
      </c>
      <c r="S112" s="59">
        <f ca="1">AVERAGE(OFFSET($R$3,0,0,'Données projet'!$E$9+1,1))-AVERAGE(OFFSET($H$3,0,0,'Données projet'!$E$9+1,1))</f>
        <v>612.09138396952153</v>
      </c>
      <c r="T112" s="59">
        <f t="shared" si="88"/>
        <v>282.284310393542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52.225716025486193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52.225716025486193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349.72353000000055</v>
      </c>
      <c r="AK112" s="13">
        <f t="shared" si="89"/>
        <v>81.505580575848711</v>
      </c>
      <c r="AL112" s="20">
        <f t="shared" si="58"/>
        <v>751.05736758627074</v>
      </c>
      <c r="AM112" s="59">
        <f t="shared" si="59"/>
        <v>1035.409412352313</v>
      </c>
      <c r="AN112" s="59">
        <f ca="1">AVERAGE(OFFSET($AM$3,0,0,'Données projet'!$E$10+1,1))-AVERAGE(OFFSET($H$3,0,0,'Données projet'!$E$10+1,1))</f>
        <v>676.7112666359476</v>
      </c>
      <c r="AO112" s="59">
        <f t="shared" si="90"/>
        <v>309.67876644201385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58.52881968373454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58.52881968373454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344.3431680000005</v>
      </c>
      <c r="BF112" s="13">
        <f t="shared" si="91"/>
        <v>80.396608463288089</v>
      </c>
      <c r="BG112" s="20">
        <f t="shared" si="61"/>
        <v>739.75511067356092</v>
      </c>
      <c r="BH112" s="59">
        <f t="shared" si="62"/>
        <v>1024.107155439603</v>
      </c>
      <c r="BI112" s="59">
        <f ca="1">AVERAGE(OFFSET($BH$3,0,0,'Données projet'!$E$11+1,1))-AVERAGE(OFFSET($H$3,0,0,'Données projet'!$E$11+1,1))</f>
        <v>667.4887768032404</v>
      </c>
      <c r="BJ112" s="59">
        <f t="shared" si="92"/>
        <v>305.76944302827178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57.62837630398478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57.62837630398478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328.20208200000047</v>
      </c>
      <c r="CA112" s="13">
        <f t="shared" si="93"/>
        <v>77.057434463449852</v>
      </c>
      <c r="CB112" s="20">
        <f t="shared" si="64"/>
        <v>705.82699117384254</v>
      </c>
      <c r="CC112" s="59">
        <f t="shared" si="65"/>
        <v>990.17903593988478</v>
      </c>
      <c r="CD112" s="59">
        <f ca="1">AVERAGE(OFFSET($CC$3,0,0,'Données projet'!$E$12+1,1))-AVERAGE(OFFSET($H$3,0,0,'Données projet'!$E$12+1,1))</f>
        <v>639.80378676828764</v>
      </c>
      <c r="CE112" s="59">
        <f t="shared" si="94"/>
        <v>294.03328334345281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54.927046164735479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54.927046164735479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-1.7053025658242404E-13</v>
      </c>
      <c r="CU112" s="17">
        <f>CT112*VLOOKUP('Données projet'!$B$13,Paramètres!$A$1:$I$89,3,0)*VLOOKUP('Données projet'!$B$13,Paramètres!$A$1:$I$89,5,0)</f>
        <v>-1.4897523215040567E-13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340.64710509454375</v>
      </c>
      <c r="CZ112" s="59">
        <f t="shared" si="96"/>
        <v>329.6409514360613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54.942214532921717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54.942214532921717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7.9349999999999969</v>
      </c>
      <c r="DO112" s="12">
        <f>IF('Données projet'!$A$166&gt;35,DO111+DN112-DW111,IF(A112&lt;'Données projet'!$A$166,$DL$205^A112,IF(A112='Données projet'!$A$166,'Données projet'!$B$166,DO111+DN112-DW111)))</f>
        <v>344.89500000000049</v>
      </c>
      <c r="DP112" s="17">
        <f>DO112*VLOOKUP('Données projet'!$B$14,Paramètres!$A$1:$I$89,3,0)*VLOOKUP('Données projet'!$B$14,Paramètres!$A$1:$I$89,5,0)</f>
        <v>333.58244400000052</v>
      </c>
      <c r="DQ112" s="13">
        <f t="shared" si="97"/>
        <v>78.172571830595942</v>
      </c>
      <c r="DR112" s="20">
        <f t="shared" si="70"/>
        <v>717.13998590495532</v>
      </c>
      <c r="DS112" s="59">
        <f t="shared" si="71"/>
        <v>1001.4920306709976</v>
      </c>
      <c r="DT112" s="59">
        <f ca="1">AVERAGE(OFFSET($DS$3,0,0,'Données projet'!$E$14+1,1))-AVERAGE(OFFSET($H$3,0,0,'Données projet'!$E$14+1,1))</f>
        <v>649.03508893149228</v>
      </c>
      <c r="DU112" s="59">
        <f t="shared" si="98"/>
        <v>297.94672581383213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55.827489544485232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55.827489544485232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7.9349999999999969</v>
      </c>
      <c r="EJ112" s="12">
        <f>IF('Données projet'!$A$192&gt;35,EJ111+EI112-ER111,IF(A112&lt;'Données projet'!$A$192,$EG$205^A112,IF(A112='Données projet'!$A$192,'Données projet'!$B$192,EJ111+EI112-ER111)))</f>
        <v>344.89500000000049</v>
      </c>
      <c r="EK112" s="17">
        <f>EJ112*VLOOKUP('Données projet'!$B$15,Paramètres!$A$1:$I$89,3,0)*VLOOKUP('Données projet'!$B$15,Paramètres!$A$1:$I$89,5,0)</f>
        <v>371.24497800000051</v>
      </c>
      <c r="EL112" s="13">
        <f t="shared" si="99"/>
        <v>85.921956957490252</v>
      </c>
      <c r="EM112" s="20">
        <f t="shared" si="73"/>
        <v>796.23241171762959</v>
      </c>
      <c r="EN112" s="59">
        <f t="shared" si="74"/>
        <v>1080.5844564836718</v>
      </c>
      <c r="EO112" s="59">
        <f ca="1">AVERAGE(OFFSET($EN$3,0,0,'Données projet'!$E$15+1,1))-AVERAGE(OFFSET($H$3,0,0,'Données projet'!$E$15+1,1))</f>
        <v>713.57333631602273</v>
      </c>
      <c r="EP112" s="59">
        <f t="shared" si="100"/>
        <v>325.30302392555359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62.130593202733579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62.130593202733579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5.6843418860808015E-14</v>
      </c>
      <c r="FF112" s="17">
        <f>FE112*VLOOKUP('Données projet'!$B$16,Paramètres!$A$1:$I$89,3,0)*VLOOKUP('Données projet'!$B$16,Paramètres!$A$1:$I$89,5,0)</f>
        <v>4.4337866711430253E-14</v>
      </c>
      <c r="FG112" s="13">
        <f t="shared" si="101"/>
        <v>7.3222115536967035E-13</v>
      </c>
      <c r="FH112" s="20">
        <f t="shared" si="76"/>
        <v>1.3525069634579169E-12</v>
      </c>
      <c r="FI112" s="59">
        <f t="shared" si="77"/>
        <v>284.3520447660436</v>
      </c>
      <c r="FJ112" s="59">
        <f ca="1">AVERAGE(OFFSET($FI$3,0,0,'Données projet'!$E$16+1,1))-AVERAGE(OFFSET($H$3,0,0,'Données projet'!$E$16+1,1))</f>
        <v>302.04287561738482</v>
      </c>
      <c r="FK112" s="59">
        <f t="shared" si="102"/>
        <v>296.09828774694802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46.733797841622511</v>
      </c>
      <c r="FR112" s="21">
        <f>EXP(-LN(2)/25)*FR111+(1-EXP(-LN(2)/25))/(LN(2)/25)*Calculateur!FM112*Calculateur!FO112*VLOOKUP('Données projet'!$B$16,Paramètres!$A$1:$I$89,3,0)*0.475*44/12</f>
        <v>16.792107260324276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63.52590510194679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7.456999999999999</v>
      </c>
      <c r="FZ112" s="12">
        <f>IF('Données projet'!$A$244&gt;35,FZ111+FY112-GH111,IF(A112&lt;'Données projet'!$A$244,$FW$205^A112,IF(A112='Données projet'!$A$244,'Données projet'!$B$244,FZ111+FY112-GH111)))</f>
        <v>307.952</v>
      </c>
      <c r="GA112" s="17">
        <f>FZ112*VLOOKUP('Données projet'!$B$17,Paramètres!$A$1:$I$89,3,0)*VLOOKUP('Données projet'!$B$17,Paramètres!$A$1:$I$89,5,0)</f>
        <v>259.41876480000002</v>
      </c>
      <c r="GB112" s="13">
        <f t="shared" si="103"/>
        <v>62.59846596659208</v>
      </c>
      <c r="GC112" s="20">
        <f t="shared" si="79"/>
        <v>560.84667691848119</v>
      </c>
      <c r="GD112" s="59">
        <f t="shared" si="80"/>
        <v>845.19872168452343</v>
      </c>
      <c r="GE112" s="59">
        <f ca="1">AVERAGE(OFFSET($GD$3,0,0,'Données projet'!$E$17+1,1))-AVERAGE(OFFSET($H$3,0,0,'Données projet'!$E$17+1,1))</f>
        <v>385.41819366740276</v>
      </c>
      <c r="GF112" s="59">
        <f t="shared" si="104"/>
        <v>262.4625391252718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42.68223840548783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42.68223840548783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67.550557663466066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3.3000000000000003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12.100000000000001</v>
      </c>
      <c r="H113" s="67">
        <f t="shared" si="56"/>
        <v>208.26666666666665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7.9349999999999969</v>
      </c>
      <c r="N113" s="13">
        <f>IF('Données projet'!$A$36&gt;35,N112+M113-V112,IF(A113&lt;'Données projet'!$A$36,$K$205^A113,IF(A113='Données projet'!$A$36,'Données projet'!$B$36,N112+M113-V112)))</f>
        <v>352.8300000000005</v>
      </c>
      <c r="O113" s="13">
        <f>N113*VLOOKUP('Données projet'!$B$9,Paramètres!$A$1:$I$89,3,0)*VLOOKUP('Données projet'!$B$9,Paramètres!$A$1:$I$89,5,0)</f>
        <v>319.24058400000041</v>
      </c>
      <c r="P113" s="13">
        <f t="shared" si="87"/>
        <v>75.195320551435159</v>
      </c>
      <c r="Q113" s="20">
        <f t="shared" si="107"/>
        <v>686.97586709375025</v>
      </c>
      <c r="R113" s="59">
        <f t="shared" si="55"/>
        <v>971.48371713728193</v>
      </c>
      <c r="S113" s="59">
        <f ca="1">AVERAGE(OFFSET($R$3,0,0,'Données projet'!$E$9+1,1))-AVERAGE(OFFSET($H$3,0,0,'Données projet'!$E$9+1,1))</f>
        <v>612.09138396952153</v>
      </c>
      <c r="T113" s="59">
        <f t="shared" si="88"/>
        <v>282.284310393542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51.201601588767808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51.201601588767808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357.76962000000054</v>
      </c>
      <c r="AK113" s="13">
        <f t="shared" si="89"/>
        <v>83.160306601601619</v>
      </c>
      <c r="AL113" s="20">
        <f t="shared" si="58"/>
        <v>767.95295549779041</v>
      </c>
      <c r="AM113" s="59">
        <f t="shared" si="59"/>
        <v>1052.4608055413221</v>
      </c>
      <c r="AN113" s="59">
        <f ca="1">AVERAGE(OFFSET($AM$3,0,0,'Données projet'!$E$10+1,1))-AVERAGE(OFFSET($H$3,0,0,'Données projet'!$E$10+1,1))</f>
        <v>676.7112666359476</v>
      </c>
      <c r="AO113" s="59">
        <f t="shared" si="90"/>
        <v>309.67876644201385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57.381105228791526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57.381105228791526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352.2654720000005</v>
      </c>
      <c r="BF113" s="13">
        <f t="shared" si="91"/>
        <v>82.02882014090045</v>
      </c>
      <c r="BG113" s="20">
        <f t="shared" si="61"/>
        <v>756.3958921454024</v>
      </c>
      <c r="BH113" s="59">
        <f t="shared" si="62"/>
        <v>1040.9037421889341</v>
      </c>
      <c r="BI113" s="59">
        <f ca="1">AVERAGE(OFFSET($BH$3,0,0,'Données projet'!$E$11+1,1))-AVERAGE(OFFSET($H$3,0,0,'Données projet'!$E$11+1,1))</f>
        <v>667.4887768032404</v>
      </c>
      <c r="BJ113" s="59">
        <f t="shared" si="92"/>
        <v>305.76944302827178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56.498318994502426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56.498318994502426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335.75302800000048</v>
      </c>
      <c r="CA113" s="13">
        <f t="shared" si="93"/>
        <v>78.62185424162395</v>
      </c>
      <c r="CB113" s="20">
        <f t="shared" si="64"/>
        <v>721.70291990416251</v>
      </c>
      <c r="CC113" s="59">
        <f t="shared" si="65"/>
        <v>1006.2107699476942</v>
      </c>
      <c r="CD113" s="59">
        <f ca="1">AVERAGE(OFFSET($CC$3,0,0,'Données projet'!$E$12+1,1))-AVERAGE(OFFSET($H$3,0,0,'Données projet'!$E$12+1,1))</f>
        <v>639.80378676828764</v>
      </c>
      <c r="CE113" s="59">
        <f t="shared" si="94"/>
        <v>294.03328334345281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53.849960291635114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53.849960291635114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-1.7053025658242404E-13</v>
      </c>
      <c r="CU113" s="17">
        <f>CT113*VLOOKUP('Données projet'!$B$13,Paramètres!$A$1:$I$89,3,0)*VLOOKUP('Données projet'!$B$13,Paramètres!$A$1:$I$89,5,0)</f>
        <v>-1.4897523215040567E-13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340.64710509454375</v>
      </c>
      <c r="CZ113" s="59">
        <f t="shared" si="96"/>
        <v>329.6409514360613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53.864831217373009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53.864831217373009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7.9349999999999969</v>
      </c>
      <c r="DO113" s="12">
        <f>IF('Données projet'!$A$166&gt;35,DO112+DN113-DW112,IF(A113&lt;'Données projet'!$A$166,$DL$205^A113,IF(A113='Données projet'!$A$166,'Données projet'!$B$166,DO112+DN113-DW112)))</f>
        <v>352.8300000000005</v>
      </c>
      <c r="DP113" s="17">
        <f>DO113*VLOOKUP('Données projet'!$B$14,Paramètres!$A$1:$I$89,3,0)*VLOOKUP('Données projet'!$B$14,Paramètres!$A$1:$I$89,5,0)</f>
        <v>341.25717600000047</v>
      </c>
      <c r="DQ113" s="13">
        <f t="shared" si="97"/>
        <v>79.759631123888809</v>
      </c>
      <c r="DR113" s="20">
        <f t="shared" si="70"/>
        <v>733.2709390741071</v>
      </c>
      <c r="DS113" s="59">
        <f t="shared" si="71"/>
        <v>1017.7787891176388</v>
      </c>
      <c r="DT113" s="59">
        <f ca="1">AVERAGE(OFFSET($DS$3,0,0,'Données projet'!$E$14+1,1))-AVERAGE(OFFSET($H$3,0,0,'Données projet'!$E$14+1,1))</f>
        <v>649.03508893149228</v>
      </c>
      <c r="DU113" s="59">
        <f t="shared" si="98"/>
        <v>297.94672581383213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54.732746525924199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54.732746525924199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7.9349999999999969</v>
      </c>
      <c r="EJ113" s="12">
        <f>IF('Données projet'!$A$192&gt;35,EJ112+EI113-ER112,IF(A113&lt;'Données projet'!$A$192,$EG$205^A113,IF(A113='Données projet'!$A$192,'Données projet'!$B$192,EJ112+EI113-ER112)))</f>
        <v>352.8300000000005</v>
      </c>
      <c r="EK113" s="17">
        <f>EJ113*VLOOKUP('Données projet'!$B$15,Paramètres!$A$1:$I$89,3,0)*VLOOKUP('Données projet'!$B$15,Paramètres!$A$1:$I$89,5,0)</f>
        <v>379.78621200000055</v>
      </c>
      <c r="EL113" s="13">
        <f t="shared" si="99"/>
        <v>87.666344241853807</v>
      </c>
      <c r="EM113" s="20">
        <f t="shared" si="73"/>
        <v>814.14653545456304</v>
      </c>
      <c r="EN113" s="59">
        <f t="shared" si="74"/>
        <v>1098.6543854980946</v>
      </c>
      <c r="EO113" s="59">
        <f ca="1">AVERAGE(OFFSET($EN$3,0,0,'Données projet'!$E$15+1,1))-AVERAGE(OFFSET($H$3,0,0,'Données projet'!$E$15+1,1))</f>
        <v>713.57333631602273</v>
      </c>
      <c r="EP113" s="59">
        <f t="shared" si="100"/>
        <v>325.30302392555359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60.912250165947917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60.912250165947917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5.6843418860808015E-14</v>
      </c>
      <c r="FF113" s="17">
        <f>FE113*VLOOKUP('Données projet'!$B$16,Paramètres!$A$1:$I$89,3,0)*VLOOKUP('Données projet'!$B$16,Paramètres!$A$1:$I$89,5,0)</f>
        <v>4.4337866711430253E-14</v>
      </c>
      <c r="FG113" s="13">
        <f t="shared" si="101"/>
        <v>7.3222115536967035E-13</v>
      </c>
      <c r="FH113" s="20">
        <f t="shared" si="76"/>
        <v>1.3525069634579169E-12</v>
      </c>
      <c r="FI113" s="59">
        <f t="shared" si="77"/>
        <v>284.50785004353298</v>
      </c>
      <c r="FJ113" s="59">
        <f ca="1">AVERAGE(OFFSET($FI$3,0,0,'Données projet'!$E$16+1,1))-AVERAGE(OFFSET($H$3,0,0,'Données projet'!$E$16+1,1))</f>
        <v>302.04287561738482</v>
      </c>
      <c r="FK113" s="59">
        <f t="shared" si="102"/>
        <v>296.09828774694802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45.817376570750362</v>
      </c>
      <c r="FR113" s="21">
        <f>EXP(-LN(2)/25)*FR112+(1-EXP(-LN(2)/25))/(LN(2)/25)*Calculateur!FM113*Calculateur!FO113*VLOOKUP('Données projet'!$B$16,Paramètres!$A$1:$I$89,3,0)*0.475*44/12</f>
        <v>16.332926204232166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62.150302774982528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7.456999999999999</v>
      </c>
      <c r="FZ113" s="12">
        <f>IF('Données projet'!$A$244&gt;35,FZ112+FY113-GH112,IF(A113&lt;'Données projet'!$A$244,$FW$205^A113,IF(A113='Données projet'!$A$244,'Données projet'!$B$244,FZ112+FY113-GH112)))</f>
        <v>315.40899999999999</v>
      </c>
      <c r="GA113" s="17">
        <f>FZ113*VLOOKUP('Données projet'!$B$17,Paramètres!$A$1:$I$89,3,0)*VLOOKUP('Données projet'!$B$17,Paramètres!$A$1:$I$89,5,0)</f>
        <v>265.70054160000001</v>
      </c>
      <c r="GB113" s="13">
        <f t="shared" si="103"/>
        <v>63.935965014011138</v>
      </c>
      <c r="GC113" s="20">
        <f t="shared" si="79"/>
        <v>574.11691568606932</v>
      </c>
      <c r="GD113" s="59">
        <f t="shared" si="80"/>
        <v>858.62476572960099</v>
      </c>
      <c r="GE113" s="59">
        <f ca="1">AVERAGE(OFFSET($GD$3,0,0,'Données projet'!$E$17+1,1))-AVERAGE(OFFSET($H$3,0,0,'Données projet'!$E$17+1,1))</f>
        <v>385.41819366740276</v>
      </c>
      <c r="GF113" s="59">
        <f t="shared" si="104"/>
        <v>262.4625391252718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41.845265743951039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41.845265743951039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67.593050011872251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3.3000000000000003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12.100000000000001</v>
      </c>
      <c r="H114" s="67">
        <f t="shared" si="56"/>
        <v>208.26666666666665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7.9349999999999969</v>
      </c>
      <c r="N114" s="13">
        <f>IF('Données projet'!$A$36&gt;35,N113+M114-V113,IF(A114&lt;'Données projet'!$A$36,$K$205^A114,IF(A114='Données projet'!$A$36,'Données projet'!$B$36,N113+M114-V113)))</f>
        <v>360.7650000000005</v>
      </c>
      <c r="O114" s="13">
        <f>N114*VLOOKUP('Données projet'!$B$9,Paramètres!$A$1:$I$89,3,0)*VLOOKUP('Données projet'!$B$9,Paramètres!$A$1:$I$89,5,0)</f>
        <v>326.42017200000043</v>
      </c>
      <c r="P114" s="13">
        <f t="shared" si="87"/>
        <v>76.687647008791089</v>
      </c>
      <c r="Q114" s="20">
        <f t="shared" si="107"/>
        <v>702.07945144031191</v>
      </c>
      <c r="R114" s="59">
        <f t="shared" si="55"/>
        <v>986.74040388809681</v>
      </c>
      <c r="S114" s="59">
        <f ca="1">AVERAGE(OFFSET($R$3,0,0,'Données projet'!$E$9+1,1))-AVERAGE(OFFSET($H$3,0,0,'Données projet'!$E$9+1,1))</f>
        <v>612.09138396952153</v>
      </c>
      <c r="T114" s="59">
        <f t="shared" si="88"/>
        <v>282.284310393542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50.197569411505341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50.197569411505341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365.81571000000054</v>
      </c>
      <c r="AK114" s="13">
        <f t="shared" si="89"/>
        <v>84.810706185422944</v>
      </c>
      <c r="AL114" s="20">
        <f t="shared" si="58"/>
        <v>784.84100818961235</v>
      </c>
      <c r="AM114" s="59">
        <f t="shared" si="59"/>
        <v>1069.5019606373974</v>
      </c>
      <c r="AN114" s="59">
        <f ca="1">AVERAGE(OFFSET($AM$3,0,0,'Données projet'!$E$10+1,1))-AVERAGE(OFFSET($H$3,0,0,'Données projet'!$E$10+1,1))</f>
        <v>676.7112666359476</v>
      </c>
      <c r="AO114" s="59">
        <f t="shared" si="90"/>
        <v>309.67876644201385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56.255896754273245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56.255896754273245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360.1877760000005</v>
      </c>
      <c r="BF114" s="13">
        <f t="shared" si="91"/>
        <v>83.65676424253131</v>
      </c>
      <c r="BG114" s="20">
        <f t="shared" si="61"/>
        <v>773.02924092240949</v>
      </c>
      <c r="BH114" s="59">
        <f t="shared" si="62"/>
        <v>1057.6901933701945</v>
      </c>
      <c r="BI114" s="59">
        <f ca="1">AVERAGE(OFFSET($BH$3,0,0,'Données projet'!$E$11+1,1))-AVERAGE(OFFSET($H$3,0,0,'Données projet'!$E$11+1,1))</f>
        <v>667.4887768032404</v>
      </c>
      <c r="BJ114" s="59">
        <f t="shared" si="92"/>
        <v>305.76944302827178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55.390421419592123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55.390421419592123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343.30397400000049</v>
      </c>
      <c r="CA114" s="13">
        <f t="shared" si="93"/>
        <v>80.182183692322951</v>
      </c>
      <c r="CB114" s="20">
        <f t="shared" si="64"/>
        <v>737.57172464746327</v>
      </c>
      <c r="CC114" s="59">
        <f t="shared" si="65"/>
        <v>1022.2326770952482</v>
      </c>
      <c r="CD114" s="59">
        <f ca="1">AVERAGE(OFFSET($CC$3,0,0,'Données projet'!$E$12+1,1))-AVERAGE(OFFSET($H$3,0,0,'Données projet'!$E$12+1,1))</f>
        <v>639.80378676828764</v>
      </c>
      <c r="CE114" s="59">
        <f t="shared" si="94"/>
        <v>294.03328334345281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52.793995415548729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52.793995415548729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-1.7053025658242404E-13</v>
      </c>
      <c r="CU114" s="17">
        <f>CT114*VLOOKUP('Données projet'!$B$13,Paramètres!$A$1:$I$89,3,0)*VLOOKUP('Données projet'!$B$13,Paramètres!$A$1:$I$89,5,0)</f>
        <v>-1.4897523215040567E-13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340.64710509454375</v>
      </c>
      <c r="CZ114" s="59">
        <f t="shared" si="96"/>
        <v>329.6409514360613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52.808574731503271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52.808574731503271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7.9349999999999969</v>
      </c>
      <c r="DO114" s="12">
        <f>IF('Données projet'!$A$166&gt;35,DO113+DN114-DW113,IF(A114&lt;'Données projet'!$A$166,$DL$205^A114,IF(A114='Données projet'!$A$166,'Données projet'!$B$166,DO113+DN114-DW113)))</f>
        <v>360.7650000000005</v>
      </c>
      <c r="DP114" s="17">
        <f>DO114*VLOOKUP('Données projet'!$B$14,Paramètres!$A$1:$I$89,3,0)*VLOOKUP('Données projet'!$B$14,Paramètres!$A$1:$I$89,5,0)</f>
        <v>348.93190800000048</v>
      </c>
      <c r="DQ114" s="13">
        <f t="shared" si="97"/>
        <v>81.342540896495009</v>
      </c>
      <c r="DR114" s="20">
        <f t="shared" si="70"/>
        <v>749.39466516139635</v>
      </c>
      <c r="DS114" s="59">
        <f t="shared" si="71"/>
        <v>1034.0556176091814</v>
      </c>
      <c r="DT114" s="59">
        <f ca="1">AVERAGE(OFFSET($DS$3,0,0,'Données projet'!$E$14+1,1))-AVERAGE(OFFSET($H$3,0,0,'Données projet'!$E$14+1,1))</f>
        <v>649.03508893149228</v>
      </c>
      <c r="DU114" s="59">
        <f t="shared" si="98"/>
        <v>297.94672581383213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53.659470750229843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53.659470750229843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7.9349999999999969</v>
      </c>
      <c r="EJ114" s="12">
        <f>IF('Données projet'!$A$192&gt;35,EJ113+EI114-ER113,IF(A114&lt;'Données projet'!$A$192,$EG$205^A114,IF(A114='Données projet'!$A$192,'Données projet'!$B$192,EJ113+EI114-ER113)))</f>
        <v>360.7650000000005</v>
      </c>
      <c r="EK114" s="17">
        <f>EJ114*VLOOKUP('Données projet'!$B$15,Paramètres!$A$1:$I$89,3,0)*VLOOKUP('Données projet'!$B$15,Paramètres!$A$1:$I$89,5,0)</f>
        <v>388.32744600000052</v>
      </c>
      <c r="EL114" s="13">
        <f t="shared" si="99"/>
        <v>89.406170656215622</v>
      </c>
      <c r="EM114" s="20">
        <f t="shared" si="73"/>
        <v>832.05271567624311</v>
      </c>
      <c r="EN114" s="59">
        <f t="shared" si="74"/>
        <v>1116.7136681240281</v>
      </c>
      <c r="EO114" s="59">
        <f ca="1">AVERAGE(OFFSET($EN$3,0,0,'Données projet'!$E$15+1,1))-AVERAGE(OFFSET($H$3,0,0,'Données projet'!$E$15+1,1))</f>
        <v>713.57333631602273</v>
      </c>
      <c r="EP114" s="59">
        <f t="shared" si="100"/>
        <v>325.30302392555359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59.717798092997747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59.717798092997747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5.6843418860808015E-14</v>
      </c>
      <c r="FF114" s="17">
        <f>FE114*VLOOKUP('Données projet'!$B$16,Paramètres!$A$1:$I$89,3,0)*VLOOKUP('Données projet'!$B$16,Paramètres!$A$1:$I$89,5,0)</f>
        <v>4.4337866711430253E-14</v>
      </c>
      <c r="FG114" s="13">
        <f t="shared" si="101"/>
        <v>7.3222115536967035E-13</v>
      </c>
      <c r="FH114" s="20">
        <f t="shared" si="76"/>
        <v>1.3525069634579169E-12</v>
      </c>
      <c r="FI114" s="59">
        <f t="shared" si="77"/>
        <v>284.66095244778631</v>
      </c>
      <c r="FJ114" s="59">
        <f ca="1">AVERAGE(OFFSET($FI$3,0,0,'Données projet'!$E$16+1,1))-AVERAGE(OFFSET($H$3,0,0,'Données projet'!$E$16+1,1))</f>
        <v>302.04287561738482</v>
      </c>
      <c r="FK114" s="59">
        <f t="shared" si="102"/>
        <v>296.09828774694802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44.918925762038235</v>
      </c>
      <c r="FR114" s="21">
        <f>EXP(-LN(2)/25)*FR113+(1-EXP(-LN(2)/25))/(LN(2)/25)*Calculateur!FM114*Calculateur!FO114*VLOOKUP('Données projet'!$B$16,Paramètres!$A$1:$I$89,3,0)*0.475*44/12</f>
        <v>15.886301478266178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60.805227240304411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7.456999999999999</v>
      </c>
      <c r="FZ114" s="12">
        <f>IF('Données projet'!$A$244&gt;35,FZ113+FY114-GH113,IF(A114&lt;'Données projet'!$A$244,$FW$205^A114,IF(A114='Données projet'!$A$244,'Données projet'!$B$244,FZ113+FY114-GH113)))</f>
        <v>322.86599999999999</v>
      </c>
      <c r="GA114" s="17">
        <f>FZ114*VLOOKUP('Données projet'!$B$17,Paramètres!$A$1:$I$89,3,0)*VLOOKUP('Données projet'!$B$17,Paramètres!$A$1:$I$89,5,0)</f>
        <v>271.98231840000005</v>
      </c>
      <c r="GB114" s="13">
        <f t="shared" si="103"/>
        <v>65.269788007779979</v>
      </c>
      <c r="GC114" s="20">
        <f t="shared" si="79"/>
        <v>587.38075199355023</v>
      </c>
      <c r="GD114" s="59">
        <f t="shared" si="80"/>
        <v>872.04170444133524</v>
      </c>
      <c r="GE114" s="59">
        <f ca="1">AVERAGE(OFFSET($GD$3,0,0,'Données projet'!$E$17+1,1))-AVERAGE(OFFSET($H$3,0,0,'Données projet'!$E$17+1,1))</f>
        <v>385.41819366740276</v>
      </c>
      <c r="GF114" s="59">
        <f t="shared" si="104"/>
        <v>262.4625391252718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41.024705605804066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41.024705605804066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67.634805213032251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3.3000000000000003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12.100000000000001</v>
      </c>
      <c r="H115" s="67">
        <f t="shared" si="56"/>
        <v>208.26666666666665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7.9349999999999969</v>
      </c>
      <c r="N115" s="13">
        <f>IF('Données projet'!$A$36&gt;35,N114+M115-V114,IF(A115&lt;'Données projet'!$A$36,$K$205^A115,IF(A115='Données projet'!$A$36,'Données projet'!$B$36,N114+M115-V114)))</f>
        <v>368.7000000000005</v>
      </c>
      <c r="O115" s="13">
        <f>N115*VLOOKUP('Données projet'!$B$9,Paramètres!$A$1:$I$89,3,0)*VLOOKUP('Données projet'!$B$9,Paramètres!$A$1:$I$89,5,0)</f>
        <v>333.59976000000046</v>
      </c>
      <c r="P115" s="13">
        <f t="shared" si="87"/>
        <v>78.17615735915706</v>
      </c>
      <c r="Q115" s="20">
        <f t="shared" si="107"/>
        <v>717.17638940053257</v>
      </c>
      <c r="R115" s="59">
        <f t="shared" si="55"/>
        <v>1001.9877882681426</v>
      </c>
      <c r="S115" s="59">
        <f ca="1">AVERAGE(OFFSET($R$3,0,0,'Données projet'!$E$9+1,1))-AVERAGE(OFFSET($H$3,0,0,'Données projet'!$E$9+1,1))</f>
        <v>612.09138396952153</v>
      </c>
      <c r="T115" s="59">
        <f t="shared" si="88"/>
        <v>282.284310393542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49.213225692839835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49.213225692839835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373.86180000000053</v>
      </c>
      <c r="AK115" s="13">
        <f t="shared" si="89"/>
        <v>86.456885445094045</v>
      </c>
      <c r="AL115" s="20">
        <f t="shared" si="58"/>
        <v>801.7217104835396</v>
      </c>
      <c r="AM115" s="59">
        <f t="shared" si="59"/>
        <v>1086.5331093511497</v>
      </c>
      <c r="AN115" s="59">
        <f ca="1">AVERAGE(OFFSET($AM$3,0,0,'Données projet'!$E$10+1,1))-AVERAGE(OFFSET($H$3,0,0,'Données projet'!$E$10+1,1))</f>
        <v>676.7112666359476</v>
      </c>
      <c r="AO115" s="59">
        <f t="shared" si="90"/>
        <v>309.67876644201385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55.152752931630864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55.152752931630864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368.11008000000055</v>
      </c>
      <c r="BF115" s="13">
        <f t="shared" si="91"/>
        <v>85.280545442114402</v>
      </c>
      <c r="BG115" s="20">
        <f t="shared" si="61"/>
        <v>789.65533931168341</v>
      </c>
      <c r="BH115" s="59">
        <f t="shared" si="62"/>
        <v>1074.4667381792935</v>
      </c>
      <c r="BI115" s="59">
        <f ca="1">AVERAGE(OFFSET($BH$3,0,0,'Données projet'!$E$11+1,1))-AVERAGE(OFFSET($H$3,0,0,'Données projet'!$E$11+1,1))</f>
        <v>667.4887768032404</v>
      </c>
      <c r="BJ115" s="59">
        <f t="shared" si="92"/>
        <v>305.76944302827178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54.304249040375012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54.304249040375012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350.85492000000045</v>
      </c>
      <c r="CA115" s="13">
        <f t="shared" si="93"/>
        <v>81.738523141977637</v>
      </c>
      <c r="CB115" s="20">
        <f t="shared" si="64"/>
        <v>753.4335801389451</v>
      </c>
      <c r="CC115" s="59">
        <f t="shared" si="65"/>
        <v>1038.2449790065552</v>
      </c>
      <c r="CD115" s="59">
        <f ca="1">AVERAGE(OFFSET($CC$3,0,0,'Données projet'!$E$12+1,1))-AVERAGE(OFFSET($H$3,0,0,'Données projet'!$E$12+1,1))</f>
        <v>639.80378676828764</v>
      </c>
      <c r="CE115" s="59">
        <f t="shared" si="94"/>
        <v>294.03328334345281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51.75873736660742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51.75873736660742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-1.7053025658242404E-13</v>
      </c>
      <c r="CU115" s="17">
        <f>CT115*VLOOKUP('Données projet'!$B$13,Paramètres!$A$1:$I$89,3,0)*VLOOKUP('Données projet'!$B$13,Paramètres!$A$1:$I$89,5,0)</f>
        <v>-1.4897523215040567E-13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340.64710509454375</v>
      </c>
      <c r="CZ115" s="59">
        <f t="shared" si="96"/>
        <v>329.6409514360613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51.773030791068599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51.773030791068599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7.9349999999999969</v>
      </c>
      <c r="DO115" s="12">
        <f>IF('Données projet'!$A$166&gt;35,DO114+DN115-DW114,IF(A115&lt;'Données projet'!$A$166,$DL$205^A115,IF(A115='Données projet'!$A$166,'Données projet'!$B$166,DO114+DN115-DW114)))</f>
        <v>368.7000000000005</v>
      </c>
      <c r="DP115" s="17">
        <f>DO115*VLOOKUP('Données projet'!$B$14,Paramètres!$A$1:$I$89,3,0)*VLOOKUP('Données projet'!$B$14,Paramètres!$A$1:$I$89,5,0)</f>
        <v>356.60664000000048</v>
      </c>
      <c r="DQ115" s="13">
        <f t="shared" si="97"/>
        <v>82.921402926720376</v>
      </c>
      <c r="DR115" s="20">
        <f t="shared" si="70"/>
        <v>765.51134143070556</v>
      </c>
      <c r="DS115" s="59">
        <f t="shared" si="71"/>
        <v>1050.3227402983157</v>
      </c>
      <c r="DT115" s="59">
        <f ca="1">AVERAGE(OFFSET($DS$3,0,0,'Données projet'!$E$14+1,1))-AVERAGE(OFFSET($H$3,0,0,'Données projet'!$E$14+1,1))</f>
        <v>649.03508893149228</v>
      </c>
      <c r="DU115" s="59">
        <f t="shared" si="98"/>
        <v>297.94672581383213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52.607241257863272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52.607241257863272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7.9349999999999969</v>
      </c>
      <c r="EJ115" s="12">
        <f>IF('Données projet'!$A$192&gt;35,EJ114+EI115-ER114,IF(A115&lt;'Données projet'!$A$192,$EG$205^A115,IF(A115='Données projet'!$A$192,'Données projet'!$B$192,EJ114+EI115-ER114)))</f>
        <v>368.7000000000005</v>
      </c>
      <c r="EK115" s="17">
        <f>EJ115*VLOOKUP('Données projet'!$B$15,Paramètres!$A$1:$I$89,3,0)*VLOOKUP('Données projet'!$B$15,Paramètres!$A$1:$I$89,5,0)</f>
        <v>396.86868000000055</v>
      </c>
      <c r="EL115" s="13">
        <f t="shared" si="99"/>
        <v>91.14154806834452</v>
      </c>
      <c r="EM115" s="20">
        <f t="shared" si="73"/>
        <v>849.95114721903428</v>
      </c>
      <c r="EN115" s="59">
        <f t="shared" si="74"/>
        <v>1134.7625460866443</v>
      </c>
      <c r="EO115" s="59">
        <f ca="1">AVERAGE(OFFSET($EN$3,0,0,'Données projet'!$E$15+1,1))-AVERAGE(OFFSET($H$3,0,0,'Données projet'!$E$15+1,1))</f>
        <v>713.57333631602273</v>
      </c>
      <c r="EP115" s="59">
        <f t="shared" si="100"/>
        <v>325.30302392555359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58.546768496654302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58.546768496654302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5.6843418860808015E-14</v>
      </c>
      <c r="FF115" s="17">
        <f>FE115*VLOOKUP('Données projet'!$B$16,Paramètres!$A$1:$I$89,3,0)*VLOOKUP('Données projet'!$B$16,Paramètres!$A$1:$I$89,5,0)</f>
        <v>4.4337866711430253E-14</v>
      </c>
      <c r="FG115" s="13">
        <f t="shared" si="101"/>
        <v>7.3222115536967035E-13</v>
      </c>
      <c r="FH115" s="20">
        <f t="shared" si="76"/>
        <v>1.3525069634579169E-12</v>
      </c>
      <c r="FI115" s="59">
        <f t="shared" si="77"/>
        <v>284.81139886761144</v>
      </c>
      <c r="FJ115" s="59">
        <f ca="1">AVERAGE(OFFSET($FI$3,0,0,'Données projet'!$E$16+1,1))-AVERAGE(OFFSET($H$3,0,0,'Données projet'!$E$16+1,1))</f>
        <v>302.04287561738482</v>
      </c>
      <c r="FK115" s="59">
        <f t="shared" si="102"/>
        <v>296.09828774694802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44.03809302568407</v>
      </c>
      <c r="FR115" s="21">
        <f>EXP(-LN(2)/25)*FR114+(1-EXP(-LN(2)/25))/(LN(2)/25)*Calculateur!FM115*Calculateur!FO115*VLOOKUP('Données projet'!$B$16,Paramètres!$A$1:$I$89,3,0)*0.475*44/12</f>
        <v>15.451889728918703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59.489982754602771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7.456999999999999</v>
      </c>
      <c r="FZ115" s="12">
        <f>IF('Données projet'!$A$244&gt;35,FZ114+FY115-GH114,IF(A115&lt;'Données projet'!$A$244,$FW$205^A115,IF(A115='Données projet'!$A$244,'Données projet'!$B$244,FZ114+FY115-GH114)))</f>
        <v>330.32299999999998</v>
      </c>
      <c r="GA115" s="17">
        <f>FZ115*VLOOKUP('Données projet'!$B$17,Paramètres!$A$1:$I$89,3,0)*VLOOKUP('Données projet'!$B$17,Paramètres!$A$1:$I$89,5,0)</f>
        <v>278.26409519999999</v>
      </c>
      <c r="GB115" s="13">
        <f t="shared" si="103"/>
        <v>66.600029623461893</v>
      </c>
      <c r="GC115" s="20">
        <f t="shared" si="79"/>
        <v>600.63835073419614</v>
      </c>
      <c r="GD115" s="59">
        <f t="shared" si="80"/>
        <v>885.44974960180616</v>
      </c>
      <c r="GE115" s="59">
        <f ca="1">AVERAGE(OFFSET($GD$3,0,0,'Données projet'!$E$17+1,1))-AVERAGE(OFFSET($H$3,0,0,'Données projet'!$E$17+1,1))</f>
        <v>385.41819366740276</v>
      </c>
      <c r="GF115" s="59">
        <f t="shared" si="104"/>
        <v>262.4625391252718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40.220236151473891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40.220236151473891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67.675836054802758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3.3000000000000003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12.100000000000001</v>
      </c>
      <c r="H116" s="67">
        <f t="shared" si="56"/>
        <v>208.26666666666665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7.9349999999999969</v>
      </c>
      <c r="N116" s="13">
        <f>IF('Données projet'!$A$36&gt;35,N115+M116-V115,IF(A116&lt;'Données projet'!$A$36,$K$205^A116,IF(A116='Données projet'!$A$36,'Données projet'!$B$36,N115+M116-V115)))</f>
        <v>376.6350000000005</v>
      </c>
      <c r="O116" s="13">
        <f>N116*VLOOKUP('Données projet'!$B$9,Paramètres!$A$1:$I$89,3,0)*VLOOKUP('Données projet'!$B$9,Paramètres!$A$1:$I$89,5,0)</f>
        <v>340.77934800000043</v>
      </c>
      <c r="P116" s="13">
        <f t="shared" si="87"/>
        <v>79.660943190415296</v>
      </c>
      <c r="Q116" s="20">
        <f t="shared" si="107"/>
        <v>732.26684048997402</v>
      </c>
      <c r="R116" s="59">
        <f t="shared" si="55"/>
        <v>1017.2260758683733</v>
      </c>
      <c r="S116" s="59">
        <f ca="1">AVERAGE(OFFSET($R$3,0,0,'Données projet'!$E$9+1,1))-AVERAGE(OFFSET($H$3,0,0,'Données projet'!$E$9+1,1))</f>
        <v>612.09138396952153</v>
      </c>
      <c r="T116" s="59">
        <f t="shared" si="88"/>
        <v>282.284310393542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48.248184354106975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48.248184354106975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381.90789000000052</v>
      </c>
      <c r="AK116" s="13">
        <f t="shared" si="89"/>
        <v>88.098945669848248</v>
      </c>
      <c r="AL116" s="20">
        <f t="shared" si="58"/>
        <v>818.59523879165329</v>
      </c>
      <c r="AM116" s="59">
        <f t="shared" si="59"/>
        <v>1103.5544741700526</v>
      </c>
      <c r="AN116" s="59">
        <f ca="1">AVERAGE(OFFSET($AM$3,0,0,'Données projet'!$E$10+1,1))-AVERAGE(OFFSET($H$3,0,0,'Données projet'!$E$10+1,1))</f>
        <v>676.7112666359476</v>
      </c>
      <c r="AO116" s="59">
        <f t="shared" si="90"/>
        <v>309.67876644201385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54.071241086499214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54.071241086499214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376.03238400000049</v>
      </c>
      <c r="BF116" s="13">
        <f t="shared" si="91"/>
        <v>86.900263650732555</v>
      </c>
      <c r="BG116" s="20">
        <f t="shared" si="61"/>
        <v>806.27436132502669</v>
      </c>
      <c r="BH116" s="59">
        <f t="shared" si="62"/>
        <v>1091.233596703426</v>
      </c>
      <c r="BI116" s="59">
        <f ca="1">AVERAGE(OFFSET($BH$3,0,0,'Données projet'!$E$11+1,1))-AVERAGE(OFFSET($H$3,0,0,'Données projet'!$E$11+1,1))</f>
        <v>667.4887768032404</v>
      </c>
      <c r="BJ116" s="59">
        <f t="shared" si="92"/>
        <v>305.76944302827178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53.239375839014613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53.239375839014613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358.40586600000046</v>
      </c>
      <c r="CA116" s="13">
        <f t="shared" si="93"/>
        <v>83.290968351987175</v>
      </c>
      <c r="CB116" s="20">
        <f t="shared" si="64"/>
        <v>769.28865316304507</v>
      </c>
      <c r="CC116" s="59">
        <f t="shared" si="65"/>
        <v>1054.2478885414444</v>
      </c>
      <c r="CD116" s="59">
        <f ca="1">AVERAGE(OFFSET($CC$3,0,0,'Données projet'!$E$12+1,1))-AVERAGE(OFFSET($H$3,0,0,'Données projet'!$E$12+1,1))</f>
        <v>639.80378676828764</v>
      </c>
      <c r="CE116" s="59">
        <f t="shared" si="94"/>
        <v>294.03328334345281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50.743780096560791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50.743780096560791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-1.7053025658242404E-13</v>
      </c>
      <c r="CU116" s="17">
        <f>CT116*VLOOKUP('Données projet'!$B$13,Paramètres!$A$1:$I$89,3,0)*VLOOKUP('Données projet'!$B$13,Paramètres!$A$1:$I$89,5,0)</f>
        <v>-1.4897523215040567E-13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340.64710509454375</v>
      </c>
      <c r="CZ116" s="59">
        <f t="shared" si="96"/>
        <v>329.6409514360613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50.757793235686414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50.757793235686414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7.9349999999999969</v>
      </c>
      <c r="DO116" s="12">
        <f>IF('Données projet'!$A$166&gt;35,DO115+DN116-DW115,IF(A116&lt;'Données projet'!$A$166,$DL$205^A116,IF(A116='Données projet'!$A$166,'Données projet'!$B$166,DO115+DN116-DW115)))</f>
        <v>376.6350000000005</v>
      </c>
      <c r="DP116" s="17">
        <f>DO116*VLOOKUP('Données projet'!$B$14,Paramètres!$A$1:$I$89,3,0)*VLOOKUP('Données projet'!$B$14,Paramètres!$A$1:$I$89,5,0)</f>
        <v>364.28137200000049</v>
      </c>
      <c r="DQ116" s="13">
        <f t="shared" si="97"/>
        <v>84.496314361776058</v>
      </c>
      <c r="DR116" s="20">
        <f t="shared" si="70"/>
        <v>781.62113708009417</v>
      </c>
      <c r="DS116" s="59">
        <f t="shared" si="71"/>
        <v>1066.5803724584935</v>
      </c>
      <c r="DT116" s="59">
        <f ca="1">AVERAGE(OFFSET($DS$3,0,0,'Données projet'!$E$14+1,1))-AVERAGE(OFFSET($H$3,0,0,'Données projet'!$E$14+1,1))</f>
        <v>649.03508893149228</v>
      </c>
      <c r="DU116" s="59">
        <f t="shared" si="98"/>
        <v>297.94672581383213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51.575645344045391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51.575645344045391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7.9349999999999969</v>
      </c>
      <c r="EJ116" s="12">
        <f>IF('Données projet'!$A$192&gt;35,EJ115+EI116-ER115,IF(A116&lt;'Données projet'!$A$192,$EG$205^A116,IF(A116='Données projet'!$A$192,'Données projet'!$B$192,EJ115+EI116-ER115)))</f>
        <v>376.6350000000005</v>
      </c>
      <c r="EK116" s="17">
        <f>EJ116*VLOOKUP('Données projet'!$B$15,Paramètres!$A$1:$I$89,3,0)*VLOOKUP('Données projet'!$B$15,Paramètres!$A$1:$I$89,5,0)</f>
        <v>405.40991400000053</v>
      </c>
      <c r="EL116" s="13">
        <f t="shared" si="99"/>
        <v>92.872583255826356</v>
      </c>
      <c r="EM116" s="20">
        <f t="shared" si="73"/>
        <v>867.84201605389853</v>
      </c>
      <c r="EN116" s="59">
        <f t="shared" si="74"/>
        <v>1152.8012514322977</v>
      </c>
      <c r="EO116" s="59">
        <f ca="1">AVERAGE(OFFSET($EN$3,0,0,'Données projet'!$E$15+1,1))-AVERAGE(OFFSET($H$3,0,0,'Données projet'!$E$15+1,1))</f>
        <v>713.57333631602273</v>
      </c>
      <c r="EP116" s="59">
        <f t="shared" si="100"/>
        <v>325.30302392555359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57.398702076437623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57.398702076437623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5.6843418860808015E-14</v>
      </c>
      <c r="FF116" s="17">
        <f>FE116*VLOOKUP('Données projet'!$B$16,Paramètres!$A$1:$I$89,3,0)*VLOOKUP('Données projet'!$B$16,Paramètres!$A$1:$I$89,5,0)</f>
        <v>4.4337866711430253E-14</v>
      </c>
      <c r="FG116" s="13">
        <f t="shared" si="101"/>
        <v>7.3222115536967035E-13</v>
      </c>
      <c r="FH116" s="20">
        <f t="shared" si="76"/>
        <v>1.3525069634579169E-12</v>
      </c>
      <c r="FI116" s="59">
        <f t="shared" si="77"/>
        <v>284.95923537840059</v>
      </c>
      <c r="FJ116" s="59">
        <f ca="1">AVERAGE(OFFSET($FI$3,0,0,'Données projet'!$E$16+1,1))-AVERAGE(OFFSET($H$3,0,0,'Données projet'!$E$16+1,1))</f>
        <v>302.04287561738482</v>
      </c>
      <c r="FK116" s="59">
        <f t="shared" si="102"/>
        <v>296.09828774694802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43.174532882034889</v>
      </c>
      <c r="FR116" s="21">
        <f>EXP(-LN(2)/25)*FR115+(1-EXP(-LN(2)/25))/(LN(2)/25)*Calculateur!FM116*Calculateur!FO116*VLOOKUP('Données projet'!$B$16,Paramètres!$A$1:$I$89,3,0)*0.475*44/12</f>
        <v>15.029356991701857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58.203889873736742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>
        <f>VLOOKUP(A116,'Données projet'!$A$243:$I$263,2,0)</f>
        <v>337.78</v>
      </c>
      <c r="FX116" s="12">
        <f>VLOOKUP(A116,'Données projet'!$A$243:$I$263,9,0)</f>
        <v>7.456999999999999</v>
      </c>
      <c r="FY116" s="12">
        <f t="array" ref="FY116">INDEX(FX:FX,MIN(IF(ISNUMBER(FX116:FX312),ROW(FX116:FX312),"")))</f>
        <v>7.456999999999999</v>
      </c>
      <c r="FZ116" s="12">
        <f>IF('Données projet'!$A$244&gt;35,FZ115+FY116-GH115,IF(A116&lt;'Données projet'!$A$244,$FW$205^A116,IF(A116='Données projet'!$A$244,'Données projet'!$B$244,FZ115+FY116-GH115)))</f>
        <v>337.78</v>
      </c>
      <c r="GA116" s="17">
        <f>FZ116*VLOOKUP('Données projet'!$B$17,Paramètres!$A$1:$I$89,3,0)*VLOOKUP('Données projet'!$B$17,Paramètres!$A$1:$I$89,5,0)</f>
        <v>284.54587199999997</v>
      </c>
      <c r="GB116" s="13">
        <f t="shared" si="103"/>
        <v>67.926780018045676</v>
      </c>
      <c r="GC116" s="20">
        <f t="shared" si="79"/>
        <v>613.88986893142953</v>
      </c>
      <c r="GD116" s="59">
        <f t="shared" si="80"/>
        <v>898.84910430982882</v>
      </c>
      <c r="GE116" s="59">
        <f ca="1">AVERAGE(OFFSET($GD$3,0,0,'Données projet'!$E$17+1,1))-AVERAGE(OFFSET($H$3,0,0,'Données projet'!$E$17+1,1))</f>
        <v>385.41819366740276</v>
      </c>
      <c r="GF116" s="59">
        <f t="shared" si="104"/>
        <v>262.4625391252718</v>
      </c>
      <c r="GG116" s="15">
        <f>IF(ISNA(VLOOKUP(A116,'Données projet'!$A$243:$I$263,3,0)),0,VLOOKUP(A116,'Données projet'!$A$243:$I$263,3,0))</f>
        <v>10</v>
      </c>
      <c r="GH116" s="15">
        <f>IF(ISNA(VLOOKUP(A116,'Données projet'!$A$243:$I$263,4,0)),0,VLOOKUP(A116,'Données projet'!$A$243:$I$263,4,0))</f>
        <v>59.52</v>
      </c>
      <c r="GI116" s="16">
        <f>IF(ISNA(VLOOKUP(A116,'Données projet'!$A$243:$I$263,5,0)),0%,VLOOKUP(A116,'Données projet'!$A$243:$I$263,5,0)*VLOOKUP('Données projet'!$B$17,Paramètres!$A$1:$I$89,7,0))</f>
        <v>0.25800000000000001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53.731938944151018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53.731938944151018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67.716155103199782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3.3000000000000003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12.100000000000001</v>
      </c>
      <c r="H117" s="67">
        <f t="shared" si="56"/>
        <v>208.26666666666665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384.57</v>
      </c>
      <c r="L117" s="12">
        <f>VLOOKUP(A117,'Données projet'!$A$35:$I$55,9,0)</f>
        <v>7.9349999999999969</v>
      </c>
      <c r="M117" s="12">
        <f t="array" ref="M117">INDEX(L:L,MIN(IF(ISNUMBER(L117:L313),ROW(L117:L313),"")))</f>
        <v>7.9349999999999969</v>
      </c>
      <c r="N117" s="13">
        <f>IF('Données projet'!$A$36&gt;35,N116+M117-V116,IF(A117&lt;'Données projet'!$A$36,$K$205^A117,IF(A117='Données projet'!$A$36,'Données projet'!$B$36,N116+M117-V116)))</f>
        <v>384.5700000000005</v>
      </c>
      <c r="O117" s="13">
        <f>N117*VLOOKUP('Données projet'!$B$9,Paramètres!$A$1:$I$89,3,0)*VLOOKUP('Données projet'!$B$9,Paramètres!$A$1:$I$89,5,0)</f>
        <v>347.95893600000045</v>
      </c>
      <c r="P117" s="13">
        <f t="shared" si="87"/>
        <v>81.142092010767954</v>
      </c>
      <c r="Q117" s="20">
        <f t="shared" si="107"/>
        <v>747.35095711875499</v>
      </c>
      <c r="R117" s="59">
        <f t="shared" si="55"/>
        <v>1032.4554643749939</v>
      </c>
      <c r="S117" s="59">
        <f ca="1">AVERAGE(OFFSET($R$3,0,0,'Données projet'!$E$9+1,1))-AVERAGE(OFFSET($H$3,0,0,'Données projet'!$E$9+1,1))</f>
        <v>612.09138396952153</v>
      </c>
      <c r="T117" s="59">
        <f t="shared" si="88"/>
        <v>282.284310393542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61.771448286126386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61.771448286126386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389.95398000000051</v>
      </c>
      <c r="AK117" s="13">
        <f t="shared" si="89"/>
        <v>89.736983637102725</v>
      </c>
      <c r="AL117" s="20">
        <f t="shared" si="58"/>
        <v>835.46176166795476</v>
      </c>
      <c r="AM117" s="59">
        <f t="shared" si="59"/>
        <v>1120.5662689241938</v>
      </c>
      <c r="AN117" s="59">
        <f ca="1">AVERAGE(OFFSET($AM$3,0,0,'Données projet'!$E$10+1,1))-AVERAGE(OFFSET($H$3,0,0,'Données projet'!$E$10+1,1))</f>
        <v>676.7112666359476</v>
      </c>
      <c r="AO117" s="59">
        <f t="shared" si="90"/>
        <v>309.67876644201385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69.226623079279591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69.226623079279591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383.95468800000054</v>
      </c>
      <c r="BF117" s="13">
        <f t="shared" si="91"/>
        <v>88.516014329041184</v>
      </c>
      <c r="BG117" s="20">
        <f t="shared" si="61"/>
        <v>822.886473223081</v>
      </c>
      <c r="BH117" s="59">
        <f t="shared" si="62"/>
        <v>1107.9909804793201</v>
      </c>
      <c r="BI117" s="59">
        <f ca="1">AVERAGE(OFFSET($BH$3,0,0,'Données projet'!$E$11+1,1))-AVERAGE(OFFSET($H$3,0,0,'Données projet'!$E$11+1,1))</f>
        <v>667.4887768032404</v>
      </c>
      <c r="BJ117" s="59">
        <f t="shared" si="92"/>
        <v>305.76944302827178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68.161598108829139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68.161598108829139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365.95681200000047</v>
      </c>
      <c r="CA117" s="13">
        <f t="shared" si="93"/>
        <v>84.839610818166577</v>
      </c>
      <c r="CB117" s="20">
        <f t="shared" si="64"/>
        <v>785.13710307497422</v>
      </c>
      <c r="CC117" s="59">
        <f t="shared" si="65"/>
        <v>1070.2416103312132</v>
      </c>
      <c r="CD117" s="59">
        <f ca="1">AVERAGE(OFFSET($CC$3,0,0,'Données projet'!$E$12+1,1))-AVERAGE(OFFSET($H$3,0,0,'Données projet'!$E$12+1,1))</f>
        <v>639.80378676828764</v>
      </c>
      <c r="CE117" s="59">
        <f t="shared" si="94"/>
        <v>294.03328334345281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64.966523197477756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64.966523197477756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-1.7053025658242404E-13</v>
      </c>
      <c r="CU117" s="17">
        <f>CT117*VLOOKUP('Données projet'!$B$13,Paramètres!$A$1:$I$89,3,0)*VLOOKUP('Données projet'!$B$13,Paramètres!$A$1:$I$89,5,0)</f>
        <v>-1.4897523215040567E-13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340.64710509454375</v>
      </c>
      <c r="CZ117" s="59">
        <f t="shared" si="96"/>
        <v>329.6409514360613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49.762463869531508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49.762463869531508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384.57</v>
      </c>
      <c r="DM117" s="12">
        <f>VLOOKUP(A117,'Données projet'!$A$165:$I$185,9,0)</f>
        <v>7.9349999999999969</v>
      </c>
      <c r="DN117" s="12">
        <f t="array" ref="DN117">INDEX(DM:DM,MIN(IF(ISNUMBER(DM117:DM313),ROW(DM117:DM313),"")))</f>
        <v>7.9349999999999969</v>
      </c>
      <c r="DO117" s="12">
        <f>IF('Données projet'!$A$166&gt;35,DO116+DN117-DW116,IF(A117&lt;'Données projet'!$A$166,$DL$205^A117,IF(A117='Données projet'!$A$166,'Données projet'!$B$166,DO116+DN117-DW116)))</f>
        <v>384.5700000000005</v>
      </c>
      <c r="DP117" s="17">
        <f>DO117*VLOOKUP('Données projet'!$B$14,Paramètres!$A$1:$I$89,3,0)*VLOOKUP('Données projet'!$B$14,Paramètres!$A$1:$I$89,5,0)</f>
        <v>371.95610400000049</v>
      </c>
      <c r="DQ117" s="13">
        <f t="shared" si="97"/>
        <v>86.067368021559375</v>
      </c>
      <c r="DR117" s="20">
        <f t="shared" si="70"/>
        <v>797.72421377088347</v>
      </c>
      <c r="DS117" s="59">
        <f t="shared" si="71"/>
        <v>1082.8287210271224</v>
      </c>
      <c r="DT117" s="59">
        <f ca="1">AVERAGE(OFFSET($DS$3,0,0,'Données projet'!$E$14+1,1))-AVERAGE(OFFSET($H$3,0,0,'Données projet'!$E$14+1,1))</f>
        <v>649.03508893149228</v>
      </c>
      <c r="DU117" s="59">
        <f t="shared" si="98"/>
        <v>297.94672581383213</v>
      </c>
      <c r="DV117" s="15">
        <f>IF(ISNA(VLOOKUP(A117,'Données projet'!$A$165:$I$185,3,0)),0,VLOOKUP(A117,'Données projet'!$A$165:$I$185,3,0))</f>
        <v>9</v>
      </c>
      <c r="DW117" s="15">
        <f>IF(ISNA(VLOOKUP(A117,'Données projet'!$A$165:$I$185,4,0)),0,VLOOKUP(A117,'Données projet'!$A$165:$I$185,4,0))</f>
        <v>56.07</v>
      </c>
      <c r="DX117" s="16">
        <f>IF(ISNA(VLOOKUP(A117,'Données projet'!$A$165:$I$185,5,0)),0%,VLOOKUP(A117,'Données projet'!$A$165:$I$185,5,0)*VLOOKUP('Données projet'!$B$14,Paramètres!$A$1:$I$89,7,0))</f>
        <v>0.25800000000000001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66.031548167928207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66.031548167928207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>
        <f>VLOOKUP(A117,'Données projet'!$A$191:$I$211,2,0)</f>
        <v>384.57</v>
      </c>
      <c r="EH117" s="12">
        <f>VLOOKUP(A117,'Données projet'!$A$191:$I$211,9,0)</f>
        <v>7.9349999999999969</v>
      </c>
      <c r="EI117" s="12">
        <f t="array" ref="EI117">INDEX(EH:EH,MIN(IF(ISNUMBER(EH117:EH313),ROW(EH117:EH313),"")))</f>
        <v>7.9349999999999969</v>
      </c>
      <c r="EJ117" s="12">
        <f>IF('Données projet'!$A$192&gt;35,EJ116+EI117-ER116,IF(A117&lt;'Données projet'!$A$192,$EG$205^A117,IF(A117='Données projet'!$A$192,'Données projet'!$B$192,EJ116+EI117-ER116)))</f>
        <v>384.5700000000005</v>
      </c>
      <c r="EK117" s="17">
        <f>EJ117*VLOOKUP('Données projet'!$B$15,Paramètres!$A$1:$I$89,3,0)*VLOOKUP('Données projet'!$B$15,Paramètres!$A$1:$I$89,5,0)</f>
        <v>413.95114800000056</v>
      </c>
      <c r="EL117" s="13">
        <f t="shared" si="99"/>
        <v>94.599378239958753</v>
      </c>
      <c r="EM117" s="20">
        <f t="shared" si="73"/>
        <v>885.7254998679291</v>
      </c>
      <c r="EN117" s="59">
        <f t="shared" si="74"/>
        <v>1170.8300071241681</v>
      </c>
      <c r="EO117" s="59">
        <f ca="1">AVERAGE(OFFSET($EN$3,0,0,'Données projet'!$E$15+1,1))-AVERAGE(OFFSET($H$3,0,0,'Données projet'!$E$15+1,1))</f>
        <v>713.57333631602273</v>
      </c>
      <c r="EP117" s="59">
        <f t="shared" si="100"/>
        <v>325.30302392555359</v>
      </c>
      <c r="EQ117" s="15">
        <f>IF(ISNA(VLOOKUP(A117,'Données projet'!$A$191:$I$211,3,0)),0,VLOOKUP(A117,'Données projet'!$A$191:$I$211,3,0))</f>
        <v>9</v>
      </c>
      <c r="ER117" s="15">
        <f>IF(ISNA(VLOOKUP(A117,'Données projet'!$A$191:$I$211,4,0)),0,VLOOKUP(A117,'Données projet'!$A$191:$I$211,4,0))</f>
        <v>56.07</v>
      </c>
      <c r="ES117" s="16">
        <f>IF(ISNA(VLOOKUP(A117,'Données projet'!$A$191:$I$211,5,0)),0%,VLOOKUP(A117,'Données projet'!$A$191:$I$211,5,0)*VLOOKUP('Données projet'!$B$15,Paramètres!$A$1:$I$89,7,0))</f>
        <v>0.25800000000000001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73.486722961081398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73.486722961081398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5.6843418860808015E-14</v>
      </c>
      <c r="FF117" s="17">
        <f>FE117*VLOOKUP('Données projet'!$B$16,Paramètres!$A$1:$I$89,3,0)*VLOOKUP('Données projet'!$B$16,Paramètres!$A$1:$I$89,5,0)</f>
        <v>4.4337866711430253E-14</v>
      </c>
      <c r="FG117" s="13">
        <f t="shared" si="101"/>
        <v>7.3222115536967035E-13</v>
      </c>
      <c r="FH117" s="20">
        <f t="shared" si="76"/>
        <v>1.3525069634579169E-12</v>
      </c>
      <c r="FI117" s="59">
        <f t="shared" si="77"/>
        <v>285.10450725624037</v>
      </c>
      <c r="FJ117" s="59">
        <f ca="1">AVERAGE(OFFSET($FI$3,0,0,'Données projet'!$E$16+1,1))-AVERAGE(OFFSET($H$3,0,0,'Données projet'!$E$16+1,1))</f>
        <v>302.04287561738482</v>
      </c>
      <c r="FK117" s="59">
        <f t="shared" si="102"/>
        <v>296.09828774694802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42.327906626082992</v>
      </c>
      <c r="FR117" s="21">
        <f>EXP(-LN(2)/25)*FR116+(1-EXP(-LN(2)/25))/(LN(2)/25)*Calculateur!FM117*Calculateur!FO117*VLOOKUP('Données projet'!$B$16,Paramètres!$A$1:$I$89,3,0)*0.475*44/12</f>
        <v>14.618378434404235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56.946285060487227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7.3920000000000012</v>
      </c>
      <c r="FZ117" s="12">
        <f>IF('Données projet'!$A$244&gt;35,FZ116+FY117-GH116,IF(A117&lt;'Données projet'!$A$244,$FW$205^A117,IF(A117='Données projet'!$A$244,'Données projet'!$B$244,FZ116+FY117-GH116)))</f>
        <v>285.65199999999999</v>
      </c>
      <c r="GA117" s="17">
        <f>FZ117*VLOOKUP('Données projet'!$B$17,Paramètres!$A$1:$I$89,3,0)*VLOOKUP('Données projet'!$B$17,Paramètres!$A$1:$I$89,5,0)</f>
        <v>240.63324480000003</v>
      </c>
      <c r="GB117" s="13">
        <f t="shared" si="103"/>
        <v>58.575755284088402</v>
      </c>
      <c r="GC117" s="20">
        <f t="shared" si="79"/>
        <v>521.12234181312056</v>
      </c>
      <c r="GD117" s="59">
        <f t="shared" si="80"/>
        <v>806.22684906935956</v>
      </c>
      <c r="GE117" s="59">
        <f ca="1">AVERAGE(OFFSET($GD$3,0,0,'Données projet'!$E$17+1,1))-AVERAGE(OFFSET($H$3,0,0,'Données projet'!$E$17+1,1))</f>
        <v>385.41819366740276</v>
      </c>
      <c r="GF117" s="59">
        <f t="shared" si="104"/>
        <v>262.4625391252718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52.678288394702882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52.678288394702882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67.755774706246996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3.3000000000000003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12.100000000000001</v>
      </c>
      <c r="H118" s="67">
        <f t="shared" si="56"/>
        <v>208.26666666666665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7.9920000000000018</v>
      </c>
      <c r="N118" s="13">
        <f>IF('Données projet'!$A$36&gt;35,N117+M118-V117,IF(A118&lt;'Données projet'!$A$36,$K$205^A118,IF(A118='Données projet'!$A$36,'Données projet'!$B$36,N117+M118-V117)))</f>
        <v>336.49200000000053</v>
      </c>
      <c r="O118" s="13">
        <f>N118*VLOOKUP('Données projet'!$B$9,Paramètres!$A$1:$I$89,3,0)*VLOOKUP('Données projet'!$B$9,Paramètres!$A$1:$I$89,5,0)</f>
        <v>304.45796160000049</v>
      </c>
      <c r="P118" s="13">
        <f t="shared" si="87"/>
        <v>72.11021964481435</v>
      </c>
      <c r="Q118" s="20">
        <f t="shared" si="107"/>
        <v>655.85624900138566</v>
      </c>
      <c r="R118" s="59">
        <f t="shared" si="55"/>
        <v>941.10350799316325</v>
      </c>
      <c r="S118" s="59">
        <f ca="1">AVERAGE(OFFSET($R$3,0,0,'Données projet'!$E$9+1,1))-AVERAGE(OFFSET($H$3,0,0,'Données projet'!$E$9+1,1))</f>
        <v>612.09138396952153</v>
      </c>
      <c r="T118" s="59">
        <f t="shared" si="88"/>
        <v>282.284310393542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60.560147862098624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60.560147862098624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341.2028880000006</v>
      </c>
      <c r="AK118" s="13">
        <f t="shared" si="89"/>
        <v>79.748419593074587</v>
      </c>
      <c r="AL118" s="20">
        <f t="shared" si="58"/>
        <v>733.15686072460585</v>
      </c>
      <c r="AM118" s="59">
        <f t="shared" si="59"/>
        <v>1018.4041197163833</v>
      </c>
      <c r="AN118" s="59">
        <f ca="1">AVERAGE(OFFSET($AM$3,0,0,'Données projet'!$E$10+1,1))-AVERAGE(OFFSET($H$3,0,0,'Données projet'!$E$10+1,1))</f>
        <v>676.7112666359476</v>
      </c>
      <c r="AO118" s="59">
        <f t="shared" si="90"/>
        <v>309.67876644201385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67.869131224765709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67.869131224765709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335.95361280000054</v>
      </c>
      <c r="BF118" s="13">
        <f t="shared" si="91"/>
        <v>78.663355567707626</v>
      </c>
      <c r="BG118" s="20">
        <f t="shared" si="61"/>
        <v>722.12455324042503</v>
      </c>
      <c r="BH118" s="59">
        <f t="shared" si="62"/>
        <v>1007.3718122322025</v>
      </c>
      <c r="BI118" s="59">
        <f ca="1">AVERAGE(OFFSET($BH$3,0,0,'Données projet'!$E$11+1,1))-AVERAGE(OFFSET($H$3,0,0,'Données projet'!$E$11+1,1))</f>
        <v>667.4887768032404</v>
      </c>
      <c r="BJ118" s="59">
        <f t="shared" si="92"/>
        <v>305.76944302827178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66.824990744384706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66.824990744384706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320.20578720000049</v>
      </c>
      <c r="CA118" s="13">
        <f t="shared" si="93"/>
        <v>75.396170089707468</v>
      </c>
      <c r="CB118" s="20">
        <f t="shared" si="64"/>
        <v>689.00674227957461</v>
      </c>
      <c r="CC118" s="59">
        <f t="shared" si="65"/>
        <v>974.25400127135208</v>
      </c>
      <c r="CD118" s="59">
        <f ca="1">AVERAGE(OFFSET($CC$3,0,0,'Données projet'!$E$12+1,1))-AVERAGE(OFFSET($H$3,0,0,'Données projet'!$E$12+1,1))</f>
        <v>639.80378676828764</v>
      </c>
      <c r="CE118" s="59">
        <f t="shared" si="94"/>
        <v>294.03328334345281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63.692569303241655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63.692569303241655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-1.7053025658242404E-13</v>
      </c>
      <c r="CU118" s="17">
        <f>CT118*VLOOKUP('Données projet'!$B$13,Paramètres!$A$1:$I$89,3,0)*VLOOKUP('Données projet'!$B$13,Paramètres!$A$1:$I$89,5,0)</f>
        <v>-1.4897523215040567E-13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340.64710509454375</v>
      </c>
      <c r="CZ118" s="59">
        <f t="shared" si="96"/>
        <v>329.6409514360613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48.786652305155933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48.786652305155933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7.9920000000000018</v>
      </c>
      <c r="DO118" s="12">
        <f>IF('Données projet'!$A$166&gt;35,DO117+DN118-DW117,IF(A118&lt;'Données projet'!$A$166,$DL$205^A118,IF(A118='Données projet'!$A$166,'Données projet'!$B$166,DO117+DN118-DW117)))</f>
        <v>336.49200000000053</v>
      </c>
      <c r="DP118" s="17">
        <f>DO118*VLOOKUP('Données projet'!$B$14,Paramètres!$A$1:$I$89,3,0)*VLOOKUP('Données projet'!$B$14,Paramètres!$A$1:$I$89,5,0)</f>
        <v>325.45506240000054</v>
      </c>
      <c r="DQ118" s="13">
        <f t="shared" si="97"/>
        <v>76.487266454284907</v>
      </c>
      <c r="DR118" s="20">
        <f t="shared" si="70"/>
        <v>700.04955608788043</v>
      </c>
      <c r="DS118" s="59">
        <f t="shared" si="71"/>
        <v>985.29681507965802</v>
      </c>
      <c r="DT118" s="59">
        <f ca="1">AVERAGE(OFFSET($DS$3,0,0,'Données projet'!$E$14+1,1))-AVERAGE(OFFSET($H$3,0,0,'Données projet'!$E$14+1,1))</f>
        <v>649.03508893149228</v>
      </c>
      <c r="DU118" s="59">
        <f t="shared" si="98"/>
        <v>297.94672581383213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64.736709783622672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64.736709783622672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7.9920000000000018</v>
      </c>
      <c r="EJ118" s="12">
        <f>IF('Données projet'!$A$192&gt;35,EJ117+EI118-ER117,IF(A118&lt;'Données projet'!$A$192,$EG$205^A118,IF(A118='Données projet'!$A$192,'Données projet'!$B$192,EJ117+EI118-ER117)))</f>
        <v>336.49200000000053</v>
      </c>
      <c r="EK118" s="17">
        <f>EJ118*VLOOKUP('Données projet'!$B$15,Paramètres!$A$1:$I$89,3,0)*VLOOKUP('Données projet'!$B$15,Paramètres!$A$1:$I$89,5,0)</f>
        <v>362.19998880000054</v>
      </c>
      <c r="EL118" s="13">
        <f t="shared" si="99"/>
        <v>84.069584282360367</v>
      </c>
      <c r="EM118" s="20">
        <f t="shared" si="73"/>
        <v>777.25283978511197</v>
      </c>
      <c r="EN118" s="59">
        <f t="shared" si="74"/>
        <v>1062.5000987768894</v>
      </c>
      <c r="EO118" s="59">
        <f ca="1">AVERAGE(OFFSET($EN$3,0,0,'Données projet'!$E$15+1,1))-AVERAGE(OFFSET($H$3,0,0,'Données projet'!$E$15+1,1))</f>
        <v>713.57333631602273</v>
      </c>
      <c r="EP118" s="59">
        <f t="shared" si="100"/>
        <v>325.30302392555359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72.04569314628975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72.04569314628975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5.6843418860808015E-14</v>
      </c>
      <c r="FF118" s="17">
        <f>FE118*VLOOKUP('Données projet'!$B$16,Paramètres!$A$1:$I$89,3,0)*VLOOKUP('Données projet'!$B$16,Paramètres!$A$1:$I$89,5,0)</f>
        <v>4.4337866711430253E-14</v>
      </c>
      <c r="FG118" s="13">
        <f t="shared" si="101"/>
        <v>7.3222115536967035E-13</v>
      </c>
      <c r="FH118" s="20">
        <f t="shared" si="76"/>
        <v>1.3525069634579169E-12</v>
      </c>
      <c r="FI118" s="59">
        <f t="shared" si="77"/>
        <v>285.24725899177889</v>
      </c>
      <c r="FJ118" s="59">
        <f ca="1">AVERAGE(OFFSET($FI$3,0,0,'Données projet'!$E$16+1,1))-AVERAGE(OFFSET($H$3,0,0,'Données projet'!$E$16+1,1))</f>
        <v>302.04287561738482</v>
      </c>
      <c r="FK118" s="59">
        <f t="shared" si="102"/>
        <v>296.09828774694802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41.49788219461928</v>
      </c>
      <c r="FR118" s="21">
        <f>EXP(-LN(2)/25)*FR117+(1-EXP(-LN(2)/25))/(LN(2)/25)*Calculateur!FM118*Calculateur!FO118*VLOOKUP('Données projet'!$B$16,Paramètres!$A$1:$I$89,3,0)*0.475*44/12</f>
        <v>14.21863810736834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55.716520301987622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7.3920000000000012</v>
      </c>
      <c r="FZ118" s="12">
        <f>IF('Données projet'!$A$244&gt;35,FZ117+FY118-GH117,IF(A118&lt;'Données projet'!$A$244,$FW$205^A118,IF(A118='Données projet'!$A$244,'Données projet'!$B$244,FZ117+FY118-GH117)))</f>
        <v>293.04399999999998</v>
      </c>
      <c r="GA118" s="17">
        <f>FZ118*VLOOKUP('Données projet'!$B$17,Paramètres!$A$1:$I$89,3,0)*VLOOKUP('Données projet'!$B$17,Paramètres!$A$1:$I$89,5,0)</f>
        <v>246.86026560000002</v>
      </c>
      <c r="GB118" s="13">
        <f t="shared" si="103"/>
        <v>59.913120249542224</v>
      </c>
      <c r="GC118" s="20">
        <f t="shared" si="79"/>
        <v>534.29698035461945</v>
      </c>
      <c r="GD118" s="59">
        <f t="shared" si="80"/>
        <v>819.54423934639703</v>
      </c>
      <c r="GE118" s="59">
        <f ca="1">AVERAGE(OFFSET($GD$3,0,0,'Données projet'!$E$17+1,1))-AVERAGE(OFFSET($H$3,0,0,'Données projet'!$E$17+1,1))</f>
        <v>385.41819366740276</v>
      </c>
      <c r="GF118" s="59">
        <f t="shared" si="104"/>
        <v>262.4625391252718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51.645299289866045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51.645299289866045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67.794706997757501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3.3000000000000003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12.100000000000001</v>
      </c>
      <c r="H119" s="67">
        <f t="shared" si="56"/>
        <v>208.26666666666665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7.9920000000000018</v>
      </c>
      <c r="N119" s="13">
        <f>IF('Données projet'!$A$36&gt;35,N118+M119-V118,IF(A119&lt;'Données projet'!$A$36,$K$205^A119,IF(A119='Données projet'!$A$36,'Données projet'!$B$36,N118+M119-V118)))</f>
        <v>344.48400000000055</v>
      </c>
      <c r="O119" s="13">
        <f>N119*VLOOKUP('Données projet'!$B$9,Paramètres!$A$1:$I$89,3,0)*VLOOKUP('Données projet'!$B$9,Paramètres!$A$1:$I$89,5,0)</f>
        <v>311.68912320000049</v>
      </c>
      <c r="P119" s="13">
        <f t="shared" si="87"/>
        <v>73.621474685301479</v>
      </c>
      <c r="Q119" s="20">
        <f t="shared" si="107"/>
        <v>671.08262465023415</v>
      </c>
      <c r="R119" s="59">
        <f t="shared" si="55"/>
        <v>956.47015895408367</v>
      </c>
      <c r="S119" s="59">
        <f ca="1">AVERAGE(OFFSET($R$3,0,0,'Données projet'!$E$9+1,1))-AVERAGE(OFFSET($H$3,0,0,'Données projet'!$E$9+1,1))</f>
        <v>612.09138396952153</v>
      </c>
      <c r="T119" s="59">
        <f t="shared" si="88"/>
        <v>282.284310393542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59.372600300565736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59.372600300565736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349.30677600000058</v>
      </c>
      <c r="AK119" s="13">
        <f t="shared" si="89"/>
        <v>81.419752750490431</v>
      </c>
      <c r="AL119" s="20">
        <f t="shared" si="58"/>
        <v>750.18203757377194</v>
      </c>
      <c r="AM119" s="59">
        <f t="shared" si="59"/>
        <v>1035.5695718776215</v>
      </c>
      <c r="AN119" s="59">
        <f ca="1">AVERAGE(OFFSET($AM$3,0,0,'Données projet'!$E$10+1,1))-AVERAGE(OFFSET($H$3,0,0,'Données projet'!$E$10+1,1))</f>
        <v>676.7112666359476</v>
      </c>
      <c r="AO119" s="59">
        <f t="shared" si="90"/>
        <v>309.67876644201385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66.538258957530573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66.538258957530573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343.93282560000057</v>
      </c>
      <c r="BF119" s="13">
        <f t="shared" si="91"/>
        <v>80.311948418885819</v>
      </c>
      <c r="BG119" s="20">
        <f t="shared" si="61"/>
        <v>738.89298141622714</v>
      </c>
      <c r="BH119" s="59">
        <f t="shared" si="62"/>
        <v>1024.2805157200767</v>
      </c>
      <c r="BI119" s="59">
        <f ca="1">AVERAGE(OFFSET($BH$3,0,0,'Données projet'!$E$11+1,1))-AVERAGE(OFFSET($H$3,0,0,'Données projet'!$E$11+1,1))</f>
        <v>667.4887768032404</v>
      </c>
      <c r="BJ119" s="59">
        <f t="shared" si="92"/>
        <v>305.76944302827178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65.514593435107031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65.514593435107031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327.81097440000053</v>
      </c>
      <c r="CA119" s="13">
        <f t="shared" si="93"/>
        <v>76.976290669602136</v>
      </c>
      <c r="CB119" s="20">
        <f t="shared" si="64"/>
        <v>705.00448666289128</v>
      </c>
      <c r="CC119" s="59">
        <f t="shared" si="65"/>
        <v>990.3920209667408</v>
      </c>
      <c r="CD119" s="59">
        <f ca="1">AVERAGE(OFFSET($CC$3,0,0,'Données projet'!$E$12+1,1))-AVERAGE(OFFSET($H$3,0,0,'Données projet'!$E$12+1,1))</f>
        <v>639.80378676828764</v>
      </c>
      <c r="CE119" s="59">
        <f t="shared" si="94"/>
        <v>294.03328334345281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62.443596867836376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62.443596867836376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-1.7053025658242404E-13</v>
      </c>
      <c r="CU119" s="17">
        <f>CT119*VLOOKUP('Données projet'!$B$13,Paramètres!$A$1:$I$89,3,0)*VLOOKUP('Données projet'!$B$13,Paramètres!$A$1:$I$89,5,0)</f>
        <v>-1.4897523215040567E-13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340.64710509454375</v>
      </c>
      <c r="CZ119" s="59">
        <f t="shared" si="96"/>
        <v>329.6409514360613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47.829975810371479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47.829975810371479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7.9920000000000018</v>
      </c>
      <c r="DO119" s="12">
        <f>IF('Données projet'!$A$166&gt;35,DO118+DN119-DW118,IF(A119&lt;'Données projet'!$A$166,$DL$205^A119,IF(A119='Données projet'!$A$166,'Données projet'!$B$166,DO118+DN119-DW118)))</f>
        <v>344.48400000000055</v>
      </c>
      <c r="DP119" s="17">
        <f>DO119*VLOOKUP('Données projet'!$B$14,Paramètres!$A$1:$I$89,3,0)*VLOOKUP('Données projet'!$B$14,Paramètres!$A$1:$I$89,5,0)</f>
        <v>333.18492480000054</v>
      </c>
      <c r="DQ119" s="13">
        <f t="shared" si="97"/>
        <v>78.090253763593893</v>
      </c>
      <c r="DR119" s="20">
        <f t="shared" si="70"/>
        <v>716.30426933159345</v>
      </c>
      <c r="DS119" s="59">
        <f t="shared" si="71"/>
        <v>1001.691803635443</v>
      </c>
      <c r="DT119" s="59">
        <f ca="1">AVERAGE(OFFSET($DS$3,0,0,'Données projet'!$E$14+1,1))-AVERAGE(OFFSET($H$3,0,0,'Données projet'!$E$14+1,1))</f>
        <v>649.03508893149228</v>
      </c>
      <c r="DU119" s="59">
        <f t="shared" si="98"/>
        <v>297.94672581383213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63.467262390259933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63.467262390259933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7.9920000000000018</v>
      </c>
      <c r="EJ119" s="12">
        <f>IF('Données projet'!$A$192&gt;35,EJ118+EI119-ER118,IF(A119&lt;'Données projet'!$A$192,$EG$205^A119,IF(A119='Données projet'!$A$192,'Données projet'!$B$192,EJ118+EI119-ER118)))</f>
        <v>344.48400000000055</v>
      </c>
      <c r="EK119" s="17">
        <f>EJ119*VLOOKUP('Données projet'!$B$15,Paramètres!$A$1:$I$89,3,0)*VLOOKUP('Données projet'!$B$15,Paramètres!$A$1:$I$89,5,0)</f>
        <v>370.80257760000057</v>
      </c>
      <c r="EL119" s="13">
        <f t="shared" si="99"/>
        <v>85.831478555102493</v>
      </c>
      <c r="EM119" s="20">
        <f t="shared" si="73"/>
        <v>795.3043144701378</v>
      </c>
      <c r="EN119" s="59">
        <f t="shared" si="74"/>
        <v>1080.6918487739872</v>
      </c>
      <c r="EO119" s="59">
        <f ca="1">AVERAGE(OFFSET($EN$3,0,0,'Données projet'!$E$15+1,1))-AVERAGE(OFFSET($H$3,0,0,'Données projet'!$E$15+1,1))</f>
        <v>713.57333631602273</v>
      </c>
      <c r="EP119" s="59">
        <f t="shared" si="100"/>
        <v>325.30302392555359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70.632921047224769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70.632921047224769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5.6843418860808015E-14</v>
      </c>
      <c r="FF119" s="17">
        <f>FE119*VLOOKUP('Données projet'!$B$16,Paramètres!$A$1:$I$89,3,0)*VLOOKUP('Données projet'!$B$16,Paramètres!$A$1:$I$89,5,0)</f>
        <v>4.4337866711430253E-14</v>
      </c>
      <c r="FG119" s="13">
        <f t="shared" si="101"/>
        <v>7.3222115536967035E-13</v>
      </c>
      <c r="FH119" s="20">
        <f t="shared" si="76"/>
        <v>1.3525069634579169E-12</v>
      </c>
      <c r="FI119" s="59">
        <f t="shared" si="77"/>
        <v>285.38753430385088</v>
      </c>
      <c r="FJ119" s="59">
        <f ca="1">AVERAGE(OFFSET($FI$3,0,0,'Données projet'!$E$16+1,1))-AVERAGE(OFFSET($H$3,0,0,'Données projet'!$E$16+1,1))</f>
        <v>302.04287561738482</v>
      </c>
      <c r="FK119" s="59">
        <f t="shared" si="102"/>
        <v>296.09828774694802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40.684134035991661</v>
      </c>
      <c r="FR119" s="21">
        <f>EXP(-LN(2)/25)*FR118+(1-EXP(-LN(2)/25))/(LN(2)/25)*Calculateur!FM119*Calculateur!FO119*VLOOKUP('Données projet'!$B$16,Paramètres!$A$1:$I$89,3,0)*0.475*44/12</f>
        <v>13.829828700596671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54.513962736588333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7.3920000000000012</v>
      </c>
      <c r="FZ119" s="12">
        <f>IF('Données projet'!$A$244&gt;35,FZ118+FY119-GH118,IF(A119&lt;'Données projet'!$A$244,$FW$205^A119,IF(A119='Données projet'!$A$244,'Données projet'!$B$244,FZ118+FY119-GH118)))</f>
        <v>300.43599999999998</v>
      </c>
      <c r="GA119" s="17">
        <f>FZ119*VLOOKUP('Données projet'!$B$17,Paramètres!$A$1:$I$89,3,0)*VLOOKUP('Données projet'!$B$17,Paramètres!$A$1:$I$89,5,0)</f>
        <v>253.08728640000004</v>
      </c>
      <c r="GB119" s="13">
        <f t="shared" si="103"/>
        <v>61.246563795569969</v>
      </c>
      <c r="GC119" s="20">
        <f t="shared" si="79"/>
        <v>547.46478909061773</v>
      </c>
      <c r="GD119" s="59">
        <f t="shared" si="80"/>
        <v>832.85232339446725</v>
      </c>
      <c r="GE119" s="59">
        <f ca="1">AVERAGE(OFFSET($GD$3,0,0,'Données projet'!$E$17+1,1))-AVERAGE(OFFSET($H$3,0,0,'Données projet'!$E$17+1,1))</f>
        <v>385.41819366740276</v>
      </c>
      <c r="GF119" s="59">
        <f t="shared" si="104"/>
        <v>262.4625391252718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50.632566471313922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50.632566471313922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67.832963901049865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3.3000000000000003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12.100000000000001</v>
      </c>
      <c r="H120" s="67">
        <f t="shared" si="56"/>
        <v>208.26666666666665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7.9920000000000018</v>
      </c>
      <c r="N120" s="13">
        <f>IF('Données projet'!$A$36&gt;35,N119+M120-V119,IF(A120&lt;'Données projet'!$A$36,$K$205^A120,IF(A120='Données projet'!$A$36,'Données projet'!$B$36,N119+M120-V119)))</f>
        <v>352.47600000000057</v>
      </c>
      <c r="O120" s="13">
        <f>N120*VLOOKUP('Données projet'!$B$9,Paramètres!$A$1:$I$89,3,0)*VLOOKUP('Données projet'!$B$9,Paramètres!$A$1:$I$89,5,0)</f>
        <v>318.9202848000005</v>
      </c>
      <c r="P120" s="13">
        <f t="shared" si="87"/>
        <v>75.128653745521831</v>
      </c>
      <c r="Q120" s="20">
        <f t="shared" si="107"/>
        <v>686.30190130011806</v>
      </c>
      <c r="R120" s="59">
        <f t="shared" si="55"/>
        <v>971.82727745298371</v>
      </c>
      <c r="S120" s="59">
        <f ca="1">AVERAGE(OFFSET($R$3,0,0,'Données projet'!$E$9+1,1))-AVERAGE(OFFSET($H$3,0,0,'Données projet'!$E$9+1,1))</f>
        <v>612.09138396952153</v>
      </c>
      <c r="T120" s="59">
        <f t="shared" si="88"/>
        <v>282.284310393542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58.208339822382015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58.208339822382015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357.41066400000057</v>
      </c>
      <c r="AK120" s="13">
        <f t="shared" si="89"/>
        <v>83.086578183672941</v>
      </c>
      <c r="AL120" s="20">
        <f t="shared" si="58"/>
        <v>767.199363469898</v>
      </c>
      <c r="AM120" s="59">
        <f t="shared" si="59"/>
        <v>1052.7247396227638</v>
      </c>
      <c r="AN120" s="59">
        <f ca="1">AVERAGE(OFFSET($AM$3,0,0,'Données projet'!$E$10+1,1))-AVERAGE(OFFSET($H$3,0,0,'Données projet'!$E$10+1,1))</f>
        <v>676.7112666359476</v>
      </c>
      <c r="AO120" s="59">
        <f t="shared" si="90"/>
        <v>309.67876644201385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65.233484283703987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65.233484283703987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351.9120384000006</v>
      </c>
      <c r="BF120" s="13">
        <f t="shared" si="91"/>
        <v>81.956094878323867</v>
      </c>
      <c r="BG120" s="20">
        <f t="shared" si="61"/>
        <v>755.65366545974848</v>
      </c>
      <c r="BH120" s="59">
        <f t="shared" si="62"/>
        <v>1041.1790416126141</v>
      </c>
      <c r="BI120" s="59">
        <f ca="1">AVERAGE(OFFSET($BH$3,0,0,'Données projet'!$E$11+1,1))-AVERAGE(OFFSET($H$3,0,0,'Données projet'!$E$11+1,1))</f>
        <v>667.4887768032404</v>
      </c>
      <c r="BJ120" s="59">
        <f t="shared" si="92"/>
        <v>305.76944302827178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64.229892217800852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64.229892217800852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335.41616160000052</v>
      </c>
      <c r="CA120" s="13">
        <f t="shared" si="93"/>
        <v>78.552149533154918</v>
      </c>
      <c r="CB120" s="20">
        <f t="shared" si="64"/>
        <v>720.99480855691252</v>
      </c>
      <c r="CC120" s="59">
        <f t="shared" si="65"/>
        <v>1006.5201847097783</v>
      </c>
      <c r="CD120" s="59">
        <f ca="1">AVERAGE(OFFSET($CC$3,0,0,'Données projet'!$E$12+1,1))-AVERAGE(OFFSET($H$3,0,0,'Données projet'!$E$12+1,1))</f>
        <v>639.80378676828764</v>
      </c>
      <c r="CE120" s="59">
        <f t="shared" si="94"/>
        <v>294.03328334345281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61.219116020091434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61.219116020091434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-1.7053025658242404E-13</v>
      </c>
      <c r="CU120" s="17">
        <f>CT120*VLOOKUP('Données projet'!$B$13,Paramètres!$A$1:$I$89,3,0)*VLOOKUP('Données projet'!$B$13,Paramètres!$A$1:$I$89,5,0)</f>
        <v>-1.4897523215040567E-13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340.64710509454375</v>
      </c>
      <c r="CZ120" s="59">
        <f t="shared" si="96"/>
        <v>329.6409514360613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46.892059158134707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46.892059158134707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7.9920000000000018</v>
      </c>
      <c r="DO120" s="12">
        <f>IF('Données projet'!$A$166&gt;35,DO119+DN120-DW119,IF(A120&lt;'Données projet'!$A$166,$DL$205^A120,IF(A120='Données projet'!$A$166,'Données projet'!$B$166,DO119+DN120-DW119)))</f>
        <v>352.47600000000057</v>
      </c>
      <c r="DP120" s="17">
        <f>DO120*VLOOKUP('Données projet'!$B$14,Paramètres!$A$1:$I$89,3,0)*VLOOKUP('Données projet'!$B$14,Paramètres!$A$1:$I$89,5,0)</f>
        <v>340.91478720000055</v>
      </c>
      <c r="DQ120" s="13">
        <f t="shared" si="97"/>
        <v>79.68891768309399</v>
      </c>
      <c r="DR120" s="20">
        <f t="shared" si="70"/>
        <v>732.55145267138971</v>
      </c>
      <c r="DS120" s="59">
        <f t="shared" si="71"/>
        <v>1018.0768288242555</v>
      </c>
      <c r="DT120" s="59">
        <f ca="1">AVERAGE(OFFSET($DS$3,0,0,'Données projet'!$E$14+1,1))-AVERAGE(OFFSET($H$3,0,0,'Données projet'!$E$14+1,1))</f>
        <v>649.03508893149228</v>
      </c>
      <c r="DU120" s="59">
        <f t="shared" si="98"/>
        <v>297.94672581383213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62.222708085994576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62.222708085994576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7.9920000000000018</v>
      </c>
      <c r="EJ120" s="12">
        <f>IF('Données projet'!$A$192&gt;35,EJ119+EI120-ER119,IF(A120&lt;'Données projet'!$A$192,$EG$205^A120,IF(A120='Données projet'!$A$192,'Données projet'!$B$192,EJ119+EI120-ER119)))</f>
        <v>352.47600000000057</v>
      </c>
      <c r="EK120" s="17">
        <f>EJ120*VLOOKUP('Données projet'!$B$15,Paramètres!$A$1:$I$89,3,0)*VLOOKUP('Données projet'!$B$15,Paramètres!$A$1:$I$89,5,0)</f>
        <v>379.40516640000061</v>
      </c>
      <c r="EL120" s="13">
        <f t="shared" si="99"/>
        <v>87.588620852767377</v>
      </c>
      <c r="EM120" s="20">
        <f t="shared" si="73"/>
        <v>813.34751279857085</v>
      </c>
      <c r="EN120" s="59">
        <f t="shared" si="74"/>
        <v>1098.8728889514366</v>
      </c>
      <c r="EO120" s="59">
        <f ca="1">AVERAGE(OFFSET($EN$3,0,0,'Données projet'!$E$15+1,1))-AVERAGE(OFFSET($H$3,0,0,'Données projet'!$E$15+1,1))</f>
        <v>713.57333631602273</v>
      </c>
      <c r="EP120" s="59">
        <f t="shared" si="100"/>
        <v>325.30302392555359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69.247852547316555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69.247852547316555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5.6843418860808015E-14</v>
      </c>
      <c r="FF120" s="17">
        <f>FE120*VLOOKUP('Données projet'!$B$16,Paramètres!$A$1:$I$89,3,0)*VLOOKUP('Données projet'!$B$16,Paramètres!$A$1:$I$89,5,0)</f>
        <v>4.4337866711430253E-14</v>
      </c>
      <c r="FG120" s="13">
        <f t="shared" si="101"/>
        <v>7.3222115536967035E-13</v>
      </c>
      <c r="FH120" s="20">
        <f t="shared" si="76"/>
        <v>1.3525069634579169E-12</v>
      </c>
      <c r="FI120" s="59">
        <f t="shared" si="77"/>
        <v>285.52537615286707</v>
      </c>
      <c r="FJ120" s="59">
        <f ca="1">AVERAGE(OFFSET($FI$3,0,0,'Données projet'!$E$16+1,1))-AVERAGE(OFFSET($H$3,0,0,'Données projet'!$E$16+1,1))</f>
        <v>302.04287561738482</v>
      </c>
      <c r="FK120" s="59">
        <f t="shared" si="102"/>
        <v>296.09828774694802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39.886342982417361</v>
      </c>
      <c r="FR120" s="21">
        <f>EXP(-LN(2)/25)*FR119+(1-EXP(-LN(2)/25))/(LN(2)/25)*Calculateur!FM120*Calculateur!FO120*VLOOKUP('Données projet'!$B$16,Paramètres!$A$1:$I$89,3,0)*0.475*44/12</f>
        <v>13.451651307499773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53.337994289917134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7.3920000000000012</v>
      </c>
      <c r="FZ120" s="12">
        <f>IF('Données projet'!$A$244&gt;35,FZ119+FY120-GH119,IF(A120&lt;'Données projet'!$A$244,$FW$205^A120,IF(A120='Données projet'!$A$244,'Données projet'!$B$244,FZ119+FY120-GH119)))</f>
        <v>307.82799999999997</v>
      </c>
      <c r="GA120" s="17">
        <f>FZ120*VLOOKUP('Données projet'!$B$17,Paramètres!$A$1:$I$89,3,0)*VLOOKUP('Données projet'!$B$17,Paramètres!$A$1:$I$89,5,0)</f>
        <v>259.31430719999997</v>
      </c>
      <c r="GB120" s="13">
        <f t="shared" si="103"/>
        <v>62.57619350426765</v>
      </c>
      <c r="GC120" s="20">
        <f t="shared" si="79"/>
        <v>560.62595539326617</v>
      </c>
      <c r="GD120" s="59">
        <f t="shared" si="80"/>
        <v>846.15133154613181</v>
      </c>
      <c r="GE120" s="59">
        <f ca="1">AVERAGE(OFFSET($GD$3,0,0,'Données projet'!$E$17+1,1))-AVERAGE(OFFSET($H$3,0,0,'Données projet'!$E$17+1,1))</f>
        <v>385.41819366740276</v>
      </c>
      <c r="GF120" s="59">
        <f t="shared" si="104"/>
        <v>262.4625391252718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49.639692725627576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49.639692725627576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67.870557132599743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3.3000000000000003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12.100000000000001</v>
      </c>
      <c r="H121" s="67">
        <f t="shared" si="56"/>
        <v>208.26666666666665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7.9920000000000018</v>
      </c>
      <c r="N121" s="13">
        <f>IF('Données projet'!$A$36&gt;35,N120+M121-V120,IF(A121&lt;'Données projet'!$A$36,$K$205^A121,IF(A121='Données projet'!$A$36,'Données projet'!$B$36,N120+M121-V120)))</f>
        <v>360.46800000000059</v>
      </c>
      <c r="O121" s="13">
        <f>N121*VLOOKUP('Données projet'!$B$9,Paramètres!$A$1:$I$89,3,0)*VLOOKUP('Données projet'!$B$9,Paramètres!$A$1:$I$89,5,0)</f>
        <v>326.15144640000051</v>
      </c>
      <c r="P121" s="13">
        <f t="shared" si="87"/>
        <v>76.631859883081802</v>
      </c>
      <c r="Q121" s="20">
        <f t="shared" si="107"/>
        <v>701.51425844303503</v>
      </c>
      <c r="R121" s="59">
        <f t="shared" si="55"/>
        <v>987.17508519700459</v>
      </c>
      <c r="S121" s="59">
        <f ca="1">AVERAGE(OFFSET($R$3,0,0,'Données projet'!$E$9+1,1))-AVERAGE(OFFSET($H$3,0,0,'Données projet'!$E$9+1,1))</f>
        <v>612.09138396952153</v>
      </c>
      <c r="T121" s="59">
        <f t="shared" si="88"/>
        <v>282.284310393542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57.066909782046707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57.066909782046707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365.51455200000061</v>
      </c>
      <c r="AK121" s="13">
        <f t="shared" si="89"/>
        <v>84.749009866498071</v>
      </c>
      <c r="AL121" s="20">
        <f t="shared" si="58"/>
        <v>784.20903691748515</v>
      </c>
      <c r="AM121" s="59">
        <f t="shared" si="59"/>
        <v>1069.8698636714548</v>
      </c>
      <c r="AN121" s="59">
        <f ca="1">AVERAGE(OFFSET($AM$3,0,0,'Données projet'!$E$10+1,1))-AVERAGE(OFFSET($H$3,0,0,'Données projet'!$E$10+1,1))</f>
        <v>676.7112666359476</v>
      </c>
      <c r="AO121" s="59">
        <f t="shared" si="90"/>
        <v>309.67876644201385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63.954295445397179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63.954295445397179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359.89125120000062</v>
      </c>
      <c r="BF121" s="13">
        <f t="shared" si="91"/>
        <v>83.595907369159136</v>
      </c>
      <c r="BG121" s="20">
        <f t="shared" si="61"/>
        <v>772.40680117461989</v>
      </c>
      <c r="BH121" s="59">
        <f t="shared" si="62"/>
        <v>1058.0676279285894</v>
      </c>
      <c r="BI121" s="59">
        <f ca="1">AVERAGE(OFFSET($BH$3,0,0,'Données projet'!$E$11+1,1))-AVERAGE(OFFSET($H$3,0,0,'Données projet'!$E$11+1,1))</f>
        <v>667.4887768032404</v>
      </c>
      <c r="BJ121" s="59">
        <f t="shared" si="92"/>
        <v>305.76944302827178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62.970383207775683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62.970383207775683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343.02134880000057</v>
      </c>
      <c r="CA121" s="13">
        <f t="shared" si="93"/>
        <v>80.123854434146992</v>
      </c>
      <c r="CB121" s="20">
        <f t="shared" si="64"/>
        <v>736.97789563280696</v>
      </c>
      <c r="CC121" s="59">
        <f t="shared" si="65"/>
        <v>1022.6387223867766</v>
      </c>
      <c r="CD121" s="59">
        <f ca="1">AVERAGE(OFFSET($CC$3,0,0,'Données projet'!$E$12+1,1))-AVERAGE(OFFSET($H$3,0,0,'Données projet'!$E$12+1,1))</f>
        <v>639.80378676828764</v>
      </c>
      <c r="CE121" s="59">
        <f t="shared" si="94"/>
        <v>294.03328334345281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60.018646494911195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60.018646494911195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-1.7053025658242404E-13</v>
      </c>
      <c r="CU121" s="17">
        <f>CT121*VLOOKUP('Données projet'!$B$13,Paramètres!$A$1:$I$89,3,0)*VLOOKUP('Données projet'!$B$13,Paramètres!$A$1:$I$89,5,0)</f>
        <v>-1.4897523215040567E-13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340.64710509454375</v>
      </c>
      <c r="CZ121" s="59">
        <f t="shared" si="96"/>
        <v>329.6409514360613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45.972534479375625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45.972534479375625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7.9920000000000018</v>
      </c>
      <c r="DO121" s="12">
        <f>IF('Données projet'!$A$166&gt;35,DO120+DN121-DW120,IF(A121&lt;'Données projet'!$A$166,$DL$205^A121,IF(A121='Données projet'!$A$166,'Données projet'!$B$166,DO120+DN121-DW120)))</f>
        <v>360.46800000000059</v>
      </c>
      <c r="DP121" s="17">
        <f>DO121*VLOOKUP('Données projet'!$B$14,Paramètres!$A$1:$I$89,3,0)*VLOOKUP('Données projet'!$B$14,Paramètres!$A$1:$I$89,5,0)</f>
        <v>348.64464960000061</v>
      </c>
      <c r="DQ121" s="13">
        <f t="shared" si="97"/>
        <v>81.283367525926224</v>
      </c>
      <c r="DR121" s="20">
        <f t="shared" si="70"/>
        <v>748.79129649432252</v>
      </c>
      <c r="DS121" s="59">
        <f t="shared" si="71"/>
        <v>1034.4521232482921</v>
      </c>
      <c r="DT121" s="59">
        <f ca="1">AVERAGE(OFFSET($DS$3,0,0,'Données projet'!$E$14+1,1))-AVERAGE(OFFSET($H$3,0,0,'Données projet'!$E$14+1,1))</f>
        <v>649.03508893149228</v>
      </c>
      <c r="DU121" s="59">
        <f t="shared" si="98"/>
        <v>297.94672581383213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61.002558732532698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61.002558732532698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7.9920000000000018</v>
      </c>
      <c r="EJ121" s="12">
        <f>IF('Données projet'!$A$192&gt;35,EJ120+EI121-ER120,IF(A121&lt;'Données projet'!$A$192,$EG$205^A121,IF(A121='Données projet'!$A$192,'Données projet'!$B$192,EJ120+EI121-ER120)))</f>
        <v>360.46800000000059</v>
      </c>
      <c r="EK121" s="17">
        <f>EJ121*VLOOKUP('Données projet'!$B$15,Paramètres!$A$1:$I$89,3,0)*VLOOKUP('Données projet'!$B$15,Paramètres!$A$1:$I$89,5,0)</f>
        <v>388.00775520000059</v>
      </c>
      <c r="EL121" s="13">
        <f t="shared" si="99"/>
        <v>89.341131324900545</v>
      </c>
      <c r="EM121" s="20">
        <f t="shared" si="73"/>
        <v>831.38264403086941</v>
      </c>
      <c r="EN121" s="59">
        <f t="shared" si="74"/>
        <v>1117.043470784839</v>
      </c>
      <c r="EO121" s="59">
        <f ca="1">AVERAGE(OFFSET($EN$3,0,0,'Données projet'!$E$15+1,1))-AVERAGE(OFFSET($H$3,0,0,'Données projet'!$E$15+1,1))</f>
        <v>713.57333631602273</v>
      </c>
      <c r="EP121" s="59">
        <f t="shared" si="100"/>
        <v>325.30302392555359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67.889944395883177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67.889944395883177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5.6843418860808015E-14</v>
      </c>
      <c r="FF121" s="17">
        <f>FE121*VLOOKUP('Données projet'!$B$16,Paramètres!$A$1:$I$89,3,0)*VLOOKUP('Données projet'!$B$16,Paramètres!$A$1:$I$89,5,0)</f>
        <v>4.4337866711430253E-14</v>
      </c>
      <c r="FG121" s="13">
        <f t="shared" si="101"/>
        <v>7.3222115536967035E-13</v>
      </c>
      <c r="FH121" s="20">
        <f t="shared" si="76"/>
        <v>1.3525069634579169E-12</v>
      </c>
      <c r="FI121" s="59">
        <f t="shared" si="77"/>
        <v>285.66082675397098</v>
      </c>
      <c r="FJ121" s="59">
        <f ca="1">AVERAGE(OFFSET($FI$3,0,0,'Données projet'!$E$16+1,1))-AVERAGE(OFFSET($H$3,0,0,'Données projet'!$E$16+1,1))</f>
        <v>302.04287561738482</v>
      </c>
      <c r="FK121" s="59">
        <f t="shared" si="102"/>
        <v>296.09828774694802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39.104196124799159</v>
      </c>
      <c r="FR121" s="21">
        <f>EXP(-LN(2)/25)*FR120+(1-EXP(-LN(2)/25))/(LN(2)/25)*Calculateur!FM121*Calculateur!FO121*VLOOKUP('Données projet'!$B$16,Paramètres!$A$1:$I$89,3,0)*0.475*44/12</f>
        <v>13.083815195104593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52.188011319903751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7.3920000000000012</v>
      </c>
      <c r="FZ121" s="12">
        <f>IF('Données projet'!$A$244&gt;35,FZ120+FY121-GH120,IF(A121&lt;'Données projet'!$A$244,$FW$205^A121,IF(A121='Données projet'!$A$244,'Données projet'!$B$244,FZ120+FY121-GH120)))</f>
        <v>315.21999999999997</v>
      </c>
      <c r="GA121" s="17">
        <f>FZ121*VLOOKUP('Données projet'!$B$17,Paramètres!$A$1:$I$89,3,0)*VLOOKUP('Données projet'!$B$17,Paramètres!$A$1:$I$89,5,0)</f>
        <v>265.54132799999996</v>
      </c>
      <c r="GB121" s="13">
        <f t="shared" si="103"/>
        <v>63.90211149624934</v>
      </c>
      <c r="GC121" s="20">
        <f t="shared" si="79"/>
        <v>573.78065712263424</v>
      </c>
      <c r="GD121" s="59">
        <f t="shared" si="80"/>
        <v>859.4414838766038</v>
      </c>
      <c r="GE121" s="59">
        <f ca="1">AVERAGE(OFFSET($GD$3,0,0,'Données projet'!$E$17+1,1))-AVERAGE(OFFSET($H$3,0,0,'Données projet'!$E$17+1,1))</f>
        <v>385.41819366740276</v>
      </c>
      <c r="GF121" s="59">
        <f t="shared" si="104"/>
        <v>262.4625391252718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48.666288628500958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48.666288628500958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67.907498205628087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3.3000000000000003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12.100000000000001</v>
      </c>
      <c r="H122" s="67">
        <f t="shared" si="56"/>
        <v>208.26666666666665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7.9920000000000018</v>
      </c>
      <c r="N122" s="13">
        <f>IF('Données projet'!$A$36&gt;35,N121+M122-V121,IF(A122&lt;'Données projet'!$A$36,$K$205^A122,IF(A122='Données projet'!$A$36,'Données projet'!$B$36,N121+M122-V121)))</f>
        <v>368.4600000000006</v>
      </c>
      <c r="O122" s="13">
        <f>N122*VLOOKUP('Données projet'!$B$9,Paramètres!$A$1:$I$89,3,0)*VLOOKUP('Données projet'!$B$9,Paramètres!$A$1:$I$89,5,0)</f>
        <v>333.38260800000052</v>
      </c>
      <c r="P122" s="13">
        <f t="shared" si="87"/>
        <v>78.13119132485231</v>
      </c>
      <c r="Q122" s="20">
        <f t="shared" si="107"/>
        <v>716.71986715745197</v>
      </c>
      <c r="R122" s="59">
        <f t="shared" si="55"/>
        <v>1002.5137947474186</v>
      </c>
      <c r="S122" s="59">
        <f ca="1">AVERAGE(OFFSET($R$3,0,0,'Données projet'!$E$9+1,1))-AVERAGE(OFFSET($H$3,0,0,'Données projet'!$E$9+1,1))</f>
        <v>612.09138396952153</v>
      </c>
      <c r="T122" s="59">
        <f t="shared" si="88"/>
        <v>282.284310393542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55.947862488598794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55.947862488598794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373.61844000000065</v>
      </c>
      <c r="AK122" s="13">
        <f t="shared" si="89"/>
        <v>86.407156430415824</v>
      </c>
      <c r="AL122" s="20">
        <f t="shared" si="58"/>
        <v>801.21124711630875</v>
      </c>
      <c r="AM122" s="59">
        <f t="shared" si="59"/>
        <v>1087.0051747062753</v>
      </c>
      <c r="AN122" s="59">
        <f ca="1">AVERAGE(OFFSET($AM$3,0,0,'Données projet'!$E$10+1,1))-AVERAGE(OFFSET($H$3,0,0,'Données projet'!$E$10+1,1))</f>
        <v>676.7112666359476</v>
      </c>
      <c r="AO122" s="59">
        <f t="shared" si="90"/>
        <v>309.67876644201385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62.700190719981414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62.700190719981414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367.87046400000065</v>
      </c>
      <c r="BF122" s="13">
        <f t="shared" si="91"/>
        <v>85.231493044792529</v>
      </c>
      <c r="BG122" s="20">
        <f t="shared" si="61"/>
        <v>789.15257518634792</v>
      </c>
      <c r="BH122" s="59">
        <f t="shared" si="62"/>
        <v>1074.9465027763144</v>
      </c>
      <c r="BI122" s="59">
        <f ca="1">AVERAGE(OFFSET($BH$3,0,0,'Données projet'!$E$11+1,1))-AVERAGE(OFFSET($H$3,0,0,'Données projet'!$E$11+1,1))</f>
        <v>667.4887768032404</v>
      </c>
      <c r="BJ122" s="59">
        <f t="shared" si="92"/>
        <v>305.76944302827178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61.735572401212472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61.735572401212472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350.62653600000056</v>
      </c>
      <c r="CA122" s="13">
        <f t="shared" si="93"/>
        <v>81.691508075494681</v>
      </c>
      <c r="CB122" s="20">
        <f t="shared" si="64"/>
        <v>752.95392676482072</v>
      </c>
      <c r="CC122" s="59">
        <f t="shared" si="65"/>
        <v>1038.7478543547873</v>
      </c>
      <c r="CD122" s="59">
        <f ca="1">AVERAGE(OFFSET($CC$3,0,0,'Données projet'!$E$12+1,1))-AVERAGE(OFFSET($H$3,0,0,'Données projet'!$E$12+1,1))</f>
        <v>639.80378676828764</v>
      </c>
      <c r="CE122" s="59">
        <f t="shared" si="94"/>
        <v>294.03328334345281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58.841717444905633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58.841717444905633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-1.7053025658242404E-13</v>
      </c>
      <c r="CU122" s="17">
        <f>CT122*VLOOKUP('Données projet'!$B$13,Paramètres!$A$1:$I$89,3,0)*VLOOKUP('Données projet'!$B$13,Paramètres!$A$1:$I$89,5,0)</f>
        <v>-1.4897523215040567E-13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340.64710509454375</v>
      </c>
      <c r="CZ122" s="59">
        <f t="shared" si="96"/>
        <v>329.6409514360613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45.071041118712337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45.071041118712337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7.9920000000000018</v>
      </c>
      <c r="DO122" s="12">
        <f>IF('Données projet'!$A$166&gt;35,DO121+DN122-DW121,IF(A122&lt;'Données projet'!$A$166,$DL$205^A122,IF(A122='Données projet'!$A$166,'Données projet'!$B$166,DO121+DN122-DW121)))</f>
        <v>368.4600000000006</v>
      </c>
      <c r="DP122" s="17">
        <f>DO122*VLOOKUP('Données projet'!$B$14,Paramètres!$A$1:$I$89,3,0)*VLOOKUP('Données projet'!$B$14,Paramètres!$A$1:$I$89,5,0)</f>
        <v>356.37451200000061</v>
      </c>
      <c r="DQ122" s="13">
        <f t="shared" si="97"/>
        <v>82.873707481273101</v>
      </c>
      <c r="DR122" s="20">
        <f t="shared" si="70"/>
        <v>765.02398226321839</v>
      </c>
      <c r="DS122" s="59">
        <f t="shared" si="71"/>
        <v>1050.817909853185</v>
      </c>
      <c r="DT122" s="59">
        <f ca="1">AVERAGE(OFFSET($DS$3,0,0,'Données projet'!$E$14+1,1))-AVERAGE(OFFSET($H$3,0,0,'Données projet'!$E$14+1,1))</f>
        <v>649.03508893149228</v>
      </c>
      <c r="DU122" s="59">
        <f t="shared" si="98"/>
        <v>297.94672581383213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59.806335763674582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59.806335763674582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7.9920000000000018</v>
      </c>
      <c r="EJ122" s="12">
        <f>IF('Données projet'!$A$192&gt;35,EJ121+EI122-ER121,IF(A122&lt;'Données projet'!$A$192,$EG$205^A122,IF(A122='Données projet'!$A$192,'Données projet'!$B$192,EJ121+EI122-ER121)))</f>
        <v>368.4600000000006</v>
      </c>
      <c r="EK122" s="17">
        <f>EJ122*VLOOKUP('Données projet'!$B$15,Paramètres!$A$1:$I$89,3,0)*VLOOKUP('Données projet'!$B$15,Paramètres!$A$1:$I$89,5,0)</f>
        <v>396.61034400000062</v>
      </c>
      <c r="EL122" s="13">
        <f t="shared" si="99"/>
        <v>91.089124489142378</v>
      </c>
      <c r="EM122" s="20">
        <f t="shared" si="73"/>
        <v>849.40990761859075</v>
      </c>
      <c r="EN122" s="59">
        <f t="shared" si="74"/>
        <v>1135.2038352085574</v>
      </c>
      <c r="EO122" s="59">
        <f ca="1">AVERAGE(OFFSET($EN$3,0,0,'Données projet'!$E$15+1,1))-AVERAGE(OFFSET($H$3,0,0,'Données projet'!$E$15+1,1))</f>
        <v>713.57333631602273</v>
      </c>
      <c r="EP122" s="59">
        <f t="shared" si="100"/>
        <v>325.30302392555359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66.558663995057216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66.558663995057216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5.6843418860808015E-14</v>
      </c>
      <c r="FF122" s="17">
        <f>FE122*VLOOKUP('Données projet'!$B$16,Paramètres!$A$1:$I$89,3,0)*VLOOKUP('Données projet'!$B$16,Paramètres!$A$1:$I$89,5,0)</f>
        <v>4.4337866711430253E-14</v>
      </c>
      <c r="FG122" s="13">
        <f t="shared" si="101"/>
        <v>7.3222115536967035E-13</v>
      </c>
      <c r="FH122" s="20">
        <f t="shared" si="76"/>
        <v>1.3525069634579169E-12</v>
      </c>
      <c r="FI122" s="59">
        <f t="shared" si="77"/>
        <v>285.79392758996795</v>
      </c>
      <c r="FJ122" s="59">
        <f ca="1">AVERAGE(OFFSET($FI$3,0,0,'Données projet'!$E$16+1,1))-AVERAGE(OFFSET($H$3,0,0,'Données projet'!$E$16+1,1))</f>
        <v>302.04287561738482</v>
      </c>
      <c r="FK122" s="59">
        <f t="shared" si="102"/>
        <v>296.09828774694802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38.337386689996372</v>
      </c>
      <c r="FR122" s="21">
        <f>EXP(-LN(2)/25)*FR121+(1-EXP(-LN(2)/25))/(LN(2)/25)*Calculateur!FM122*Calculateur!FO122*VLOOKUP('Données projet'!$B$16,Paramètres!$A$1:$I$89,3,0)*0.475*44/12</f>
        <v>12.726037580546521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51.063424270542896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7.3920000000000012</v>
      </c>
      <c r="FZ122" s="12">
        <f>IF('Données projet'!$A$244&gt;35,FZ121+FY122-GH121,IF(A122&lt;'Données projet'!$A$244,$FW$205^A122,IF(A122='Données projet'!$A$244,'Données projet'!$B$244,FZ121+FY122-GH121)))</f>
        <v>322.61199999999997</v>
      </c>
      <c r="GA122" s="17">
        <f>FZ122*VLOOKUP('Données projet'!$B$17,Paramètres!$A$1:$I$89,3,0)*VLOOKUP('Données projet'!$B$17,Paramètres!$A$1:$I$89,5,0)</f>
        <v>271.76834880000001</v>
      </c>
      <c r="GB122" s="13">
        <f t="shared" si="103"/>
        <v>65.224414829377835</v>
      </c>
      <c r="GC122" s="20">
        <f t="shared" si="79"/>
        <v>586.92906332116638</v>
      </c>
      <c r="GD122" s="59">
        <f t="shared" si="80"/>
        <v>872.72299091113291</v>
      </c>
      <c r="GE122" s="59">
        <f ca="1">AVERAGE(OFFSET($GD$3,0,0,'Données projet'!$E$17+1,1))-AVERAGE(OFFSET($H$3,0,0,'Données projet'!$E$17+1,1))</f>
        <v>385.41819366740276</v>
      </c>
      <c r="GF122" s="59">
        <f t="shared" si="104"/>
        <v>262.4625391252718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47.711972392001115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47.711972392001115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67.943798433627251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3.3000000000000003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12.100000000000001</v>
      </c>
      <c r="H123" s="67">
        <f t="shared" si="56"/>
        <v>208.26666666666665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7.9920000000000018</v>
      </c>
      <c r="N123" s="13">
        <f>IF('Données projet'!$A$36&gt;35,N122+M123-V122,IF(A123&lt;'Données projet'!$A$36,$K$205^A123,IF(A123='Données projet'!$A$36,'Données projet'!$B$36,N122+M123-V122)))</f>
        <v>376.45200000000062</v>
      </c>
      <c r="O123" s="13">
        <f>N123*VLOOKUP('Données projet'!$B$9,Paramètres!$A$1:$I$89,3,0)*VLOOKUP('Données projet'!$B$9,Paramètres!$A$1:$I$89,5,0)</f>
        <v>340.61376960000058</v>
      </c>
      <c r="P123" s="13">
        <f t="shared" si="87"/>
        <v>79.626741793195919</v>
      </c>
      <c r="Q123" s="20">
        <f t="shared" si="107"/>
        <v>731.9188906764839</v>
      </c>
      <c r="R123" s="59">
        <f t="shared" si="55"/>
        <v>1017.8436101005118</v>
      </c>
      <c r="S123" s="59">
        <f ca="1">AVERAGE(OFFSET($R$3,0,0,'Données projet'!$E$9+1,1))-AVERAGE(OFFSET($H$3,0,0,'Données projet'!$E$9+1,1))</f>
        <v>612.09138396952153</v>
      </c>
      <c r="T123" s="59">
        <f t="shared" si="88"/>
        <v>282.284310393542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54.850759030023944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54.850759030023944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381.72232800000063</v>
      </c>
      <c r="AK123" s="13">
        <f t="shared" si="89"/>
        <v>88.061121525232409</v>
      </c>
      <c r="AL123" s="20">
        <f t="shared" si="58"/>
        <v>818.20617458978086</v>
      </c>
      <c r="AM123" s="59">
        <f t="shared" si="59"/>
        <v>1104.1308940138088</v>
      </c>
      <c r="AN123" s="59">
        <f ca="1">AVERAGE(OFFSET($AM$3,0,0,'Données projet'!$E$10+1,1))-AVERAGE(OFFSET($H$3,0,0,'Données projet'!$E$10+1,1))</f>
        <v>676.7112666359476</v>
      </c>
      <c r="AO123" s="59">
        <f t="shared" si="90"/>
        <v>309.67876644201385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61.470678223302698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61.470678223302698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375.84967680000062</v>
      </c>
      <c r="BF123" s="13">
        <f t="shared" si="91"/>
        <v>86.862954144761957</v>
      </c>
      <c r="BG123" s="20">
        <f t="shared" si="61"/>
        <v>805.89116556212809</v>
      </c>
      <c r="BH123" s="59">
        <f t="shared" si="62"/>
        <v>1091.8158849861561</v>
      </c>
      <c r="BI123" s="59">
        <f ca="1">AVERAGE(OFFSET($BH$3,0,0,'Données projet'!$E$11+1,1))-AVERAGE(OFFSET($H$3,0,0,'Données projet'!$E$11+1,1))</f>
        <v>667.4887768032404</v>
      </c>
      <c r="BJ123" s="59">
        <f t="shared" si="92"/>
        <v>305.76944302827178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60.52497548140574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60.52497548140574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358.2317232000006</v>
      </c>
      <c r="CA123" s="13">
        <f t="shared" si="93"/>
        <v>83.255208450342735</v>
      </c>
      <c r="CB123" s="20">
        <f t="shared" si="64"/>
        <v>768.92307262434781</v>
      </c>
      <c r="CC123" s="59">
        <f t="shared" si="65"/>
        <v>1054.8477920483758</v>
      </c>
      <c r="CD123" s="59">
        <f ca="1">AVERAGE(OFFSET($CC$3,0,0,'Données projet'!$E$12+1,1))-AVERAGE(OFFSET($H$3,0,0,'Données projet'!$E$12+1,1))</f>
        <v>639.80378676828764</v>
      </c>
      <c r="CE123" s="59">
        <f t="shared" si="94"/>
        <v>294.03328334345281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57.687867255714842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57.687867255714842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-1.7053025658242404E-13</v>
      </c>
      <c r="CU123" s="17">
        <f>CT123*VLOOKUP('Données projet'!$B$13,Paramètres!$A$1:$I$89,3,0)*VLOOKUP('Données projet'!$B$13,Paramètres!$A$1:$I$89,5,0)</f>
        <v>-1.4897523215040567E-13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340.64710509454375</v>
      </c>
      <c r="CZ123" s="59">
        <f t="shared" si="96"/>
        <v>329.6409514360613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44.187225492994997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44.187225492994997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7.9920000000000018</v>
      </c>
      <c r="DO123" s="12">
        <f>IF('Données projet'!$A$166&gt;35,DO122+DN123-DW122,IF(A123&lt;'Données projet'!$A$166,$DL$205^A123,IF(A123='Données projet'!$A$166,'Données projet'!$B$166,DO122+DN123-DW122)))</f>
        <v>376.45200000000062</v>
      </c>
      <c r="DP123" s="17">
        <f>DO123*VLOOKUP('Données projet'!$B$14,Paramètres!$A$1:$I$89,3,0)*VLOOKUP('Données projet'!$B$14,Paramètres!$A$1:$I$89,5,0)</f>
        <v>364.10437440000061</v>
      </c>
      <c r="DQ123" s="13">
        <f t="shared" si="97"/>
        <v>84.460036960388123</v>
      </c>
      <c r="DR123" s="20">
        <f t="shared" si="70"/>
        <v>781.24968311934356</v>
      </c>
      <c r="DS123" s="59">
        <f t="shared" si="71"/>
        <v>1067.1744025433716</v>
      </c>
      <c r="DT123" s="59">
        <f ca="1">AVERAGE(OFFSET($DS$3,0,0,'Données projet'!$E$14+1,1))-AVERAGE(OFFSET($H$3,0,0,'Données projet'!$E$14+1,1))</f>
        <v>649.03508893149228</v>
      </c>
      <c r="DU123" s="59">
        <f t="shared" si="98"/>
        <v>297.94672581383213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58.633569997611808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58.633569997611808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7.9920000000000018</v>
      </c>
      <c r="EJ123" s="12">
        <f>IF('Données projet'!$A$192&gt;35,EJ122+EI123-ER122,IF(A123&lt;'Données projet'!$A$192,$EG$205^A123,IF(A123='Données projet'!$A$192,'Données projet'!$B$192,EJ122+EI123-ER122)))</f>
        <v>376.45200000000062</v>
      </c>
      <c r="EK123" s="17">
        <f>EJ123*VLOOKUP('Données projet'!$B$15,Paramètres!$A$1:$I$89,3,0)*VLOOKUP('Données projet'!$B$15,Paramètres!$A$1:$I$89,5,0)</f>
        <v>405.21293280000066</v>
      </c>
      <c r="EL123" s="13">
        <f t="shared" si="99"/>
        <v>92.832709611559608</v>
      </c>
      <c r="EM123" s="20">
        <f t="shared" si="73"/>
        <v>867.42949386680073</v>
      </c>
      <c r="EN123" s="59">
        <f t="shared" si="74"/>
        <v>1153.3542132908287</v>
      </c>
      <c r="EO123" s="59">
        <f ca="1">AVERAGE(OFFSET($EN$3,0,0,'Données projet'!$E$15+1,1))-AVERAGE(OFFSET($H$3,0,0,'Données projet'!$E$15+1,1))</f>
        <v>713.57333631602273</v>
      </c>
      <c r="EP123" s="59">
        <f t="shared" si="100"/>
        <v>325.30302392555359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65.253489190890576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65.253489190890576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5.6843418860808015E-14</v>
      </c>
      <c r="FF123" s="17">
        <f>FE123*VLOOKUP('Données projet'!$B$16,Paramètres!$A$1:$I$89,3,0)*VLOOKUP('Données projet'!$B$16,Paramètres!$A$1:$I$89,5,0)</f>
        <v>4.4337866711430253E-14</v>
      </c>
      <c r="FG123" s="13">
        <f t="shared" si="101"/>
        <v>7.3222115536967035E-13</v>
      </c>
      <c r="FH123" s="20">
        <f t="shared" si="76"/>
        <v>1.3525069634579169E-12</v>
      </c>
      <c r="FI123" s="59">
        <f t="shared" si="77"/>
        <v>285.92471942402932</v>
      </c>
      <c r="FJ123" s="59">
        <f ca="1">AVERAGE(OFFSET($FI$3,0,0,'Données projet'!$E$16+1,1))-AVERAGE(OFFSET($H$3,0,0,'Données projet'!$E$16+1,1))</f>
        <v>302.04287561738482</v>
      </c>
      <c r="FK123" s="59">
        <f t="shared" si="102"/>
        <v>296.09828774694802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37.585613920502496</v>
      </c>
      <c r="FR123" s="21">
        <f>EXP(-LN(2)/25)*FR122+(1-EXP(-LN(2)/25))/(LN(2)/25)*Calculateur!FM123*Calculateur!FO123*VLOOKUP('Données projet'!$B$16,Paramètres!$A$1:$I$89,3,0)*0.475*44/12</f>
        <v>12.378043413673245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49.963657334175743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7.3920000000000012</v>
      </c>
      <c r="FZ123" s="12">
        <f>IF('Données projet'!$A$244&gt;35,FZ122+FY123-GH122,IF(A123&lt;'Données projet'!$A$244,$FW$205^A123,IF(A123='Données projet'!$A$244,'Données projet'!$B$244,FZ122+FY123-GH122)))</f>
        <v>330.00399999999996</v>
      </c>
      <c r="GA123" s="17">
        <f>FZ123*VLOOKUP('Données projet'!$B$17,Paramètres!$A$1:$I$89,3,0)*VLOOKUP('Données projet'!$B$17,Paramètres!$A$1:$I$89,5,0)</f>
        <v>277.9953696</v>
      </c>
      <c r="GB123" s="13">
        <f t="shared" si="103"/>
        <v>66.543195859920587</v>
      </c>
      <c r="GC123" s="20">
        <f t="shared" si="79"/>
        <v>600.07133484269514</v>
      </c>
      <c r="GD123" s="59">
        <f t="shared" si="80"/>
        <v>885.99605426672315</v>
      </c>
      <c r="GE123" s="59">
        <f ca="1">AVERAGE(OFFSET($GD$3,0,0,'Données projet'!$E$17+1,1))-AVERAGE(OFFSET($H$3,0,0,'Données projet'!$E$17+1,1))</f>
        <v>385.41819366740276</v>
      </c>
      <c r="GF123" s="59">
        <f t="shared" si="104"/>
        <v>262.4625391252718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46.776369714823602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46.776369714823602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67.9794689338258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3.3000000000000003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12.100000000000001</v>
      </c>
      <c r="H124" s="67">
        <f t="shared" si="56"/>
        <v>208.26666666666665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7.9920000000000018</v>
      </c>
      <c r="N124" s="13">
        <f>IF('Données projet'!$A$36&gt;35,N123+M124-V123,IF(A124&lt;'Données projet'!$A$36,$K$205^A124,IF(A124='Données projet'!$A$36,'Données projet'!$B$36,N123+M124-V123)))</f>
        <v>384.44400000000064</v>
      </c>
      <c r="O124" s="13">
        <f>N124*VLOOKUP('Données projet'!$B$9,Paramètres!$A$1:$I$89,3,0)*VLOOKUP('Données projet'!$B$9,Paramètres!$A$1:$I$89,5,0)</f>
        <v>347.84493120000059</v>
      </c>
      <c r="P124" s="13">
        <f t="shared" si="87"/>
        <v>81.11860080370937</v>
      </c>
      <c r="Q124" s="20">
        <f t="shared" si="107"/>
        <v>747.11148490646144</v>
      </c>
      <c r="R124" s="59">
        <f t="shared" si="55"/>
        <v>1033.1647272186365</v>
      </c>
      <c r="S124" s="59">
        <f ca="1">AVERAGE(OFFSET($R$3,0,0,'Données projet'!$E$9+1,1))-AVERAGE(OFFSET($H$3,0,0,'Données projet'!$E$9+1,1))</f>
        <v>612.09138396952153</v>
      </c>
      <c r="T124" s="59">
        <f t="shared" si="88"/>
        <v>282.284310393542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53.775169101104709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53.775169101104709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389.82621600000067</v>
      </c>
      <c r="AK124" s="13">
        <f t="shared" si="89"/>
        <v>89.711004148391098</v>
      </c>
      <c r="AL124" s="20">
        <f t="shared" si="58"/>
        <v>835.19399175844899</v>
      </c>
      <c r="AM124" s="59">
        <f t="shared" si="59"/>
        <v>1121.247234070624</v>
      </c>
      <c r="AN124" s="59">
        <f ca="1">AVERAGE(OFFSET($AM$3,0,0,'Données projet'!$E$10+1,1))-AVERAGE(OFFSET($H$3,0,0,'Données projet'!$E$10+1,1))</f>
        <v>676.7112666359476</v>
      </c>
      <c r="AO124" s="59">
        <f t="shared" si="90"/>
        <v>309.67876644201385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60.265275716755283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60.265275716755283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383.82888960000065</v>
      </c>
      <c r="BF124" s="13">
        <f t="shared" si="91"/>
        <v>88.490388319542504</v>
      </c>
      <c r="BG124" s="20">
        <f t="shared" si="61"/>
        <v>822.62274237653764</v>
      </c>
      <c r="BH124" s="59">
        <f t="shared" si="62"/>
        <v>1108.6759846887128</v>
      </c>
      <c r="BI124" s="59">
        <f ca="1">AVERAGE(OFFSET($BH$3,0,0,'Données projet'!$E$11+1,1))-AVERAGE(OFFSET($H$3,0,0,'Données projet'!$E$11+1,1))</f>
        <v>667.4887768032404</v>
      </c>
      <c r="BJ124" s="59">
        <f t="shared" si="92"/>
        <v>305.76944302827178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59.338117628805207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59.338117628805207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365.83691040000065</v>
      </c>
      <c r="CA124" s="13">
        <f t="shared" si="93"/>
        <v>84.815049153374403</v>
      </c>
      <c r="CB124" s="20">
        <f t="shared" si="64"/>
        <v>784.88549622212815</v>
      </c>
      <c r="CC124" s="59">
        <f t="shared" si="65"/>
        <v>1070.9387385343032</v>
      </c>
      <c r="CD124" s="59">
        <f ca="1">AVERAGE(OFFSET($CC$3,0,0,'Données projet'!$E$12+1,1))-AVERAGE(OFFSET($H$3,0,0,'Données projet'!$E$12+1,1))</f>
        <v>639.80378676828764</v>
      </c>
      <c r="CE124" s="59">
        <f t="shared" si="94"/>
        <v>294.03328334345281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56.556643364954958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56.556643364954958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-1.7053025658242404E-13</v>
      </c>
      <c r="CU124" s="17">
        <f>CT124*VLOOKUP('Données projet'!$B$13,Paramètres!$A$1:$I$89,3,0)*VLOOKUP('Données projet'!$B$13,Paramètres!$A$1:$I$89,5,0)</f>
        <v>-1.4897523215040567E-13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340.64710509454375</v>
      </c>
      <c r="CZ124" s="59">
        <f t="shared" si="96"/>
        <v>329.6409514360613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43.320740952623673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43.320740952623673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7.9920000000000018</v>
      </c>
      <c r="DO124" s="12">
        <f>IF('Données projet'!$A$166&gt;35,DO123+DN124-DW123,IF(A124&lt;'Données projet'!$A$166,$DL$205^A124,IF(A124='Données projet'!$A$166,'Données projet'!$B$166,DO123+DN124-DW123)))</f>
        <v>384.44400000000064</v>
      </c>
      <c r="DP124" s="17">
        <f>DO124*VLOOKUP('Données projet'!$B$14,Paramètres!$A$1:$I$89,3,0)*VLOOKUP('Données projet'!$B$14,Paramètres!$A$1:$I$89,5,0)</f>
        <v>371.83423680000061</v>
      </c>
      <c r="DQ124" s="13">
        <f t="shared" si="97"/>
        <v>86.042450912410658</v>
      </c>
      <c r="DR124" s="20">
        <f t="shared" si="70"/>
        <v>797.46856443244951</v>
      </c>
      <c r="DS124" s="59">
        <f t="shared" si="71"/>
        <v>1083.5218067446247</v>
      </c>
      <c r="DT124" s="59">
        <f ca="1">AVERAGE(OFFSET($DS$3,0,0,'Données projet'!$E$14+1,1))-AVERAGE(OFFSET($H$3,0,0,'Données projet'!$E$14+1,1))</f>
        <v>649.03508893149228</v>
      </c>
      <c r="DU124" s="59">
        <f t="shared" si="98"/>
        <v>297.94672581383213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57.483801452905041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57.483801452905041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7.9920000000000018</v>
      </c>
      <c r="EJ124" s="12">
        <f>IF('Données projet'!$A$192&gt;35,EJ123+EI124-ER123,IF(A124&lt;'Données projet'!$A$192,$EG$205^A124,IF(A124='Données projet'!$A$192,'Données projet'!$B$192,EJ123+EI124-ER123)))</f>
        <v>384.44400000000064</v>
      </c>
      <c r="EK124" s="17">
        <f>EJ124*VLOOKUP('Données projet'!$B$15,Paramètres!$A$1:$I$89,3,0)*VLOOKUP('Données projet'!$B$15,Paramètres!$A$1:$I$89,5,0)</f>
        <v>413.81552160000069</v>
      </c>
      <c r="EL124" s="13">
        <f t="shared" si="99"/>
        <v>94.571991053767576</v>
      </c>
      <c r="EM124" s="20">
        <f t="shared" si="73"/>
        <v>885.44158453864645</v>
      </c>
      <c r="EN124" s="59">
        <f t="shared" si="74"/>
        <v>1171.4948268508215</v>
      </c>
      <c r="EO124" s="59">
        <f ca="1">AVERAGE(OFFSET($EN$3,0,0,'Données projet'!$E$15+1,1))-AVERAGE(OFFSET($H$3,0,0,'Données projet'!$E$15+1,1))</f>
        <v>713.57333631602273</v>
      </c>
      <c r="EP124" s="59">
        <f t="shared" si="100"/>
        <v>325.30302392555359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63.973908068555623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63.973908068555623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5.6843418860808015E-14</v>
      </c>
      <c r="FF124" s="17">
        <f>FE124*VLOOKUP('Données projet'!$B$16,Paramètres!$A$1:$I$89,3,0)*VLOOKUP('Données projet'!$B$16,Paramètres!$A$1:$I$89,5,0)</f>
        <v>4.4337866711430253E-14</v>
      </c>
      <c r="FG124" s="13">
        <f t="shared" si="101"/>
        <v>7.3222115536967035E-13</v>
      </c>
      <c r="FH124" s="20">
        <f t="shared" si="76"/>
        <v>1.3525069634579169E-12</v>
      </c>
      <c r="FI124" s="59">
        <f t="shared" si="77"/>
        <v>286.05324231217645</v>
      </c>
      <c r="FJ124" s="59">
        <f ca="1">AVERAGE(OFFSET($FI$3,0,0,'Données projet'!$E$16+1,1))-AVERAGE(OFFSET($H$3,0,0,'Données projet'!$E$16+1,1))</f>
        <v>302.04287561738482</v>
      </c>
      <c r="FK124" s="59">
        <f t="shared" si="102"/>
        <v>296.09828774694802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36.848582956482282</v>
      </c>
      <c r="FR124" s="21">
        <f>EXP(-LN(2)/25)*FR123+(1-EXP(-LN(2)/25))/(LN(2)/25)*Calculateur!FM124*Calculateur!FO124*VLOOKUP('Données projet'!$B$16,Paramètres!$A$1:$I$89,3,0)*0.475*44/12</f>
        <v>12.039565165593338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48.88814812207562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7.3920000000000012</v>
      </c>
      <c r="FZ124" s="12">
        <f>IF('Données projet'!$A$244&gt;35,FZ123+FY124-GH123,IF(A124&lt;'Données projet'!$A$244,$FW$205^A124,IF(A124='Données projet'!$A$244,'Données projet'!$B$244,FZ123+FY124-GH123)))</f>
        <v>337.39599999999996</v>
      </c>
      <c r="GA124" s="17">
        <f>FZ124*VLOOKUP('Données projet'!$B$17,Paramètres!$A$1:$I$89,3,0)*VLOOKUP('Données projet'!$B$17,Paramètres!$A$1:$I$89,5,0)</f>
        <v>284.22239039999999</v>
      </c>
      <c r="GB124" s="13">
        <f t="shared" si="103"/>
        <v>67.858542570434679</v>
      </c>
      <c r="GC124" s="20">
        <f t="shared" si="79"/>
        <v>613.20762492350696</v>
      </c>
      <c r="GD124" s="59">
        <f t="shared" si="80"/>
        <v>899.2608672356821</v>
      </c>
      <c r="GE124" s="59">
        <f ca="1">AVERAGE(OFFSET($GD$3,0,0,'Données projet'!$E$17+1,1))-AVERAGE(OFFSET($H$3,0,0,'Données projet'!$E$17+1,1))</f>
        <v>385.41819366740276</v>
      </c>
      <c r="GF124" s="59">
        <f t="shared" si="104"/>
        <v>262.4625391252718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45.859113635484256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45.859113635484256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68.014520630593196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3.3000000000000003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12.100000000000001</v>
      </c>
      <c r="H125" s="67">
        <f t="shared" si="56"/>
        <v>208.26666666666665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7.9920000000000018</v>
      </c>
      <c r="N125" s="13">
        <f>IF('Données projet'!$A$36&gt;35,N124+M125-V124,IF(A125&lt;'Données projet'!$A$36,$K$205^A125,IF(A125='Données projet'!$A$36,'Données projet'!$B$36,N124+M125-V124)))</f>
        <v>392.43600000000066</v>
      </c>
      <c r="O125" s="13">
        <f>N125*VLOOKUP('Données projet'!$B$9,Paramètres!$A$1:$I$89,3,0)*VLOOKUP('Données projet'!$B$9,Paramètres!$A$1:$I$89,5,0)</f>
        <v>355.07609280000059</v>
      </c>
      <c r="P125" s="13">
        <f t="shared" si="87"/>
        <v>82.606853937508674</v>
      </c>
      <c r="Q125" s="20">
        <f t="shared" si="107"/>
        <v>762.29779890116197</v>
      </c>
      <c r="R125" s="59">
        <f t="shared" si="55"/>
        <v>1048.4773345167089</v>
      </c>
      <c r="S125" s="59">
        <f ca="1">AVERAGE(OFFSET($R$3,0,0,'Données projet'!$E$9+1,1))-AVERAGE(OFFSET($H$3,0,0,'Données projet'!$E$9+1,1))</f>
        <v>612.09138396952153</v>
      </c>
      <c r="T125" s="59">
        <f t="shared" si="88"/>
        <v>282.284310393542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52.720670834646505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52.720670834646505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397.93010400000071</v>
      </c>
      <c r="AK125" s="13">
        <f t="shared" si="89"/>
        <v>91.356898946098624</v>
      </c>
      <c r="AL125" s="20">
        <f t="shared" si="58"/>
        <v>852.17486346445639</v>
      </c>
      <c r="AM125" s="59">
        <f t="shared" si="59"/>
        <v>1138.3543990800033</v>
      </c>
      <c r="AN125" s="59">
        <f ca="1">AVERAGE(OFFSET($AM$3,0,0,'Données projet'!$E$10+1,1))-AVERAGE(OFFSET($H$3,0,0,'Données projet'!$E$10+1,1))</f>
        <v>676.7112666359476</v>
      </c>
      <c r="AO125" s="59">
        <f t="shared" si="90"/>
        <v>309.67876644201385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59.083510418138331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59.083510418138331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391.80810240000068</v>
      </c>
      <c r="BF125" s="13">
        <f t="shared" si="91"/>
        <v>90.113888927576511</v>
      </c>
      <c r="BG125" s="20">
        <f t="shared" si="61"/>
        <v>839.34746822886348</v>
      </c>
      <c r="BH125" s="59">
        <f t="shared" si="62"/>
        <v>1125.5270038444105</v>
      </c>
      <c r="BI125" s="59">
        <f ca="1">AVERAGE(OFFSET($BH$3,0,0,'Données projet'!$E$11+1,1))-AVERAGE(OFFSET($H$3,0,0,'Données projet'!$E$11+1,1))</f>
        <v>667.4887768032404</v>
      </c>
      <c r="BJ125" s="59">
        <f t="shared" si="92"/>
        <v>305.76944302827178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58.17453333478236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58.17453333478236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373.44209760000064</v>
      </c>
      <c r="CA125" s="13">
        <f t="shared" si="93"/>
        <v>86.371119665503912</v>
      </c>
      <c r="CB125" s="20">
        <f t="shared" si="64"/>
        <v>800.84135340408704</v>
      </c>
      <c r="CC125" s="59">
        <f t="shared" si="65"/>
        <v>1087.0208890196341</v>
      </c>
      <c r="CD125" s="59">
        <f ca="1">AVERAGE(OFFSET($CC$3,0,0,'Données projet'!$E$12+1,1))-AVERAGE(OFFSET($H$3,0,0,'Données projet'!$E$12+1,1))</f>
        <v>639.80378676828764</v>
      </c>
      <c r="CE125" s="59">
        <f t="shared" si="94"/>
        <v>294.03328334345281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55.447602084714433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55.447602084714433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-1.7053025658242404E-13</v>
      </c>
      <c r="CU125" s="17">
        <f>CT125*VLOOKUP('Données projet'!$B$13,Paramètres!$A$1:$I$89,3,0)*VLOOKUP('Données projet'!$B$13,Paramètres!$A$1:$I$89,5,0)</f>
        <v>-1.4897523215040567E-13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340.64710509454375</v>
      </c>
      <c r="CZ125" s="59">
        <f t="shared" si="96"/>
        <v>329.6409514360613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42.471247645585642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42.471247645585642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7.9920000000000018</v>
      </c>
      <c r="DO125" s="12">
        <f>IF('Données projet'!$A$166&gt;35,DO124+DN125-DW124,IF(A125&lt;'Données projet'!$A$166,$DL$205^A125,IF(A125='Données projet'!$A$166,'Données projet'!$B$166,DO124+DN125-DW124)))</f>
        <v>392.43600000000066</v>
      </c>
      <c r="DP125" s="17">
        <f>DO125*VLOOKUP('Données projet'!$B$14,Paramètres!$A$1:$I$89,3,0)*VLOOKUP('Données projet'!$B$14,Paramètres!$A$1:$I$89,5,0)</f>
        <v>379.56409920000067</v>
      </c>
      <c r="DQ125" s="13">
        <f t="shared" si="97"/>
        <v>87.621040113179006</v>
      </c>
      <c r="DR125" s="20">
        <f t="shared" si="70"/>
        <v>813.68078430378785</v>
      </c>
      <c r="DS125" s="59">
        <f t="shared" si="71"/>
        <v>1099.8603199193349</v>
      </c>
      <c r="DT125" s="59">
        <f ca="1">AVERAGE(OFFSET($DS$3,0,0,'Données projet'!$E$14+1,1))-AVERAGE(OFFSET($H$3,0,0,'Données projet'!$E$14+1,1))</f>
        <v>649.03508893149228</v>
      </c>
      <c r="DU125" s="59">
        <f t="shared" si="98"/>
        <v>297.94672581383213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56.356579168070411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56.356579168070411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7.9920000000000018</v>
      </c>
      <c r="EJ125" s="12">
        <f>IF('Données projet'!$A$192&gt;35,EJ124+EI125-ER124,IF(A125&lt;'Données projet'!$A$192,$EG$205^A125,IF(A125='Données projet'!$A$192,'Données projet'!$B$192,EJ124+EI125-ER124)))</f>
        <v>392.43600000000066</v>
      </c>
      <c r="EK125" s="17">
        <f>EJ125*VLOOKUP('Données projet'!$B$15,Paramètres!$A$1:$I$89,3,0)*VLOOKUP('Données projet'!$B$15,Paramètres!$A$1:$I$89,5,0)</f>
        <v>422.41811040000067</v>
      </c>
      <c r="EL125" s="13">
        <f t="shared" si="99"/>
        <v>96.307068590373376</v>
      </c>
      <c r="EM125" s="20">
        <f t="shared" si="73"/>
        <v>903.4463534082347</v>
      </c>
      <c r="EN125" s="59">
        <f t="shared" si="74"/>
        <v>1189.6258890237816</v>
      </c>
      <c r="EO125" s="59">
        <f ca="1">AVERAGE(OFFSET($EN$3,0,0,'Données projet'!$E$15+1,1))-AVERAGE(OFFSET($H$3,0,0,'Données projet'!$E$15+1,1))</f>
        <v>713.57333631602273</v>
      </c>
      <c r="EP125" s="59">
        <f t="shared" si="100"/>
        <v>325.30302392555359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62.719418751562245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62.719418751562245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5.6843418860808015E-14</v>
      </c>
      <c r="FF125" s="17">
        <f>FE125*VLOOKUP('Données projet'!$B$16,Paramètres!$A$1:$I$89,3,0)*VLOOKUP('Données projet'!$B$16,Paramètres!$A$1:$I$89,5,0)</f>
        <v>4.4337866711430253E-14</v>
      </c>
      <c r="FG125" s="13">
        <f t="shared" si="101"/>
        <v>7.3222115536967035E-13</v>
      </c>
      <c r="FH125" s="20">
        <f t="shared" si="76"/>
        <v>1.3525069634579169E-12</v>
      </c>
      <c r="FI125" s="59">
        <f t="shared" si="77"/>
        <v>286.17953561554828</v>
      </c>
      <c r="FJ125" s="59">
        <f ca="1">AVERAGE(OFFSET($FI$3,0,0,'Données projet'!$E$16+1,1))-AVERAGE(OFFSET($H$3,0,0,'Données projet'!$E$16+1,1))</f>
        <v>302.04287561738482</v>
      </c>
      <c r="FK125" s="59">
        <f t="shared" si="102"/>
        <v>296.09828774694802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36.126004720122005</v>
      </c>
      <c r="FR125" s="21">
        <f>EXP(-LN(2)/25)*FR124+(1-EXP(-LN(2)/25))/(LN(2)/25)*Calculateur!FM125*Calculateur!FO125*VLOOKUP('Données projet'!$B$16,Paramètres!$A$1:$I$89,3,0)*0.475*44/12</f>
        <v>11.710342623006973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47.836347343128978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7.3920000000000012</v>
      </c>
      <c r="FZ125" s="12">
        <f>IF('Données projet'!$A$244&gt;35,FZ124+FY125-GH124,IF(A125&lt;'Données projet'!$A$244,$FW$205^A125,IF(A125='Données projet'!$A$244,'Données projet'!$B$244,FZ124+FY125-GH124)))</f>
        <v>344.78799999999995</v>
      </c>
      <c r="GA125" s="17">
        <f>FZ125*VLOOKUP('Données projet'!$B$17,Paramètres!$A$1:$I$89,3,0)*VLOOKUP('Données projet'!$B$17,Paramètres!$A$1:$I$89,5,0)</f>
        <v>290.44941119999999</v>
      </c>
      <c r="GB125" s="13">
        <f t="shared" si="103"/>
        <v>69.17053886810632</v>
      </c>
      <c r="GC125" s="20">
        <f t="shared" si="79"/>
        <v>626.33807970195176</v>
      </c>
      <c r="GD125" s="59">
        <f t="shared" si="80"/>
        <v>912.51761531749867</v>
      </c>
      <c r="GE125" s="59">
        <f ca="1">AVERAGE(OFFSET($GD$3,0,0,'Données projet'!$E$17+1,1))-AVERAGE(OFFSET($H$3,0,0,'Données projet'!$E$17+1,1))</f>
        <v>385.41819366740276</v>
      </c>
      <c r="GF125" s="59">
        <f t="shared" si="104"/>
        <v>262.4625391252718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44.95984438838979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44.95984438838979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68.048964258785517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3.3000000000000003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12.100000000000001</v>
      </c>
      <c r="H126" s="67">
        <f t="shared" si="56"/>
        <v>208.26666666666665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7.9920000000000018</v>
      </c>
      <c r="N126" s="13">
        <f>IF('Données projet'!$A$36&gt;35,N125+M126-V125,IF(A126&lt;'Données projet'!$A$36,$K$205^A126,IF(A126='Données projet'!$A$36,'Données projet'!$B$36,N125+M126-V125)))</f>
        <v>400.42800000000068</v>
      </c>
      <c r="O126" s="13">
        <f>N126*VLOOKUP('Données projet'!$B$9,Paramètres!$A$1:$I$89,3,0)*VLOOKUP('Données projet'!$B$9,Paramètres!$A$1:$I$89,5,0)</f>
        <v>362.3072544000006</v>
      </c>
      <c r="P126" s="13">
        <f t="shared" si="87"/>
        <v>84.09158309070763</v>
      </c>
      <c r="Q126" s="20">
        <f t="shared" si="107"/>
        <v>777.4779752963168</v>
      </c>
      <c r="R126" s="59">
        <f t="shared" si="55"/>
        <v>1063.7816133087717</v>
      </c>
      <c r="S126" s="59">
        <f ca="1">AVERAGE(OFFSET($R$3,0,0,'Données projet'!$E$9+1,1))-AVERAGE(OFFSET($H$3,0,0,'Données projet'!$E$9+1,1))</f>
        <v>612.09138396952153</v>
      </c>
      <c r="T126" s="59">
        <f t="shared" si="88"/>
        <v>282.284310393542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51.686850636013112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51.686850636013112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406.03399200000069</v>
      </c>
      <c r="AK126" s="13">
        <f t="shared" si="89"/>
        <v>92.998896489228883</v>
      </c>
      <c r="AL126" s="20">
        <f t="shared" si="58"/>
        <v>869.14894745207482</v>
      </c>
      <c r="AM126" s="59">
        <f t="shared" si="59"/>
        <v>1155.4525854645296</v>
      </c>
      <c r="AN126" s="59">
        <f ca="1">AVERAGE(OFFSET($AM$3,0,0,'Données projet'!$E$10+1,1))-AVERAGE(OFFSET($H$3,0,0,'Données projet'!$E$10+1,1))</f>
        <v>676.7112666359476</v>
      </c>
      <c r="AO126" s="59">
        <f t="shared" si="90"/>
        <v>309.67876644201385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57.924918816221599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57.924918816221599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399.78731520000071</v>
      </c>
      <c r="BF126" s="13">
        <f t="shared" si="91"/>
        <v>91.733545307422574</v>
      </c>
      <c r="BG126" s="20">
        <f t="shared" si="61"/>
        <v>856.06549871709547</v>
      </c>
      <c r="BH126" s="59">
        <f t="shared" si="62"/>
        <v>1142.3691367295503</v>
      </c>
      <c r="BI126" s="59">
        <f ca="1">AVERAGE(OFFSET($BH$3,0,0,'Données projet'!$E$11+1,1))-AVERAGE(OFFSET($H$3,0,0,'Données projet'!$E$11+1,1))</f>
        <v>667.4887768032404</v>
      </c>
      <c r="BJ126" s="59">
        <f t="shared" si="92"/>
        <v>305.76944302827178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57.033766219048964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57.033766219048964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381.04728480000068</v>
      </c>
      <c r="CA126" s="13">
        <f t="shared" si="93"/>
        <v>87.923505614723254</v>
      </c>
      <c r="CB126" s="20">
        <f t="shared" si="64"/>
        <v>816.79079330564412</v>
      </c>
      <c r="CC126" s="59">
        <f t="shared" si="65"/>
        <v>1103.0944313180989</v>
      </c>
      <c r="CD126" s="59">
        <f ca="1">AVERAGE(OFFSET($CC$3,0,0,'Données projet'!$E$12+1,1))-AVERAGE(OFFSET($H$3,0,0,'Données projet'!$E$12+1,1))</f>
        <v>639.80378676828764</v>
      </c>
      <c r="CE126" s="59">
        <f t="shared" si="94"/>
        <v>294.03328334345281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54.360308427531038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54.360308427531038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-1.7053025658242404E-13</v>
      </c>
      <c r="CU126" s="17">
        <f>CT126*VLOOKUP('Données projet'!$B$13,Paramètres!$A$1:$I$89,3,0)*VLOOKUP('Données projet'!$B$13,Paramètres!$A$1:$I$89,5,0)</f>
        <v>-1.4897523215040567E-13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340.64710509454375</v>
      </c>
      <c r="CZ126" s="59">
        <f t="shared" si="96"/>
        <v>329.6409514360613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41.638412384158876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41.638412384158876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7.9920000000000018</v>
      </c>
      <c r="DO126" s="12">
        <f>IF('Données projet'!$A$166&gt;35,DO125+DN126-DW125,IF(A126&lt;'Données projet'!$A$166,$DL$205^A126,IF(A126='Données projet'!$A$166,'Données projet'!$B$166,DO125+DN126-DW125)))</f>
        <v>400.42800000000068</v>
      </c>
      <c r="DP126" s="17">
        <f>DO126*VLOOKUP('Données projet'!$B$14,Paramètres!$A$1:$I$89,3,0)*VLOOKUP('Données projet'!$B$14,Paramètres!$A$1:$I$89,5,0)</f>
        <v>387.29396160000067</v>
      </c>
      <c r="DQ126" s="13">
        <f t="shared" si="97"/>
        <v>89.195891429851343</v>
      </c>
      <c r="DR126" s="20">
        <f t="shared" si="70"/>
        <v>829.8864940269923</v>
      </c>
      <c r="DS126" s="59">
        <f t="shared" si="71"/>
        <v>1116.1901320394472</v>
      </c>
      <c r="DT126" s="59">
        <f ca="1">AVERAGE(OFFSET($DS$3,0,0,'Données projet'!$E$14+1,1))-AVERAGE(OFFSET($H$3,0,0,'Données projet'!$E$14+1,1))</f>
        <v>649.03508893149228</v>
      </c>
      <c r="DU126" s="59">
        <f t="shared" si="98"/>
        <v>297.94672581383213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55.25146102470368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55.25146102470368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7.9920000000000018</v>
      </c>
      <c r="EJ126" s="12">
        <f>IF('Données projet'!$A$192&gt;35,EJ125+EI126-ER125,IF(A126&lt;'Données projet'!$A$192,$EG$205^A126,IF(A126='Données projet'!$A$192,'Données projet'!$B$192,EJ125+EI126-ER125)))</f>
        <v>400.42800000000068</v>
      </c>
      <c r="EK126" s="17">
        <f>EJ126*VLOOKUP('Données projet'!$B$15,Paramètres!$A$1:$I$89,3,0)*VLOOKUP('Données projet'!$B$15,Paramètres!$A$1:$I$89,5,0)</f>
        <v>431.02069920000071</v>
      </c>
      <c r="EL126" s="13">
        <f t="shared" si="99"/>
        <v>98.038037699830426</v>
      </c>
      <c r="EM126" s="20">
        <f t="shared" si="73"/>
        <v>921.44396676720589</v>
      </c>
      <c r="EN126" s="59">
        <f t="shared" si="74"/>
        <v>1207.7476047796608</v>
      </c>
      <c r="EO126" s="59">
        <f ca="1">AVERAGE(OFFSET($EN$3,0,0,'Données projet'!$E$15+1,1))-AVERAGE(OFFSET($H$3,0,0,'Données projet'!$E$15+1,1))</f>
        <v>713.57333631602273</v>
      </c>
      <c r="EP126" s="59">
        <f t="shared" si="100"/>
        <v>325.30302392555359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61.489529204912174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61.489529204912174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5.6843418860808015E-14</v>
      </c>
      <c r="FF126" s="17">
        <f>FE126*VLOOKUP('Données projet'!$B$16,Paramètres!$A$1:$I$89,3,0)*VLOOKUP('Données projet'!$B$16,Paramètres!$A$1:$I$89,5,0)</f>
        <v>4.4337866711430253E-14</v>
      </c>
      <c r="FG126" s="13">
        <f t="shared" si="101"/>
        <v>7.3222115536967035E-13</v>
      </c>
      <c r="FH126" s="20">
        <f t="shared" si="76"/>
        <v>1.3525069634579169E-12</v>
      </c>
      <c r="FI126" s="59">
        <f t="shared" si="77"/>
        <v>286.30363801245619</v>
      </c>
      <c r="FJ126" s="59">
        <f ca="1">AVERAGE(OFFSET($FI$3,0,0,'Données projet'!$E$16+1,1))-AVERAGE(OFFSET($H$3,0,0,'Données projet'!$E$16+1,1))</f>
        <v>302.04287561738482</v>
      </c>
      <c r="FK126" s="59">
        <f t="shared" si="102"/>
        <v>296.09828774694802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35.417595802247547</v>
      </c>
      <c r="FR126" s="21">
        <f>EXP(-LN(2)/25)*FR125+(1-EXP(-LN(2)/25))/(LN(2)/25)*Calculateur!FM126*Calculateur!FO126*VLOOKUP('Données projet'!$B$16,Paramètres!$A$1:$I$89,3,0)*0.475*44/12</f>
        <v>11.390122688160693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46.807718490408242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>
        <f>VLOOKUP(A126,'Données projet'!$A$243:$I$263,2,0)</f>
        <v>352.18</v>
      </c>
      <c r="FX126" s="12">
        <f>VLOOKUP(A126,'Données projet'!$A$243:$I$263,9,0)</f>
        <v>7.3920000000000012</v>
      </c>
      <c r="FY126" s="12">
        <f t="array" ref="FY126">INDEX(FX:FX,MIN(IF(ISNUMBER(FX126:FX322),ROW(FX126:FX322),"")))</f>
        <v>7.3920000000000012</v>
      </c>
      <c r="FZ126" s="12">
        <f>IF('Données projet'!$A$244&gt;35,FZ125+FY126-GH125,IF(A126&lt;'Données projet'!$A$244,$FW$205^A126,IF(A126='Données projet'!$A$244,'Données projet'!$B$244,FZ125+FY126-GH125)))</f>
        <v>352.17999999999995</v>
      </c>
      <c r="GA126" s="17">
        <f>FZ126*VLOOKUP('Données projet'!$B$17,Paramètres!$A$1:$I$89,3,0)*VLOOKUP('Données projet'!$B$17,Paramètres!$A$1:$I$89,5,0)</f>
        <v>296.67643200000003</v>
      </c>
      <c r="GB126" s="13">
        <f t="shared" si="103"/>
        <v>70.479264856783857</v>
      </c>
      <c r="GC126" s="20">
        <f t="shared" si="79"/>
        <v>639.46283869223191</v>
      </c>
      <c r="GD126" s="59">
        <f t="shared" si="80"/>
        <v>925.76647670468674</v>
      </c>
      <c r="GE126" s="59">
        <f ca="1">AVERAGE(OFFSET($GD$3,0,0,'Données projet'!$E$17+1,1))-AVERAGE(OFFSET($H$3,0,0,'Données projet'!$E$17+1,1))</f>
        <v>385.41819366740276</v>
      </c>
      <c r="GF126" s="59">
        <f t="shared" si="104"/>
        <v>262.4625391252718</v>
      </c>
      <c r="GG126" s="15">
        <f>IF(ISNA(VLOOKUP(A126,'Données projet'!$A$243:$I$263,3,0)),0,VLOOKUP(A126,'Données projet'!$A$243:$I$263,3,0))</f>
        <v>11</v>
      </c>
      <c r="GH126" s="15">
        <f>IF(ISNA(VLOOKUP(A126,'Données projet'!$A$243:$I$263,4,0)),0,VLOOKUP(A126,'Données projet'!$A$243:$I$263,4,0))</f>
        <v>175.3</v>
      </c>
      <c r="GI126" s="16">
        <f>IF(ISNA(VLOOKUP(A126,'Données projet'!$A$243:$I$263,5,0)),0%,VLOOKUP(A126,'Données projet'!$A$243:$I$263,5,0)*VLOOKUP('Données projet'!$B$17,Paramètres!$A$1:$I$89,7,0))</f>
        <v>0.25800000000000001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86.19614626159705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86.19614626159705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68.082810367033133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3.3000000000000003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12.100000000000001</v>
      </c>
      <c r="H127" s="67">
        <f t="shared" si="56"/>
        <v>208.26666666666665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408.42</v>
      </c>
      <c r="L127" s="12">
        <f>VLOOKUP(A127,'Données projet'!$A$35:$I$55,9,0)</f>
        <v>7.9920000000000018</v>
      </c>
      <c r="M127" s="12">
        <f t="array" ref="M127">INDEX(L:L,MIN(IF(ISNUMBER(L127:L323),ROW(L127:L323),"")))</f>
        <v>7.9920000000000018</v>
      </c>
      <c r="N127" s="13">
        <f>IF('Données projet'!$A$36&gt;35,N126+M127-V126,IF(A127&lt;'Données projet'!$A$36,$K$205^A127,IF(A127='Données projet'!$A$36,'Données projet'!$B$36,N126+M127-V126)))</f>
        <v>408.4200000000007</v>
      </c>
      <c r="O127" s="13">
        <f>N127*VLOOKUP('Données projet'!$B$9,Paramètres!$A$1:$I$89,3,0)*VLOOKUP('Données projet'!$B$9,Paramètres!$A$1:$I$89,5,0)</f>
        <v>369.53841600000061</v>
      </c>
      <c r="P127" s="13">
        <f t="shared" si="87"/>
        <v>85.572866703416025</v>
      </c>
      <c r="Q127" s="20">
        <f t="shared" si="107"/>
        <v>792.65215070845068</v>
      </c>
      <c r="R127" s="59">
        <f t="shared" si="55"/>
        <v>1079.0777382186784</v>
      </c>
      <c r="S127" s="59">
        <f ca="1">AVERAGE(OFFSET($R$3,0,0,'Données projet'!$E$9+1,1))-AVERAGE(OFFSET($H$3,0,0,'Données projet'!$E$9+1,1))</f>
        <v>612.09138396952153</v>
      </c>
      <c r="T127" s="59">
        <f t="shared" si="88"/>
        <v>282.284310393542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0.25800000000000001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64.229154721898368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64.229154721898368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414.13788000000073</v>
      </c>
      <c r="AK127" s="13">
        <f t="shared" si="89"/>
        <v>94.637083526579147</v>
      </c>
      <c r="AL127" s="20">
        <f t="shared" si="58"/>
        <v>886.1163948087933</v>
      </c>
      <c r="AM127" s="59">
        <f t="shared" si="59"/>
        <v>1172.5419823190211</v>
      </c>
      <c r="AN127" s="59">
        <f ca="1">AVERAGE(OFFSET($AM$3,0,0,'Données projet'!$E$10+1,1))-AVERAGE(OFFSET($H$3,0,0,'Données projet'!$E$10+1,1))</f>
        <v>676.7112666359476</v>
      </c>
      <c r="AO127" s="59">
        <f t="shared" si="90"/>
        <v>309.67876644201385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71.980949257299912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71.980949257299912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407.76652800000073</v>
      </c>
      <c r="BF127" s="13">
        <f t="shared" si="91"/>
        <v>93.34944302756611</v>
      </c>
      <c r="BG127" s="20">
        <f t="shared" si="61"/>
        <v>872.77698287301212</v>
      </c>
      <c r="BH127" s="59">
        <f t="shared" si="62"/>
        <v>1159.2025703832398</v>
      </c>
      <c r="BI127" s="59">
        <f ca="1">AVERAGE(OFFSET($BH$3,0,0,'Données projet'!$E$11+1,1))-AVERAGE(OFFSET($H$3,0,0,'Données projet'!$E$11+1,1))</f>
        <v>667.4887768032404</v>
      </c>
      <c r="BJ127" s="59">
        <f t="shared" si="92"/>
        <v>305.76944302827178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70.873550037956846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70.873550037956846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388.65247200000067</v>
      </c>
      <c r="CA127" s="13">
        <f t="shared" si="93"/>
        <v>89.472289015536205</v>
      </c>
      <c r="CB127" s="20">
        <f t="shared" si="64"/>
        <v>832.73395876872667</v>
      </c>
      <c r="CC127" s="59">
        <f t="shared" si="65"/>
        <v>1119.1595462789544</v>
      </c>
      <c r="CD127" s="59">
        <f ca="1">AVERAGE(OFFSET($CC$3,0,0,'Données projet'!$E$12+1,1))-AVERAGE(OFFSET($H$3,0,0,'Données projet'!$E$12+1,1))</f>
        <v>639.80378676828764</v>
      </c>
      <c r="CE127" s="59">
        <f t="shared" si="94"/>
        <v>294.03328334345281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0.25800000000000001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67.551352379927607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67.551352379927607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-1.7053025658242404E-13</v>
      </c>
      <c r="CU127" s="17">
        <f>CT127*VLOOKUP('Données projet'!$B$13,Paramètres!$A$1:$I$89,3,0)*VLOOKUP('Données projet'!$B$13,Paramètres!$A$1:$I$89,5,0)</f>
        <v>-1.4897523215040567E-13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340.64710509454375</v>
      </c>
      <c r="CZ127" s="59">
        <f t="shared" si="96"/>
        <v>329.6409514360613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40.821908514229335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40.821908514229335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>
        <f>VLOOKUP(A127,'Données projet'!$A$165:$I$185,2,0)</f>
        <v>408.42</v>
      </c>
      <c r="DM127" s="12">
        <f>VLOOKUP(A127,'Données projet'!$A$165:$I$185,9,0)</f>
        <v>7.9920000000000018</v>
      </c>
      <c r="DN127" s="12">
        <f t="array" ref="DN127">INDEX(DM:DM,MIN(IF(ISNUMBER(DM127:DM323),ROW(DM127:DM323),"")))</f>
        <v>7.9920000000000018</v>
      </c>
      <c r="DO127" s="12">
        <f>IF('Données projet'!$A$166&gt;35,DO126+DN127-DW126,IF(A127&lt;'Données projet'!$A$166,$DL$205^A127,IF(A127='Données projet'!$A$166,'Données projet'!$B$166,DO126+DN127-DW126)))</f>
        <v>408.4200000000007</v>
      </c>
      <c r="DP127" s="17">
        <f>DO127*VLOOKUP('Données projet'!$B$14,Paramètres!$A$1:$I$89,3,0)*VLOOKUP('Données projet'!$B$14,Paramètres!$A$1:$I$89,5,0)</f>
        <v>395.02382400000067</v>
      </c>
      <c r="DQ127" s="13">
        <f t="shared" si="97"/>
        <v>90.767088063805105</v>
      </c>
      <c r="DR127" s="20">
        <f t="shared" si="70"/>
        <v>846.08583851112826</v>
      </c>
      <c r="DS127" s="59">
        <f t="shared" si="71"/>
        <v>1132.5114260213561</v>
      </c>
      <c r="DT127" s="59">
        <f ca="1">AVERAGE(OFFSET($DS$3,0,0,'Données projet'!$E$14+1,1))-AVERAGE(OFFSET($H$3,0,0,'Données projet'!$E$14+1,1))</f>
        <v>649.03508893149228</v>
      </c>
      <c r="DU127" s="59">
        <f t="shared" si="98"/>
        <v>297.94672581383213</v>
      </c>
      <c r="DV127" s="15">
        <f>IF(ISNA(VLOOKUP(A127,'Données projet'!$A$165:$I$185,3,0)),0,VLOOKUP(A127,'Données projet'!$A$165:$I$185,3,0))</f>
        <v>10</v>
      </c>
      <c r="DW127" s="15">
        <f>IF(ISNA(VLOOKUP(A127,'Données projet'!$A$165:$I$185,4,0)),0,VLOOKUP(A127,'Données projet'!$A$165:$I$185,4,0))</f>
        <v>52.53</v>
      </c>
      <c r="DX127" s="16">
        <f>IF(ISNA(VLOOKUP(A127,'Données projet'!$A$165:$I$185,5,0)),0%,VLOOKUP(A127,'Données projet'!$A$165:$I$185,5,0)*VLOOKUP('Données projet'!$B$14,Paramètres!$A$1:$I$89,7,0))</f>
        <v>0.25800000000000001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68.658751599270687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68.658751599270687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>
        <f>VLOOKUP(A127,'Données projet'!$A$191:$I$211,2,0)</f>
        <v>408.42</v>
      </c>
      <c r="EH127" s="12">
        <f>VLOOKUP(A127,'Données projet'!$A$191:$I$211,9,0)</f>
        <v>7.9920000000000018</v>
      </c>
      <c r="EI127" s="12">
        <f t="array" ref="EI127">INDEX(EH:EH,MIN(IF(ISNUMBER(EH127:EH323),ROW(EH127:EH323),"")))</f>
        <v>7.9920000000000018</v>
      </c>
      <c r="EJ127" s="12">
        <f>IF('Données projet'!$A$192&gt;35,EJ126+EI127-ER126,IF(A127&lt;'Données projet'!$A$192,$EG$205^A127,IF(A127='Données projet'!$A$192,'Données projet'!$B$192,EJ126+EI127-ER126)))</f>
        <v>408.4200000000007</v>
      </c>
      <c r="EK127" s="17">
        <f>EJ127*VLOOKUP('Données projet'!$B$15,Paramètres!$A$1:$I$89,3,0)*VLOOKUP('Données projet'!$B$15,Paramètres!$A$1:$I$89,5,0)</f>
        <v>439.62328800000074</v>
      </c>
      <c r="EL127" s="13">
        <f t="shared" si="99"/>
        <v>99.764989831415335</v>
      </c>
      <c r="EM127" s="20">
        <f t="shared" si="73"/>
        <v>939.43458388971624</v>
      </c>
      <c r="EN127" s="59">
        <f t="shared" si="74"/>
        <v>1225.860171399944</v>
      </c>
      <c r="EO127" s="59">
        <f ca="1">AVERAGE(OFFSET($EN$3,0,0,'Données projet'!$E$15+1,1))-AVERAGE(OFFSET($H$3,0,0,'Données projet'!$E$15+1,1))</f>
        <v>713.57333631602273</v>
      </c>
      <c r="EP127" s="59">
        <f t="shared" si="100"/>
        <v>325.30302392555359</v>
      </c>
      <c r="EQ127" s="15">
        <f>IF(ISNA(VLOOKUP(A127,'Données projet'!$A$191:$I$211,3,0)),0,VLOOKUP(A127,'Données projet'!$A$191:$I$211,3,0))</f>
        <v>10</v>
      </c>
      <c r="ER127" s="15">
        <f>IF(ISNA(VLOOKUP(A127,'Données projet'!$A$191:$I$211,4,0)),0,VLOOKUP(A127,'Données projet'!$A$191:$I$211,4,0))</f>
        <v>52.53</v>
      </c>
      <c r="ES127" s="16">
        <f>IF(ISNA(VLOOKUP(A127,'Données projet'!$A$191:$I$211,5,0)),0%,VLOOKUP(A127,'Données projet'!$A$191:$I$211,5,0)*VLOOKUP('Données projet'!$B$15,Paramètres!$A$1:$I$89,7,0))</f>
        <v>0.25800000000000001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76.410546134672217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76.410546134672217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5.6843418860808015E-14</v>
      </c>
      <c r="FF127" s="17">
        <f>FE127*VLOOKUP('Données projet'!$B$16,Paramètres!$A$1:$I$89,3,0)*VLOOKUP('Données projet'!$B$16,Paramètres!$A$1:$I$89,5,0)</f>
        <v>4.4337866711430253E-14</v>
      </c>
      <c r="FG127" s="13">
        <f t="shared" si="101"/>
        <v>7.3222115536967035E-13</v>
      </c>
      <c r="FH127" s="20">
        <f t="shared" si="76"/>
        <v>1.3525069634579169E-12</v>
      </c>
      <c r="FI127" s="59">
        <f t="shared" si="77"/>
        <v>286.42558751022915</v>
      </c>
      <c r="FJ127" s="59">
        <f ca="1">AVERAGE(OFFSET($FI$3,0,0,'Données projet'!$E$16+1,1))-AVERAGE(OFFSET($H$3,0,0,'Données projet'!$E$16+1,1))</f>
        <v>302.04287561738482</v>
      </c>
      <c r="FK127" s="59">
        <f t="shared" si="102"/>
        <v>296.09828774694802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34.723078351165832</v>
      </c>
      <c r="FR127" s="21">
        <f>EXP(-LN(2)/25)*FR126+(1-EXP(-LN(2)/25))/(LN(2)/25)*Calculateur!FM127*Calculateur!FO127*VLOOKUP('Données projet'!$B$16,Paramètres!$A$1:$I$89,3,0)*0.475*44/12</f>
        <v>11.07865918427242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45.801737535438249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4.085000000000008</v>
      </c>
      <c r="FZ127" s="12">
        <f>IF('Données projet'!$A$244&gt;35,FZ126+FY127-GH126,IF(A127&lt;'Données projet'!$A$244,$FW$205^A127,IF(A127='Données projet'!$A$244,'Données projet'!$B$244,FZ126+FY127-GH126)))</f>
        <v>180.96499999999997</v>
      </c>
      <c r="GA127" s="17">
        <f>FZ127*VLOOKUP('Données projet'!$B$17,Paramètres!$A$1:$I$89,3,0)*VLOOKUP('Données projet'!$B$17,Paramètres!$A$1:$I$89,5,0)</f>
        <v>152.44491600000001</v>
      </c>
      <c r="GB127" s="13">
        <f t="shared" si="103"/>
        <v>39.133677652296996</v>
      </c>
      <c r="GC127" s="20">
        <f t="shared" si="79"/>
        <v>333.6660506110839</v>
      </c>
      <c r="GD127" s="59">
        <f t="shared" si="80"/>
        <v>620.09163812131169</v>
      </c>
      <c r="GE127" s="59">
        <f ca="1">AVERAGE(OFFSET($GD$3,0,0,'Données projet'!$E$17+1,1))-AVERAGE(OFFSET($H$3,0,0,'Données projet'!$E$17+1,1))</f>
        <v>385.41819366740276</v>
      </c>
      <c r="GF127" s="59">
        <f t="shared" si="104"/>
        <v>262.4625391252718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84.505892407865062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84.505892407865062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68.116069320971206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3.3000000000000003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12.100000000000001</v>
      </c>
      <c r="H128" s="67">
        <f t="shared" si="56"/>
        <v>208.26666666666665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8.0699999999999985</v>
      </c>
      <c r="N128" s="13">
        <f>IF('Données projet'!$A$36&gt;35,N127+M128-V127,IF(A128&lt;'Données projet'!$A$36,$K$205^A128,IF(A128='Données projet'!$A$36,'Données projet'!$B$36,N127+M128-V127)))</f>
        <v>363.96000000000072</v>
      </c>
      <c r="O128" s="13">
        <f>N128*VLOOKUP('Données projet'!$B$9,Paramètres!$A$1:$I$89,3,0)*VLOOKUP('Données projet'!$B$9,Paramètres!$A$1:$I$89,5,0)</f>
        <v>329.31100800000064</v>
      </c>
      <c r="P128" s="13">
        <f t="shared" si="87"/>
        <v>77.287444180583748</v>
      </c>
      <c r="Q128" s="20">
        <f t="shared" si="107"/>
        <v>708.15897088118447</v>
      </c>
      <c r="R128" s="59">
        <f t="shared" si="55"/>
        <v>994.704392338037</v>
      </c>
      <c r="S128" s="59">
        <f ca="1">AVERAGE(OFFSET($R$3,0,0,'Données projet'!$E$9+1,1))-AVERAGE(OFFSET($H$3,0,0,'Données projet'!$E$9+1,1))</f>
        <v>612.09138396952153</v>
      </c>
      <c r="T128" s="59">
        <f t="shared" si="88"/>
        <v>282.284310393542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62.969660173718019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62.969660173718019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369.05544000000071</v>
      </c>
      <c r="AK128" s="13">
        <f t="shared" si="89"/>
        <v>85.474036248241589</v>
      </c>
      <c r="AL128" s="20">
        <f t="shared" si="58"/>
        <v>791.63883779902199</v>
      </c>
      <c r="AM128" s="59">
        <f t="shared" si="59"/>
        <v>1078.1842592558746</v>
      </c>
      <c r="AN128" s="59">
        <f ca="1">AVERAGE(OFFSET($AM$3,0,0,'Données projet'!$E$10+1,1))-AVERAGE(OFFSET($H$3,0,0,'Données projet'!$E$10+1,1))</f>
        <v>676.7112666359476</v>
      </c>
      <c r="AO128" s="59">
        <f t="shared" si="90"/>
        <v>309.67876644201385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70.569446746408147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70.569446746408147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363.37766400000072</v>
      </c>
      <c r="BF128" s="13">
        <f t="shared" si="91"/>
        <v>84.311068978054735</v>
      </c>
      <c r="BG128" s="20">
        <f t="shared" si="61"/>
        <v>779.72454327011326</v>
      </c>
      <c r="BH128" s="59">
        <f t="shared" si="62"/>
        <v>1066.2699647269658</v>
      </c>
      <c r="BI128" s="59">
        <f ca="1">AVERAGE(OFFSET($BH$3,0,0,'Données projet'!$E$11+1,1))-AVERAGE(OFFSET($H$3,0,0,'Données projet'!$E$11+1,1))</f>
        <v>667.4887768032404</v>
      </c>
      <c r="BJ128" s="59">
        <f t="shared" si="92"/>
        <v>305.76944302827178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69.483762950309568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69.483762950309568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346.34433600000068</v>
      </c>
      <c r="CA128" s="13">
        <f t="shared" si="93"/>
        <v>80.809312687443921</v>
      </c>
      <c r="CB128" s="20">
        <f t="shared" si="64"/>
        <v>743.95927146396605</v>
      </c>
      <c r="CC128" s="59">
        <f t="shared" si="65"/>
        <v>1030.5046929208186</v>
      </c>
      <c r="CD128" s="59">
        <f ca="1">AVERAGE(OFFSET($CC$3,0,0,'Données projet'!$E$12+1,1))-AVERAGE(OFFSET($H$3,0,0,'Données projet'!$E$12+1,1))</f>
        <v>639.80378676828764</v>
      </c>
      <c r="CE128" s="59">
        <f t="shared" si="94"/>
        <v>294.03328334345281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66.22671156201379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66.22671156201379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-1.7053025658242404E-13</v>
      </c>
      <c r="CU128" s="17">
        <f>CT128*VLOOKUP('Données projet'!$B$13,Paramètres!$A$1:$I$89,3,0)*VLOOKUP('Données projet'!$B$13,Paramètres!$A$1:$I$89,5,0)</f>
        <v>-1.4897523215040567E-13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340.64710509454375</v>
      </c>
      <c r="CZ128" s="59">
        <f t="shared" si="96"/>
        <v>329.6409514360613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40.02141578717093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40.02141578717093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8.0699999999999985</v>
      </c>
      <c r="DO128" s="12">
        <f>IF('Données projet'!$A$166&gt;35,DO127+DN128-DW127,IF(A128&lt;'Données projet'!$A$166,$DL$205^A128,IF(A128='Données projet'!$A$166,'Données projet'!$B$166,DO127+DN128-DW127)))</f>
        <v>363.96000000000072</v>
      </c>
      <c r="DP128" s="17">
        <f>DO128*VLOOKUP('Données projet'!$B$14,Paramètres!$A$1:$I$89,3,0)*VLOOKUP('Données projet'!$B$14,Paramètres!$A$1:$I$89,5,0)</f>
        <v>352.02211200000067</v>
      </c>
      <c r="DQ128" s="13">
        <f t="shared" si="97"/>
        <v>81.978745394600864</v>
      </c>
      <c r="DR128" s="20">
        <f t="shared" si="70"/>
        <v>755.88482662893102</v>
      </c>
      <c r="DS128" s="59">
        <f t="shared" si="71"/>
        <v>1042.4302480857837</v>
      </c>
      <c r="DT128" s="59">
        <f ca="1">AVERAGE(OFFSET($DS$3,0,0,'Données projet'!$E$14+1,1))-AVERAGE(OFFSET($H$3,0,0,'Données projet'!$E$14+1,1))</f>
        <v>649.03508893149228</v>
      </c>
      <c r="DU128" s="59">
        <f t="shared" si="98"/>
        <v>297.94672581383213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67.312395358112383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67.312395358112383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8.0699999999999985</v>
      </c>
      <c r="EJ128" s="12">
        <f>IF('Données projet'!$A$192&gt;35,EJ127+EI128-ER127,IF(A128&lt;'Données projet'!$A$192,$EG$205^A128,IF(A128='Données projet'!$A$192,'Données projet'!$B$192,EJ127+EI128-ER127)))</f>
        <v>363.96000000000072</v>
      </c>
      <c r="EK128" s="17">
        <f>EJ128*VLOOKUP('Données projet'!$B$15,Paramètres!$A$1:$I$89,3,0)*VLOOKUP('Données projet'!$B$15,Paramètres!$A$1:$I$89,5,0)</f>
        <v>391.76654400000075</v>
      </c>
      <c r="EL128" s="13">
        <f t="shared" si="99"/>
        <v>90.105443229988325</v>
      </c>
      <c r="EM128" s="20">
        <f t="shared" si="73"/>
        <v>839.26037775889756</v>
      </c>
      <c r="EN128" s="59">
        <f t="shared" si="74"/>
        <v>1125.8057992157501</v>
      </c>
      <c r="EO128" s="59">
        <f ca="1">AVERAGE(OFFSET($EN$3,0,0,'Données projet'!$E$15+1,1))-AVERAGE(OFFSET($H$3,0,0,'Données projet'!$E$15+1,1))</f>
        <v>713.57333631602273</v>
      </c>
      <c r="EP128" s="59">
        <f t="shared" si="100"/>
        <v>325.30302392555359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74.91218193080249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74.91218193080249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5.6843418860808015E-14</v>
      </c>
      <c r="FF128" s="17">
        <f>FE128*VLOOKUP('Données projet'!$B$16,Paramètres!$A$1:$I$89,3,0)*VLOOKUP('Données projet'!$B$16,Paramètres!$A$1:$I$89,5,0)</f>
        <v>4.4337866711430253E-14</v>
      </c>
      <c r="FG128" s="13">
        <f t="shared" si="101"/>
        <v>7.3222115536967035E-13</v>
      </c>
      <c r="FH128" s="20">
        <f t="shared" si="76"/>
        <v>1.3525069634579169E-12</v>
      </c>
      <c r="FI128" s="59">
        <f t="shared" si="77"/>
        <v>286.54542145685389</v>
      </c>
      <c r="FJ128" s="59">
        <f ca="1">AVERAGE(OFFSET($FI$3,0,0,'Données projet'!$E$16+1,1))-AVERAGE(OFFSET($H$3,0,0,'Données projet'!$E$16+1,1))</f>
        <v>302.04287561738482</v>
      </c>
      <c r="FK128" s="59">
        <f t="shared" si="102"/>
        <v>296.09828774694802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34.04217996368601</v>
      </c>
      <c r="FR128" s="21">
        <f>EXP(-LN(2)/25)*FR127+(1-EXP(-LN(2)/25))/(LN(2)/25)*Calculateur!FM128*Calculateur!FO128*VLOOKUP('Données projet'!$B$16,Paramètres!$A$1:$I$89,3,0)*0.475*44/12</f>
        <v>10.775712666277125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44.817892629963133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>
        <f>VLOOKUP(A128,'Données projet'!$A$243:$I$263,2,0)</f>
        <v>185.05</v>
      </c>
      <c r="FX128" s="12">
        <f>VLOOKUP(A128,'Données projet'!$A$243:$I$263,9,0)</f>
        <v>4.085000000000008</v>
      </c>
      <c r="FY128" s="12">
        <f t="array" ref="FY128">INDEX(FX:FX,MIN(IF(ISNUMBER(FX128:FX324),ROW(FX128:FX324),"")))</f>
        <v>4.085000000000008</v>
      </c>
      <c r="FZ128" s="12">
        <f>IF('Données projet'!$A$244&gt;35,FZ127+FY128-GH127,IF(A128&lt;'Données projet'!$A$244,$FW$205^A128,IF(A128='Données projet'!$A$244,'Données projet'!$B$244,FZ127+FY128-GH127)))</f>
        <v>185.04999999999998</v>
      </c>
      <c r="GA128" s="17">
        <f>FZ128*VLOOKUP('Données projet'!$B$17,Paramètres!$A$1:$I$89,3,0)*VLOOKUP('Données projet'!$B$17,Paramètres!$A$1:$I$89,5,0)</f>
        <v>155.88612000000001</v>
      </c>
      <c r="GB128" s="13">
        <f t="shared" si="103"/>
        <v>39.913216292713308</v>
      </c>
      <c r="GC128" s="20">
        <f t="shared" si="79"/>
        <v>341.01717737647567</v>
      </c>
      <c r="GD128" s="59">
        <f t="shared" si="80"/>
        <v>627.56259883332814</v>
      </c>
      <c r="GE128" s="59">
        <f ca="1">AVERAGE(OFFSET($GD$3,0,0,'Données projet'!$E$17+1,1))-AVERAGE(OFFSET($H$3,0,0,'Données projet'!$E$17+1,1))</f>
        <v>385.41819366740276</v>
      </c>
      <c r="GF128" s="59">
        <f t="shared" si="104"/>
        <v>262.4625391252718</v>
      </c>
      <c r="GG128" s="15">
        <f>IF(ISNA(VLOOKUP(A128,'Données projet'!$A$243:$I$263,3,0)),0,VLOOKUP(A128,'Données projet'!$A$243:$I$263,3,0))</f>
        <v>12</v>
      </c>
      <c r="GH128" s="15">
        <f>IF(ISNA(VLOOKUP(A128,'Données projet'!$A$243:$I$263,4,0)),0,VLOOKUP(A128,'Données projet'!$A$243:$I$263,4,0))</f>
        <v>60.7</v>
      </c>
      <c r="GI128" s="16">
        <f>IF(ISNA(VLOOKUP(A128,'Données projet'!$A$243:$I$263,5,0)),0%,VLOOKUP(A128,'Données projet'!$A$243:$I$263,5,0)*VLOOKUP('Données projet'!$B$17,Paramètres!$A$1:$I$89,7,0))</f>
        <v>0.25800000000000001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97.432689709472925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97.432689709472925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68.148751306414326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3.3000000000000003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12.100000000000001</v>
      </c>
      <c r="H129" s="67">
        <f t="shared" si="56"/>
        <v>208.26666666666665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8.0699999999999985</v>
      </c>
      <c r="N129" s="13">
        <f>IF('Données projet'!$A$36&gt;35,N128+M129-V128,IF(A129&lt;'Données projet'!$A$36,$K$205^A129,IF(A129='Données projet'!$A$36,'Données projet'!$B$36,N128+M129-V128)))</f>
        <v>372.03000000000071</v>
      </c>
      <c r="O129" s="13">
        <f>N129*VLOOKUP('Données projet'!$B$9,Paramètres!$A$1:$I$89,3,0)*VLOOKUP('Données projet'!$B$9,Paramètres!$A$1:$I$89,5,0)</f>
        <v>336.61274400000065</v>
      </c>
      <c r="P129" s="13">
        <f t="shared" si="87"/>
        <v>78.799710600410648</v>
      </c>
      <c r="Q129" s="20">
        <f t="shared" si="107"/>
        <v>723.51002509571629</v>
      </c>
      <c r="R129" s="59">
        <f t="shared" si="55"/>
        <v>1010.1732016481283</v>
      </c>
      <c r="S129" s="59">
        <f ca="1">AVERAGE(OFFSET($R$3,0,0,'Données projet'!$E$9+1,1))-AVERAGE(OFFSET($H$3,0,0,'Données projet'!$E$9+1,1))</f>
        <v>612.09138396952153</v>
      </c>
      <c r="T129" s="59">
        <f t="shared" si="88"/>
        <v>282.284310393542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61.73486354541167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61.73486354541167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377.23842000000076</v>
      </c>
      <c r="AK129" s="13">
        <f t="shared" si="89"/>
        <v>87.146487914300891</v>
      </c>
      <c r="AL129" s="20">
        <f t="shared" si="58"/>
        <v>808.80371461740867</v>
      </c>
      <c r="AM129" s="59">
        <f t="shared" si="59"/>
        <v>1095.4668911698207</v>
      </c>
      <c r="AN129" s="59">
        <f ca="1">AVERAGE(OFFSET($AM$3,0,0,'Données projet'!$E$10+1,1))-AVERAGE(OFFSET($H$3,0,0,'Données projet'!$E$10+1,1))</f>
        <v>676.7112666359476</v>
      </c>
      <c r="AO129" s="59">
        <f t="shared" si="90"/>
        <v>309.67876644201385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69.185622938823442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69.185622938823442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371.43475200000074</v>
      </c>
      <c r="BF129" s="13">
        <f t="shared" si="91"/>
        <v>85.960765119349148</v>
      </c>
      <c r="BG129" s="20">
        <f t="shared" si="61"/>
        <v>796.63052564953432</v>
      </c>
      <c r="BH129" s="59">
        <f t="shared" si="62"/>
        <v>1083.2937022019464</v>
      </c>
      <c r="BI129" s="59">
        <f ca="1">AVERAGE(OFFSET($BH$3,0,0,'Données projet'!$E$11+1,1))-AVERAGE(OFFSET($H$3,0,0,'Données projet'!$E$11+1,1))</f>
        <v>667.4887768032404</v>
      </c>
      <c r="BJ129" s="59">
        <f t="shared" si="92"/>
        <v>305.76944302827178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68.121228739764632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68.121228739764632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354.02374800000069</v>
      </c>
      <c r="CA129" s="13">
        <f t="shared" si="93"/>
        <v>82.390490733660229</v>
      </c>
      <c r="CB129" s="20">
        <f t="shared" si="64"/>
        <v>760.08813246112607</v>
      </c>
      <c r="CC129" s="59">
        <f t="shared" si="65"/>
        <v>1046.751309013538</v>
      </c>
      <c r="CD129" s="59">
        <f ca="1">AVERAGE(OFFSET($CC$3,0,0,'Données projet'!$E$12+1,1))-AVERAGE(OFFSET($H$3,0,0,'Données projet'!$E$12+1,1))</f>
        <v>639.80378676828764</v>
      </c>
      <c r="CE129" s="59">
        <f t="shared" si="94"/>
        <v>294.03328334345281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64.928046142588144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64.928046142588144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-1.7053025658242404E-13</v>
      </c>
      <c r="CU129" s="17">
        <f>CT129*VLOOKUP('Données projet'!$B$13,Paramètres!$A$1:$I$89,3,0)*VLOOKUP('Données projet'!$B$13,Paramètres!$A$1:$I$89,5,0)</f>
        <v>-1.4897523215040567E-13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340.64710509454375</v>
      </c>
      <c r="CZ129" s="59">
        <f t="shared" si="96"/>
        <v>329.6409514360613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39.23662023423779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39.23662023423779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8.0699999999999985</v>
      </c>
      <c r="DO129" s="12">
        <f>IF('Données projet'!$A$166&gt;35,DO128+DN129-DW128,IF(A129&lt;'Données projet'!$A$166,$DL$205^A129,IF(A129='Données projet'!$A$166,'Données projet'!$B$166,DO128+DN129-DW128)))</f>
        <v>372.03000000000071</v>
      </c>
      <c r="DP129" s="17">
        <f>DO129*VLOOKUP('Données projet'!$B$14,Paramètres!$A$1:$I$89,3,0)*VLOOKUP('Données projet'!$B$14,Paramètres!$A$1:$I$89,5,0)</f>
        <v>359.82741600000071</v>
      </c>
      <c r="DQ129" s="13">
        <f t="shared" si="97"/>
        <v>83.582805473365028</v>
      </c>
      <c r="DR129" s="20">
        <f t="shared" si="70"/>
        <v>772.27280239944514</v>
      </c>
      <c r="DS129" s="59">
        <f t="shared" si="71"/>
        <v>1058.9359789518571</v>
      </c>
      <c r="DT129" s="59">
        <f ca="1">AVERAGE(OFFSET($DS$3,0,0,'Données projet'!$E$14+1,1))-AVERAGE(OFFSET($H$3,0,0,'Données projet'!$E$14+1,1))</f>
        <v>649.03508893149228</v>
      </c>
      <c r="DU129" s="59">
        <f t="shared" si="98"/>
        <v>297.94672581383213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65.992440341646969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65.992440341646969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8.0699999999999985</v>
      </c>
      <c r="EJ129" s="12">
        <f>IF('Données projet'!$A$192&gt;35,EJ128+EI129-ER128,IF(A129&lt;'Données projet'!$A$192,$EG$205^A129,IF(A129='Données projet'!$A$192,'Données projet'!$B$192,EJ128+EI129-ER128)))</f>
        <v>372.03000000000071</v>
      </c>
      <c r="EK129" s="17">
        <f>EJ129*VLOOKUP('Données projet'!$B$15,Paramètres!$A$1:$I$89,3,0)*VLOOKUP('Données projet'!$B$15,Paramètres!$A$1:$I$89,5,0)</f>
        <v>400.45309200000077</v>
      </c>
      <c r="EL129" s="13">
        <f t="shared" si="99"/>
        <v>91.868516617716708</v>
      </c>
      <c r="EM129" s="20">
        <f t="shared" si="73"/>
        <v>857.46013500919116</v>
      </c>
      <c r="EN129" s="59">
        <f t="shared" si="74"/>
        <v>1144.1233115616033</v>
      </c>
      <c r="EO129" s="59">
        <f ca="1">AVERAGE(OFFSET($EN$3,0,0,'Données projet'!$E$15+1,1))-AVERAGE(OFFSET($H$3,0,0,'Données projet'!$E$15+1,1))</f>
        <v>713.57333631602273</v>
      </c>
      <c r="EP129" s="59">
        <f t="shared" si="100"/>
        <v>325.30302392555359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73.443199735058727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73.443199735058727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5.6843418860808015E-14</v>
      </c>
      <c r="FF129" s="17">
        <f>FE129*VLOOKUP('Données projet'!$B$16,Paramètres!$A$1:$I$89,3,0)*VLOOKUP('Données projet'!$B$16,Paramètres!$A$1:$I$89,5,0)</f>
        <v>4.4337866711430253E-14</v>
      </c>
      <c r="FG129" s="13">
        <f t="shared" si="101"/>
        <v>7.3222115536967035E-13</v>
      </c>
      <c r="FH129" s="20">
        <f t="shared" si="76"/>
        <v>1.3525069634579169E-12</v>
      </c>
      <c r="FI129" s="59">
        <f t="shared" si="77"/>
        <v>286.6631765524134</v>
      </c>
      <c r="FJ129" s="59">
        <f ca="1">AVERAGE(OFFSET($FI$3,0,0,'Données projet'!$E$16+1,1))-AVERAGE(OFFSET($H$3,0,0,'Données projet'!$E$16+1,1))</f>
        <v>302.04287561738482</v>
      </c>
      <c r="FK129" s="59">
        <f t="shared" si="102"/>
        <v>296.09828774694802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33.37463357827766</v>
      </c>
      <c r="FR129" s="21">
        <f>EXP(-LN(2)/25)*FR128+(1-EXP(-LN(2)/25))/(LN(2)/25)*Calculateur!FM129*Calculateur!FO129*VLOOKUP('Données projet'!$B$16,Paramètres!$A$1:$I$89,3,0)*0.475*44/12</f>
        <v>10.481050236747675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43.855683815025337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2.7899999999999991</v>
      </c>
      <c r="FZ129" s="12">
        <f>IF('Données projet'!$A$244&gt;35,FZ128+FY129-GH128,IF(A129&lt;'Données projet'!$A$244,$FW$205^A129,IF(A129='Données projet'!$A$244,'Données projet'!$B$244,FZ128+FY129-GH128)))</f>
        <v>127.13999999999997</v>
      </c>
      <c r="GA129" s="17">
        <f>FZ129*VLOOKUP('Données projet'!$B$17,Paramètres!$A$1:$I$89,3,0)*VLOOKUP('Données projet'!$B$17,Paramètres!$A$1:$I$89,5,0)</f>
        <v>107.10273599999999</v>
      </c>
      <c r="GB129" s="13">
        <f t="shared" si="103"/>
        <v>28.647309778652222</v>
      </c>
      <c r="GC129" s="20">
        <f t="shared" si="79"/>
        <v>236.43132973115257</v>
      </c>
      <c r="GD129" s="59">
        <f t="shared" si="80"/>
        <v>523.09450628356467</v>
      </c>
      <c r="GE129" s="59">
        <f ca="1">AVERAGE(OFFSET($GD$3,0,0,'Données projet'!$E$17+1,1))-AVERAGE(OFFSET($H$3,0,0,'Données projet'!$E$17+1,1))</f>
        <v>385.41819366740276</v>
      </c>
      <c r="GF129" s="59">
        <f t="shared" si="104"/>
        <v>262.4625391252718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95.522094092342854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95.522094092342854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68.180866332476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3.3000000000000003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12.100000000000001</v>
      </c>
      <c r="H130" s="67">
        <f t="shared" si="56"/>
        <v>208.26666666666665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8.0699999999999985</v>
      </c>
      <c r="N130" s="13">
        <f>IF('Données projet'!$A$36&gt;35,N129+M130-V129,IF(A130&lt;'Données projet'!$A$36,$K$205^A130,IF(A130='Données projet'!$A$36,'Données projet'!$B$36,N129+M130-V129)))</f>
        <v>380.1000000000007</v>
      </c>
      <c r="O130" s="13">
        <f>N130*VLOOKUP('Données projet'!$B$9,Paramètres!$A$1:$I$89,3,0)*VLOOKUP('Données projet'!$B$9,Paramètres!$A$1:$I$89,5,0)</f>
        <v>343.91448000000065</v>
      </c>
      <c r="P130" s="13">
        <f t="shared" si="87"/>
        <v>80.308163160675235</v>
      </c>
      <c r="Q130" s="20">
        <f t="shared" si="107"/>
        <v>738.85443683817709</v>
      </c>
      <c r="R130" s="59">
        <f t="shared" si="55"/>
        <v>1025.6333256985015</v>
      </c>
      <c r="S130" s="59">
        <f ca="1">AVERAGE(OFFSET($R$3,0,0,'Données projet'!$E$9+1,1))-AVERAGE(OFFSET($H$3,0,0,'Données projet'!$E$9+1,1))</f>
        <v>612.09138396952153</v>
      </c>
      <c r="T130" s="59">
        <f t="shared" si="88"/>
        <v>282.284310393542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60.524280525834833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60.524280525834833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385.42140000000074</v>
      </c>
      <c r="AK130" s="13">
        <f t="shared" si="89"/>
        <v>88.814721741694029</v>
      </c>
      <c r="AL130" s="20">
        <f t="shared" si="58"/>
        <v>825.96124536678508</v>
      </c>
      <c r="AM130" s="59">
        <f t="shared" si="59"/>
        <v>1112.7401342271096</v>
      </c>
      <c r="AN130" s="59">
        <f ca="1">AVERAGE(OFFSET($AM$3,0,0,'Données projet'!$E$10+1,1))-AVERAGE(OFFSET($H$3,0,0,'Données projet'!$E$10+1,1))</f>
        <v>676.7112666359476</v>
      </c>
      <c r="AO130" s="59">
        <f t="shared" si="90"/>
        <v>309.67876644201385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67.828935072056296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67.828935072056296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379.49184000000076</v>
      </c>
      <c r="BF130" s="13">
        <f t="shared" si="91"/>
        <v>87.60630081026207</v>
      </c>
      <c r="BG130" s="20">
        <f t="shared" si="61"/>
        <v>813.52926191120775</v>
      </c>
      <c r="BH130" s="59">
        <f t="shared" si="62"/>
        <v>1100.3081507715322</v>
      </c>
      <c r="BI130" s="59">
        <f ca="1">AVERAGE(OFFSET($BH$3,0,0,'Données projet'!$E$11+1,1))-AVERAGE(OFFSET($H$3,0,0,'Données projet'!$E$11+1,1))</f>
        <v>667.4887768032404</v>
      </c>
      <c r="BJ130" s="59">
        <f t="shared" si="92"/>
        <v>305.76944302827178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66.785412994024668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66.785412994024668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361.70316000000065</v>
      </c>
      <c r="CA130" s="13">
        <f t="shared" si="93"/>
        <v>83.967681128671643</v>
      </c>
      <c r="CB130" s="20">
        <f t="shared" si="64"/>
        <v>776.21004829910419</v>
      </c>
      <c r="CC130" s="59">
        <f t="shared" si="65"/>
        <v>1062.9889371594286</v>
      </c>
      <c r="CD130" s="59">
        <f ca="1">AVERAGE(OFFSET($CC$3,0,0,'Données projet'!$E$12+1,1))-AVERAGE(OFFSET($H$3,0,0,'Données projet'!$E$12+1,1))</f>
        <v>639.80378676828764</v>
      </c>
      <c r="CE130" s="59">
        <f t="shared" si="94"/>
        <v>294.03328334345281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63.654846759929747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63.654846759929747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-1.7053025658242404E-13</v>
      </c>
      <c r="CU130" s="17">
        <f>CT130*VLOOKUP('Données projet'!$B$13,Paramètres!$A$1:$I$89,3,0)*VLOOKUP('Données projet'!$B$13,Paramètres!$A$1:$I$89,5,0)</f>
        <v>-1.4897523215040567E-13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340.64710509454375</v>
      </c>
      <c r="CZ130" s="59">
        <f t="shared" si="96"/>
        <v>329.6409514360613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38.467214043419645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38.467214043419645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8.0699999999999985</v>
      </c>
      <c r="DO130" s="12">
        <f>IF('Données projet'!$A$166&gt;35,DO129+DN130-DW129,IF(A130&lt;'Données projet'!$A$166,$DL$205^A130,IF(A130='Données projet'!$A$166,'Données projet'!$B$166,DO129+DN130-DW129)))</f>
        <v>380.1000000000007</v>
      </c>
      <c r="DP130" s="17">
        <f>DO130*VLOOKUP('Données projet'!$B$14,Paramètres!$A$1:$I$89,3,0)*VLOOKUP('Données projet'!$B$14,Paramètres!$A$1:$I$89,5,0)</f>
        <v>367.63272000000069</v>
      </c>
      <c r="DQ130" s="13">
        <f t="shared" si="97"/>
        <v>85.182820193593429</v>
      </c>
      <c r="DR130" s="20">
        <f t="shared" si="70"/>
        <v>788.65373250384312</v>
      </c>
      <c r="DS130" s="59">
        <f t="shared" si="71"/>
        <v>1075.4326213641675</v>
      </c>
      <c r="DT130" s="59">
        <f ca="1">AVERAGE(OFFSET($DS$3,0,0,'Données projet'!$E$14+1,1))-AVERAGE(OFFSET($H$3,0,0,'Données projet'!$E$14+1,1))</f>
        <v>649.03508893149228</v>
      </c>
      <c r="DU130" s="59">
        <f t="shared" si="98"/>
        <v>297.94672581383213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64.698368837961382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64.698368837961382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8.0699999999999985</v>
      </c>
      <c r="EJ130" s="12">
        <f>IF('Données projet'!$A$192&gt;35,EJ129+EI130-ER129,IF(A130&lt;'Données projet'!$A$192,$EG$205^A130,IF(A130='Données projet'!$A$192,'Données projet'!$B$192,EJ129+EI130-ER129)))</f>
        <v>380.1000000000007</v>
      </c>
      <c r="EK130" s="17">
        <f>EJ130*VLOOKUP('Données projet'!$B$15,Paramètres!$A$1:$I$89,3,0)*VLOOKUP('Données projet'!$B$15,Paramètres!$A$1:$I$89,5,0)</f>
        <v>409.13964000000072</v>
      </c>
      <c r="EL130" s="13">
        <f t="shared" si="99"/>
        <v>93.627143623372021</v>
      </c>
      <c r="EM130" s="20">
        <f t="shared" si="73"/>
        <v>875.65214814404089</v>
      </c>
      <c r="EN130" s="59">
        <f t="shared" si="74"/>
        <v>1162.4310370043654</v>
      </c>
      <c r="EO130" s="59">
        <f ca="1">AVERAGE(OFFSET($EN$3,0,0,'Données projet'!$E$15+1,1))-AVERAGE(OFFSET($H$3,0,0,'Données projet'!$E$15+1,1))</f>
        <v>713.57333631602273</v>
      </c>
      <c r="EP130" s="59">
        <f t="shared" si="100"/>
        <v>325.30302392555359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72.003023384182839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72.003023384182839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5.6843418860808015E-14</v>
      </c>
      <c r="FF130" s="17">
        <f>FE130*VLOOKUP('Données projet'!$B$16,Paramètres!$A$1:$I$89,3,0)*VLOOKUP('Données projet'!$B$16,Paramètres!$A$1:$I$89,5,0)</f>
        <v>4.4337866711430253E-14</v>
      </c>
      <c r="FG130" s="13">
        <f t="shared" si="101"/>
        <v>7.3222115536967035E-13</v>
      </c>
      <c r="FH130" s="20">
        <f t="shared" si="76"/>
        <v>1.3525069634579169E-12</v>
      </c>
      <c r="FI130" s="59">
        <f t="shared" si="77"/>
        <v>286.77888886032576</v>
      </c>
      <c r="FJ130" s="59">
        <f ca="1">AVERAGE(OFFSET($FI$3,0,0,'Données projet'!$E$16+1,1))-AVERAGE(OFFSET($H$3,0,0,'Données projet'!$E$16+1,1))</f>
        <v>302.04287561738482</v>
      </c>
      <c r="FK130" s="59">
        <f t="shared" si="102"/>
        <v>296.09828774694802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32.72017737032408</v>
      </c>
      <c r="FR130" s="21">
        <f>EXP(-LN(2)/25)*FR129+(1-EXP(-LN(2)/25))/(LN(2)/25)*Calculateur!FM130*Calculateur!FO130*VLOOKUP('Données projet'!$B$16,Paramètres!$A$1:$I$89,3,0)*0.475*44/12</f>
        <v>10.194445366849333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42.914622737173417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>
        <f>VLOOKUP(A130,'Données projet'!$A$243:$I$263,2,0)</f>
        <v>129.93</v>
      </c>
      <c r="FX130" s="12">
        <f>VLOOKUP(A130,'Données projet'!$A$243:$I$263,9,0)</f>
        <v>2.7899999999999991</v>
      </c>
      <c r="FY130" s="12">
        <f t="array" ref="FY130">INDEX(FX:FX,MIN(IF(ISNUMBER(FX130:FX326),ROW(FX130:FX326),"")))</f>
        <v>2.7899999999999991</v>
      </c>
      <c r="FZ130" s="12">
        <f>IF('Données projet'!$A$244&gt;35,FZ129+FY130-GH129,IF(A130&lt;'Données projet'!$A$244,$FW$205^A130,IF(A130='Données projet'!$A$244,'Données projet'!$B$244,FZ129+FY130-GH129)))</f>
        <v>129.92999999999998</v>
      </c>
      <c r="GA130" s="17">
        <f>FZ130*VLOOKUP('Données projet'!$B$17,Paramètres!$A$1:$I$89,3,0)*VLOOKUP('Données projet'!$B$17,Paramètres!$A$1:$I$89,5,0)</f>
        <v>109.45303200000001</v>
      </c>
      <c r="GB130" s="13">
        <f t="shared" si="103"/>
        <v>29.202077281958992</v>
      </c>
      <c r="GC130" s="20">
        <f t="shared" si="79"/>
        <v>241.4909819994119</v>
      </c>
      <c r="GD130" s="59">
        <f t="shared" si="80"/>
        <v>528.26987085973633</v>
      </c>
      <c r="GE130" s="59">
        <f ca="1">AVERAGE(OFFSET($GD$3,0,0,'Données projet'!$E$17+1,1))-AVERAGE(OFFSET($H$3,0,0,'Données projet'!$E$17+1,1))</f>
        <v>385.41819366740276</v>
      </c>
      <c r="GF130" s="59">
        <f t="shared" si="104"/>
        <v>262.4625391252718</v>
      </c>
      <c r="GG130" s="15">
        <f>IF(ISNA(VLOOKUP(A130,'Données projet'!$A$243:$I$263,3,0)),0,VLOOKUP(A130,'Données projet'!$A$243:$I$263,3,0))</f>
        <v>13</v>
      </c>
      <c r="GH130" s="15">
        <f>IF(ISNA(VLOOKUP(A130,'Données projet'!$A$243:$I$263,4,0)),0,VLOOKUP(A130,'Données projet'!$A$243:$I$263,4,0))</f>
        <v>39.56</v>
      </c>
      <c r="GI130" s="16">
        <f>IF(ISNA(VLOOKUP(A130,'Données projet'!$A$243:$I$263,5,0)),0%,VLOOKUP(A130,'Données projet'!$A$243:$I$263,5,0)*VLOOKUP('Données projet'!$B$17,Paramètres!$A$1:$I$89,7,0))</f>
        <v>0.25800000000000001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103.15373070529095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103.15373070529095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68.212424234633929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3.3000000000000003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12.100000000000001</v>
      </c>
      <c r="H131" s="67">
        <f t="shared" si="56"/>
        <v>208.26666666666665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8.0699999999999985</v>
      </c>
      <c r="N131" s="13">
        <f>IF('Données projet'!$A$36&gt;35,N130+M131-V130,IF(A131&lt;'Données projet'!$A$36,$K$205^A131,IF(A131='Données projet'!$A$36,'Données projet'!$B$36,N130+M131-V130)))</f>
        <v>388.1700000000007</v>
      </c>
      <c r="O131" s="13">
        <f>N131*VLOOKUP('Données projet'!$B$9,Paramètres!$A$1:$I$89,3,0)*VLOOKUP('Données projet'!$B$9,Paramètres!$A$1:$I$89,5,0)</f>
        <v>351.2162160000006</v>
      </c>
      <c r="P131" s="13">
        <f t="shared" si="87"/>
        <v>81.812892161752615</v>
      </c>
      <c r="Q131" s="20">
        <f t="shared" ref="Q131:Q153" si="108">(O131+P131)*0.475*44/12</f>
        <v>754.19236338172016</v>
      </c>
      <c r="R131" s="59">
        <f t="shared" ref="R131:R194" si="109">Q131+(I131+J131)*44/12</f>
        <v>1041.0849572001086</v>
      </c>
      <c r="S131" s="59">
        <f ca="1">AVERAGE(OFFSET($R$3,0,0,'Données projet'!$E$9+1,1))-AVERAGE(OFFSET($H$3,0,0,'Données projet'!$E$9+1,1))</f>
        <v>612.09138396952153</v>
      </c>
      <c r="T131" s="59">
        <f t="shared" si="88"/>
        <v>282.284310393542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59.337436300889166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59.337436300889166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393.60438000000073</v>
      </c>
      <c r="AK131" s="13">
        <f t="shared" si="89"/>
        <v>90.478837595769321</v>
      </c>
      <c r="AL131" s="20">
        <f t="shared" si="58"/>
        <v>843.1116039792995</v>
      </c>
      <c r="AM131" s="59">
        <f t="shared" si="59"/>
        <v>1130.004197797688</v>
      </c>
      <c r="AN131" s="59">
        <f ca="1">AVERAGE(OFFSET($AM$3,0,0,'Données projet'!$E$10+1,1))-AVERAGE(OFFSET($H$3,0,0,'Données projet'!$E$10+1,1))</f>
        <v>676.7112666359476</v>
      </c>
      <c r="AO131" s="59">
        <f t="shared" si="90"/>
        <v>309.67876644201385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66.49885102685856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66.49885102685856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387.54892800000073</v>
      </c>
      <c r="BF131" s="13">
        <f t="shared" si="91"/>
        <v>89.247774557365034</v>
      </c>
      <c r="BG131" s="20">
        <f t="shared" si="61"/>
        <v>830.42092362074527</v>
      </c>
      <c r="BH131" s="59">
        <f t="shared" si="62"/>
        <v>1117.3135174391339</v>
      </c>
      <c r="BI131" s="59">
        <f ca="1">AVERAGE(OFFSET($BH$3,0,0,'Données projet'!$E$11+1,1))-AVERAGE(OFFSET($H$3,0,0,'Données projet'!$E$11+1,1))</f>
        <v>667.4887768032404</v>
      </c>
      <c r="BJ131" s="59">
        <f t="shared" si="92"/>
        <v>305.76944302827178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65.475791780291516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65.475791780291516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369.38257200000066</v>
      </c>
      <c r="CA131" s="13">
        <f t="shared" si="93"/>
        <v>85.540978287700739</v>
      </c>
      <c r="CB131" s="20">
        <f t="shared" si="64"/>
        <v>792.32518341774664</v>
      </c>
      <c r="CC131" s="59">
        <f t="shared" si="65"/>
        <v>1079.2177772361351</v>
      </c>
      <c r="CD131" s="59">
        <f ca="1">AVERAGE(OFFSET($CC$3,0,0,'Données projet'!$E$12+1,1))-AVERAGE(OFFSET($H$3,0,0,'Données projet'!$E$12+1,1))</f>
        <v>639.80378676828764</v>
      </c>
      <c r="CE131" s="59">
        <f t="shared" si="94"/>
        <v>294.03328334345281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62.406614040590334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62.406614040590334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-1.7053025658242404E-13</v>
      </c>
      <c r="CU131" s="17">
        <f>CT131*VLOOKUP('Données projet'!$B$13,Paramètres!$A$1:$I$89,3,0)*VLOOKUP('Données projet'!$B$13,Paramètres!$A$1:$I$89,5,0)</f>
        <v>-1.4897523215040567E-13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340.64710509454375</v>
      </c>
      <c r="CZ131" s="59">
        <f t="shared" si="96"/>
        <v>329.6409514360613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37.712895438712003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37.712895438712003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8.0699999999999985</v>
      </c>
      <c r="DO131" s="12">
        <f>IF('Données projet'!$A$166&gt;35,DO130+DN131-DW130,IF(A131&lt;'Données projet'!$A$166,$DL$205^A131,IF(A131='Données projet'!$A$166,'Données projet'!$B$166,DO130+DN131-DW130)))</f>
        <v>388.1700000000007</v>
      </c>
      <c r="DP131" s="17">
        <f>DO131*VLOOKUP('Données projet'!$B$14,Paramètres!$A$1:$I$89,3,0)*VLOOKUP('Données projet'!$B$14,Paramètres!$A$1:$I$89,5,0)</f>
        <v>375.43802400000067</v>
      </c>
      <c r="DQ131" s="13">
        <f t="shared" si="97"/>
        <v>86.778885336839423</v>
      </c>
      <c r="DR131" s="20">
        <f t="shared" si="70"/>
        <v>805.02778376166316</v>
      </c>
      <c r="DS131" s="59">
        <f t="shared" si="71"/>
        <v>1091.9203775800518</v>
      </c>
      <c r="DT131" s="59">
        <f ca="1">AVERAGE(OFFSET($DS$3,0,0,'Données projet'!$E$14+1,1))-AVERAGE(OFFSET($H$3,0,0,'Données projet'!$E$14+1,1))</f>
        <v>649.03508893149228</v>
      </c>
      <c r="DU131" s="59">
        <f t="shared" si="98"/>
        <v>297.94672581383213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63.429673287157392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63.429673287157392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8.0699999999999985</v>
      </c>
      <c r="EJ131" s="12">
        <f>IF('Données projet'!$A$192&gt;35,EJ130+EI131-ER130,IF(A131&lt;'Données projet'!$A$192,$EG$205^A131,IF(A131='Données projet'!$A$192,'Données projet'!$B$192,EJ130+EI131-ER130)))</f>
        <v>388.1700000000007</v>
      </c>
      <c r="EK131" s="17">
        <f>EJ131*VLOOKUP('Données projet'!$B$15,Paramètres!$A$1:$I$89,3,0)*VLOOKUP('Données projet'!$B$15,Paramètres!$A$1:$I$89,5,0)</f>
        <v>417.82618800000074</v>
      </c>
      <c r="EL131" s="13">
        <f t="shared" si="99"/>
        <v>95.381429523502177</v>
      </c>
      <c r="EM131" s="20">
        <f t="shared" si="73"/>
        <v>893.83660052010089</v>
      </c>
      <c r="EN131" s="59">
        <f t="shared" si="74"/>
        <v>1180.7291943384894</v>
      </c>
      <c r="EO131" s="59">
        <f ca="1">AVERAGE(OFFSET($EN$3,0,0,'Données projet'!$E$15+1,1))-AVERAGE(OFFSET($H$3,0,0,'Données projet'!$E$15+1,1))</f>
        <v>713.57333631602273</v>
      </c>
      <c r="EP131" s="59">
        <f t="shared" si="100"/>
        <v>325.30302392555359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70.591088013126779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70.591088013126779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5.6843418860808015E-14</v>
      </c>
      <c r="FF131" s="17">
        <f>FE131*VLOOKUP('Données projet'!$B$16,Paramètres!$A$1:$I$89,3,0)*VLOOKUP('Données projet'!$B$16,Paramètres!$A$1:$I$89,5,0)</f>
        <v>4.4337866711430253E-14</v>
      </c>
      <c r="FG131" s="13">
        <f t="shared" si="101"/>
        <v>7.3222115536967035E-13</v>
      </c>
      <c r="FH131" s="20">
        <f t="shared" si="76"/>
        <v>1.3525069634579169E-12</v>
      </c>
      <c r="FI131" s="59">
        <f t="shared" si="77"/>
        <v>286.89259381838991</v>
      </c>
      <c r="FJ131" s="59">
        <f ca="1">AVERAGE(OFFSET($FI$3,0,0,'Données projet'!$E$16+1,1))-AVERAGE(OFFSET($H$3,0,0,'Données projet'!$E$16+1,1))</f>
        <v>302.04287561738482</v>
      </c>
      <c r="FK131" s="59">
        <f t="shared" si="102"/>
        <v>296.09828774694802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32.078554649429599</v>
      </c>
      <c r="FR131" s="21">
        <f>EXP(-LN(2)/25)*FR130+(1-EXP(-LN(2)/25))/(LN(2)/25)*Calculateur!FM131*Calculateur!FO131*VLOOKUP('Données projet'!$B$16,Paramètres!$A$1:$I$89,3,0)*0.475*44/12</f>
        <v>9.9156777221902566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41.994232371619859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2.0666666666666629</v>
      </c>
      <c r="FZ131" s="12">
        <f>IF('Données projet'!$A$244&gt;35,FZ130+FY131-GH130,IF(A131&lt;'Données projet'!$A$244,$FW$205^A131,IF(A131='Données projet'!$A$244,'Données projet'!$B$244,FZ130+FY131-GH130)))</f>
        <v>92.436666666666639</v>
      </c>
      <c r="GA131" s="17">
        <f>FZ131*VLOOKUP('Données projet'!$B$17,Paramètres!$A$1:$I$89,3,0)*VLOOKUP('Données projet'!$B$17,Paramètres!$A$1:$I$89,5,0)</f>
        <v>77.868647999999993</v>
      </c>
      <c r="GB131" s="13">
        <f t="shared" si="103"/>
        <v>21.615241321016015</v>
      </c>
      <c r="GC131" s="20">
        <f t="shared" si="79"/>
        <v>173.26777390076953</v>
      </c>
      <c r="GD131" s="59">
        <f t="shared" si="80"/>
        <v>460.1603677191581</v>
      </c>
      <c r="GE131" s="59">
        <f ca="1">AVERAGE(OFFSET($GD$3,0,0,'Données projet'!$E$17+1,1))-AVERAGE(OFFSET($H$3,0,0,'Données projet'!$E$17+1,1))</f>
        <v>385.41819366740276</v>
      </c>
      <c r="GF131" s="59">
        <f t="shared" si="104"/>
        <v>262.4625391252718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101.13094896372334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101.13094896372334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68.243434677742329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3.3000000000000003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12.100000000000001</v>
      </c>
      <c r="H132" s="67">
        <f t="shared" ref="H132:H195" si="110">(B132+E132+F132)*44/12+(C132+D132)*0.475*44/12</f>
        <v>208.26666666666665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8.0699999999999985</v>
      </c>
      <c r="N132" s="13">
        <f>IF('Données projet'!$A$36&gt;35,N131+M132-V131,IF(A132&lt;'Données projet'!$A$36,$K$205^A132,IF(A132='Données projet'!$A$36,'Données projet'!$B$36,N131+M132-V131)))</f>
        <v>396.24000000000069</v>
      </c>
      <c r="O132" s="13">
        <f>N132*VLOOKUP('Données projet'!$B$9,Paramètres!$A$1:$I$89,3,0)*VLOOKUP('Données projet'!$B$9,Paramètres!$A$1:$I$89,5,0)</f>
        <v>358.51795200000061</v>
      </c>
      <c r="P132" s="13">
        <f t="shared" si="87"/>
        <v>83.313983934777241</v>
      </c>
      <c r="Q132" s="20">
        <f t="shared" si="108"/>
        <v>769.52395508640473</v>
      </c>
      <c r="R132" s="59">
        <f t="shared" si="109"/>
        <v>1056.5282813360411</v>
      </c>
      <c r="S132" s="59">
        <f ca="1">AVERAGE(OFFSET($R$3,0,0,'Données projet'!$E$9+1,1))-AVERAGE(OFFSET($H$3,0,0,'Données projet'!$E$9+1,1))</f>
        <v>612.09138396952153</v>
      </c>
      <c r="T132" s="59">
        <f t="shared" si="88"/>
        <v>282.284310393542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58.173865367291185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58.173865367291185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401.78736000000072</v>
      </c>
      <c r="AK132" s="13">
        <f t="shared" si="89"/>
        <v>92.138930952196844</v>
      </c>
      <c r="AL132" s="20">
        <f t="shared" ref="AL132:AL153" si="112">(AJ132+AK132)*0.475*44/12</f>
        <v>860.25495674174408</v>
      </c>
      <c r="AM132" s="59">
        <f t="shared" ref="AM132:AM195" si="113">AL132+(AD132+AE132)*44/12</f>
        <v>1147.2592829913806</v>
      </c>
      <c r="AN132" s="59">
        <f ca="1">AVERAGE(OFFSET($AM$3,0,0,'Données projet'!$E$10+1,1))-AVERAGE(OFFSET($H$3,0,0,'Données projet'!$E$10+1,1))</f>
        <v>676.7112666359476</v>
      </c>
      <c r="AO132" s="59">
        <f t="shared" si="90"/>
        <v>309.67876644201385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65.19484911851599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65.19484911851599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395.60601600000069</v>
      </c>
      <c r="BF132" s="13">
        <f t="shared" si="91"/>
        <v>90.885280537277751</v>
      </c>
      <c r="BG132" s="20">
        <f t="shared" ref="BG132:BG153" si="115">(BE132+BF132)*0.475*44/12</f>
        <v>847.30567480242655</v>
      </c>
      <c r="BH132" s="59">
        <f t="shared" ref="BH132:BH195" si="116">BG132+(AY132+AZ132)*44/12</f>
        <v>1134.3100010520629</v>
      </c>
      <c r="BI132" s="59">
        <f ca="1">AVERAGE(OFFSET($BH$3,0,0,'Données projet'!$E$11+1,1))-AVERAGE(OFFSET($H$3,0,0,'Données projet'!$E$11+1,1))</f>
        <v>667.4887768032404</v>
      </c>
      <c r="BJ132" s="59">
        <f t="shared" si="92"/>
        <v>305.76944302827178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64.191851439769607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64.191851439769607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377.06198400000068</v>
      </c>
      <c r="CA132" s="13">
        <f t="shared" si="93"/>
        <v>87.11047247585725</v>
      </c>
      <c r="CB132" s="20">
        <f t="shared" ref="CB132:CB153" si="118">(BZ132+CA132)*0.475*44/12</f>
        <v>808.43369502878579</v>
      </c>
      <c r="CC132" s="59">
        <f t="shared" ref="CC132:CC195" si="119">CB132+(BT132+BU132)*44/12</f>
        <v>1095.4380212784222</v>
      </c>
      <c r="CD132" s="59">
        <f ca="1">AVERAGE(OFFSET($CC$3,0,0,'Données projet'!$E$12+1,1))-AVERAGE(OFFSET($H$3,0,0,'Données projet'!$E$12+1,1))</f>
        <v>639.80378676828764</v>
      </c>
      <c r="CE132" s="59">
        <f t="shared" si="94"/>
        <v>294.03328334345281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61.182858403530389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61.182858403530389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-1.7053025658242404E-13</v>
      </c>
      <c r="CU132" s="17">
        <f>CT132*VLOOKUP('Données projet'!$B$13,Paramètres!$A$1:$I$89,3,0)*VLOOKUP('Données projet'!$B$13,Paramètres!$A$1:$I$89,5,0)</f>
        <v>-1.4897523215040567E-13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340.64710509454375</v>
      </c>
      <c r="CZ132" s="59">
        <f t="shared" si="96"/>
        <v>329.6409514360613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36.973368561753759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36.973368561753759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8.0699999999999985</v>
      </c>
      <c r="DO132" s="12">
        <f>IF('Données projet'!$A$166&gt;35,DO131+DN132-DW131,IF(A132&lt;'Données projet'!$A$166,$DL$205^A132,IF(A132='Données projet'!$A$166,'Données projet'!$B$166,DO131+DN132-DW131)))</f>
        <v>396.24000000000069</v>
      </c>
      <c r="DP132" s="17">
        <f>DO132*VLOOKUP('Données projet'!$B$14,Paramètres!$A$1:$I$89,3,0)*VLOOKUP('Données projet'!$B$14,Paramètres!$A$1:$I$89,5,0)</f>
        <v>383.2433280000007</v>
      </c>
      <c r="DQ132" s="13">
        <f t="shared" si="97"/>
        <v>88.371092474485081</v>
      </c>
      <c r="DR132" s="20">
        <f t="shared" ref="DR132:DR153" si="124">(DP132+DQ132)*0.475*44/12</f>
        <v>821.39511565972941</v>
      </c>
      <c r="DS132" s="59">
        <f t="shared" ref="DS132:DS195" si="125">DR132+(DJ132+DK132)*44/12</f>
        <v>1108.3994419093658</v>
      </c>
      <c r="DT132" s="59">
        <f ca="1">AVERAGE(OFFSET($DS$3,0,0,'Données projet'!$E$14+1,1))-AVERAGE(OFFSET($H$3,0,0,'Données projet'!$E$14+1,1))</f>
        <v>649.03508893149228</v>
      </c>
      <c r="DU132" s="59">
        <f t="shared" si="98"/>
        <v>297.94672581383213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62.185856082276793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62.185856082276793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8.0699999999999985</v>
      </c>
      <c r="EJ132" s="12">
        <f>IF('Données projet'!$A$192&gt;35,EJ131+EI132-ER131,IF(A132&lt;'Données projet'!$A$192,$EG$205^A132,IF(A132='Données projet'!$A$192,'Données projet'!$B$192,EJ131+EI132-ER131)))</f>
        <v>396.24000000000069</v>
      </c>
      <c r="EK132" s="17">
        <f>EJ132*VLOOKUP('Données projet'!$B$15,Paramètres!$A$1:$I$89,3,0)*VLOOKUP('Données projet'!$B$15,Paramètres!$A$1:$I$89,5,0)</f>
        <v>426.5127360000007</v>
      </c>
      <c r="EL132" s="13">
        <f t="shared" si="99"/>
        <v>97.131474967122273</v>
      </c>
      <c r="EM132" s="20">
        <f t="shared" ref="EM132:EM153" si="127">(EK132+EL132)*0.475*44/12</f>
        <v>912.01366743440576</v>
      </c>
      <c r="EN132" s="59">
        <f t="shared" ref="EN132:EN195" si="128">EM132+(EE132+EF132)*44/12</f>
        <v>1199.0179936840423</v>
      </c>
      <c r="EO132" s="59">
        <f ca="1">AVERAGE(OFFSET($EN$3,0,0,'Données projet'!$E$15+1,1))-AVERAGE(OFFSET($H$3,0,0,'Données projet'!$E$15+1,1))</f>
        <v>713.57333631602273</v>
      </c>
      <c r="EP132" s="59">
        <f t="shared" si="100"/>
        <v>325.30302392555359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69.20683983350159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69.20683983350159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5.6843418860808015E-14</v>
      </c>
      <c r="FF132" s="17">
        <f>FE132*VLOOKUP('Données projet'!$B$16,Paramètres!$A$1:$I$89,3,0)*VLOOKUP('Données projet'!$B$16,Paramètres!$A$1:$I$89,5,0)</f>
        <v>4.4337866711430253E-14</v>
      </c>
      <c r="FG132" s="13">
        <f t="shared" si="101"/>
        <v>7.3222115536967035E-13</v>
      </c>
      <c r="FH132" s="20">
        <f t="shared" ref="FH132:FH153" si="130">(FF132+FG132)*0.475*44/12</f>
        <v>1.3525069634579169E-12</v>
      </c>
      <c r="FI132" s="59">
        <f t="shared" ref="FI132:FI195" si="131">FH132+(EZ132+FA132)*44/12</f>
        <v>287.00432624963781</v>
      </c>
      <c r="FJ132" s="59">
        <f ca="1">AVERAGE(OFFSET($FI$3,0,0,'Données projet'!$E$16+1,1))-AVERAGE(OFFSET($H$3,0,0,'Données projet'!$E$16+1,1))</f>
        <v>302.04287561738482</v>
      </c>
      <c r="FK132" s="59">
        <f t="shared" si="102"/>
        <v>296.09828774694802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31.44951375874064</v>
      </c>
      <c r="FR132" s="21">
        <f>EXP(-LN(2)/25)*FR131+(1-EXP(-LN(2)/25))/(LN(2)/25)*Calculateur!FM132*Calculateur!FO132*VLOOKUP('Données projet'!$B$16,Paramètres!$A$1:$I$89,3,0)*0.475*44/12</f>
        <v>9.6445329934341348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41.094046752174776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2.0666666666666629</v>
      </c>
      <c r="FZ132" s="12">
        <f>IF('Données projet'!$A$244&gt;35,FZ131+FY132-GH131,IF(A132&lt;'Données projet'!$A$244,$FW$205^A132,IF(A132='Données projet'!$A$244,'Données projet'!$B$244,FZ131+FY132-GH131)))</f>
        <v>94.503333333333302</v>
      </c>
      <c r="GA132" s="17">
        <f>FZ132*VLOOKUP('Données projet'!$B$17,Paramètres!$A$1:$I$89,3,0)*VLOOKUP('Données projet'!$B$17,Paramètres!$A$1:$I$89,5,0)</f>
        <v>79.60960799999998</v>
      </c>
      <c r="GB132" s="13">
        <f t="shared" si="103"/>
        <v>22.04170409618445</v>
      </c>
      <c r="GC132" s="20">
        <f t="shared" ref="GC132:GC153" si="133">(GA132+GB132)*0.475*44/12</f>
        <v>177.0427019008545</v>
      </c>
      <c r="GD132" s="59">
        <f t="shared" ref="GD132:GD195" si="134">GC132+(FU132+FV132)*44/12</f>
        <v>464.04702815049097</v>
      </c>
      <c r="GE132" s="59">
        <f ca="1">AVERAGE(OFFSET($GD$3,0,0,'Données projet'!$E$17+1,1))-AVERAGE(OFFSET($H$3,0,0,'Données projet'!$E$17+1,1))</f>
        <v>385.41819366740276</v>
      </c>
      <c r="GF132" s="59">
        <f t="shared" si="104"/>
        <v>262.4625391252718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99.147832738332824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99.147832738332824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68.273907158991761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3.3000000000000003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12.100000000000001</v>
      </c>
      <c r="H133" s="67">
        <f t="shared" si="110"/>
        <v>208.26666666666665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8.0699999999999985</v>
      </c>
      <c r="N133" s="13">
        <f>IF('Données projet'!$A$36&gt;35,N132+M133-V132,IF(A133&lt;'Données projet'!$A$36,$K$205^A133,IF(A133='Données projet'!$A$36,'Données projet'!$B$36,N132+M133-V132)))</f>
        <v>404.31000000000068</v>
      </c>
      <c r="O133" s="13">
        <f>N133*VLOOKUP('Données projet'!$B$9,Paramètres!$A$1:$I$89,3,0)*VLOOKUP('Données projet'!$B$9,Paramètres!$A$1:$I$89,5,0)</f>
        <v>365.81968800000061</v>
      </c>
      <c r="P133" s="13">
        <f t="shared" ref="P133:P196" si="141">EXP(-1.0587+0.8836*LN(O133)+0.284)</f>
        <v>84.811521093342051</v>
      </c>
      <c r="Q133" s="20">
        <f t="shared" si="108"/>
        <v>784.84935583757169</v>
      </c>
      <c r="R133" s="59">
        <f t="shared" si="109"/>
        <v>1071.9634762105702</v>
      </c>
      <c r="S133" s="59">
        <f ca="1">AVERAGE(OFFSET($R$3,0,0,'Données projet'!$E$9+1,1))-AVERAGE(OFFSET($H$3,0,0,'Données projet'!$E$9+1,1))</f>
        <v>612.09138396952153</v>
      </c>
      <c r="T133" s="59">
        <f t="shared" ref="T133:T196" si="142">$T$3</f>
        <v>282.284310393542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57.033111349992865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57.033111349992865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409.9703400000007</v>
      </c>
      <c r="AK133" s="13">
        <f t="shared" ref="AK133:AK153" si="143">EXP(-1.0587+0.8836*LN(AJ133)+0.284)</f>
        <v>93.795093175328134</v>
      </c>
      <c r="AL133" s="20">
        <f t="shared" si="112"/>
        <v>877.39146278036435</v>
      </c>
      <c r="AM133" s="59">
        <f t="shared" si="113"/>
        <v>1164.5055831533627</v>
      </c>
      <c r="AN133" s="59">
        <f ca="1">AVERAGE(OFFSET($AM$3,0,0,'Données projet'!$E$10+1,1))-AVERAGE(OFFSET($H$3,0,0,'Données projet'!$E$10+1,1))</f>
        <v>676.7112666359476</v>
      </c>
      <c r="AO133" s="59">
        <f t="shared" ref="AO133:AO196" si="144">$AO$3</f>
        <v>309.67876644201385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63.91641789223339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63.91641789223339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403.66310400000071</v>
      </c>
      <c r="BF133" s="13">
        <f t="shared" ref="BF133:BF153" si="145">EXP(-1.0587+0.8836*LN(BE133)+0.284)</f>
        <v>92.518908871240313</v>
      </c>
      <c r="BG133" s="20">
        <f t="shared" si="115"/>
        <v>864.18367241741134</v>
      </c>
      <c r="BH133" s="59">
        <f t="shared" si="116"/>
        <v>1151.2977927904099</v>
      </c>
      <c r="BI133" s="59">
        <f ca="1">AVERAGE(OFFSET($BH$3,0,0,'Données projet'!$E$11+1,1))-AVERAGE(OFFSET($H$3,0,0,'Données projet'!$E$11+1,1))</f>
        <v>667.4887768032404</v>
      </c>
      <c r="BJ133" s="59">
        <f t="shared" ref="BJ133:BJ196" si="146">$BJ$3</f>
        <v>305.76944302827178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62.933088386199053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62.933088386199053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384.74139600000069</v>
      </c>
      <c r="CA133" s="13">
        <f t="shared" ref="CA133:CA153" si="147">EXP(-1.0587+0.8836*LN(BZ133)+0.284)</f>
        <v>88.676250071306981</v>
      </c>
      <c r="CB133" s="20">
        <f t="shared" si="118"/>
        <v>824.53573357419418</v>
      </c>
      <c r="CC133" s="59">
        <f t="shared" si="119"/>
        <v>1111.6498539471927</v>
      </c>
      <c r="CD133" s="59">
        <f ca="1">AVERAGE(OFFSET($CC$3,0,0,'Données projet'!$E$12+1,1))-AVERAGE(OFFSET($H$3,0,0,'Données projet'!$E$12+1,1))</f>
        <v>639.80378676828764</v>
      </c>
      <c r="CE133" s="59">
        <f t="shared" ref="CE133:CE196" si="148">$CE$3</f>
        <v>294.03328334345281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59.983099868095955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59.983099868095955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-1.7053025658242404E-13</v>
      </c>
      <c r="CU133" s="17">
        <f>CT133*VLOOKUP('Données projet'!$B$13,Paramètres!$A$1:$I$89,3,0)*VLOOKUP('Données projet'!$B$13,Paramètres!$A$1:$I$89,5,0)</f>
        <v>-1.4897523215040567E-13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340.64710509454375</v>
      </c>
      <c r="CZ133" s="59">
        <f t="shared" ref="CZ133:CZ196" si="150">$CZ$3</f>
        <v>329.6409514360613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36.248343355785813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36.248343355785813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8.0699999999999985</v>
      </c>
      <c r="DO133" s="12">
        <f>IF('Données projet'!$A$166&gt;35,DO132+DN133-DW132,IF(A133&lt;'Données projet'!$A$166,$DL$205^A133,IF(A133='Données projet'!$A$166,'Données projet'!$B$166,DO132+DN133-DW132)))</f>
        <v>404.31000000000068</v>
      </c>
      <c r="DP133" s="17">
        <f>DO133*VLOOKUP('Données projet'!$B$14,Paramètres!$A$1:$I$89,3,0)*VLOOKUP('Données projet'!$B$14,Paramètres!$A$1:$I$89,5,0)</f>
        <v>391.04863200000068</v>
      </c>
      <c r="DQ133" s="13">
        <f t="shared" ref="DQ133:DQ153" si="151">EXP(-1.0587+0.8836*LN(DP133)+0.284)</f>
        <v>89.959529234718644</v>
      </c>
      <c r="DR133" s="20">
        <f t="shared" si="124"/>
        <v>837.75588081713613</v>
      </c>
      <c r="DS133" s="59">
        <f t="shared" si="125"/>
        <v>1124.8700011901346</v>
      </c>
      <c r="DT133" s="59">
        <f ca="1">AVERAGE(OFFSET($DS$3,0,0,'Données projet'!$E$14+1,1))-AVERAGE(OFFSET($H$3,0,0,'Données projet'!$E$14+1,1))</f>
        <v>649.03508893149228</v>
      </c>
      <c r="DU133" s="59">
        <f t="shared" ref="DU133:DU196" si="152">$DU$3</f>
        <v>297.94672581383213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60.966429374130314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60.966429374130314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8.0699999999999985</v>
      </c>
      <c r="EJ133" s="12">
        <f>IF('Données projet'!$A$192&gt;35,EJ132+EI133-ER132,IF(A133&lt;'Données projet'!$A$192,$EG$205^A133,IF(A133='Données projet'!$A$192,'Données projet'!$B$192,EJ132+EI133-ER132)))</f>
        <v>404.31000000000068</v>
      </c>
      <c r="EK133" s="17">
        <f>EJ133*VLOOKUP('Données projet'!$B$15,Paramètres!$A$1:$I$89,3,0)*VLOOKUP('Données projet'!$B$15,Paramètres!$A$1:$I$89,5,0)</f>
        <v>435.19928400000077</v>
      </c>
      <c r="EL133" s="13">
        <f t="shared" ref="EL133:EL153" si="153">EXP(-1.0587+0.8836*LN(EK133)+0.284)</f>
        <v>98.877376269157637</v>
      </c>
      <c r="EM133" s="20">
        <f t="shared" si="127"/>
        <v>930.18351663545093</v>
      </c>
      <c r="EN133" s="59">
        <f t="shared" si="128"/>
        <v>1217.2976370084493</v>
      </c>
      <c r="EO133" s="59">
        <f ca="1">AVERAGE(OFFSET($EN$3,0,0,'Données projet'!$E$15+1,1))-AVERAGE(OFFSET($H$3,0,0,'Données projet'!$E$15+1,1))</f>
        <v>713.57333631602273</v>
      </c>
      <c r="EP133" s="59">
        <f t="shared" ref="EP133:EP196" si="154">$EP$3</f>
        <v>325.30302392555359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67.849735916370832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67.849735916370832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5.6843418860808015E-14</v>
      </c>
      <c r="FF133" s="17">
        <f>FE133*VLOOKUP('Données projet'!$B$16,Paramètres!$A$1:$I$89,3,0)*VLOOKUP('Données projet'!$B$16,Paramètres!$A$1:$I$89,5,0)</f>
        <v>4.4337866711430253E-14</v>
      </c>
      <c r="FG133" s="13">
        <f t="shared" ref="FG133:FG153" si="155">EXP(-1.0587+0.8836*LN(FF133)+0.284)</f>
        <v>7.3222115536967035E-13</v>
      </c>
      <c r="FH133" s="20">
        <f t="shared" si="130"/>
        <v>1.3525069634579169E-12</v>
      </c>
      <c r="FI133" s="59">
        <f t="shared" si="131"/>
        <v>287.11412037299988</v>
      </c>
      <c r="FJ133" s="59">
        <f ca="1">AVERAGE(OFFSET($FI$3,0,0,'Données projet'!$E$16+1,1))-AVERAGE(OFFSET($H$3,0,0,'Données projet'!$E$16+1,1))</f>
        <v>302.04287561738482</v>
      </c>
      <c r="FK133" s="59">
        <f t="shared" ref="FK133:FK196" si="156">$FK$3</f>
        <v>296.09828774694802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30.832807976241032</v>
      </c>
      <c r="FR133" s="21">
        <f>EXP(-LN(2)/25)*FR132+(1-EXP(-LN(2)/25))/(LN(2)/25)*Calculateur!FM133*Calculateur!FO133*VLOOKUP('Données projet'!$B$16,Paramètres!$A$1:$I$89,3,0)*0.475*44/12</f>
        <v>9.3808027315447315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40.213610707785762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>
        <f>VLOOKUP(A133,'Données projet'!$A$243:$I$263,2,0)</f>
        <v>96.57</v>
      </c>
      <c r="FX133" s="12">
        <f>VLOOKUP(A133,'Données projet'!$A$243:$I$263,9,0)</f>
        <v>2.0666666666666629</v>
      </c>
      <c r="FY133" s="12">
        <f t="array" ref="FY133">INDEX(FX:FX,MIN(IF(ISNUMBER(FX133:FX329),ROW(FX133:FX329),"")))</f>
        <v>2.0666666666666629</v>
      </c>
      <c r="FZ133" s="12">
        <f>IF('Données projet'!$A$244&gt;35,FZ132+FY133-GH132,IF(A133&lt;'Données projet'!$A$244,$FW$205^A133,IF(A133='Données projet'!$A$244,'Données projet'!$B$244,FZ132+FY133-GH132)))</f>
        <v>96.569999999999965</v>
      </c>
      <c r="GA133" s="17">
        <f>FZ133*VLOOKUP('Données projet'!$B$17,Paramètres!$A$1:$I$89,3,0)*VLOOKUP('Données projet'!$B$17,Paramètres!$A$1:$I$89,5,0)</f>
        <v>81.350567999999981</v>
      </c>
      <c r="GB133" s="13">
        <f t="shared" ref="GB133:GB153" si="157">EXP(-1.0587+0.8836*LN(GA133)+0.284)</f>
        <v>22.467082591541637</v>
      </c>
      <c r="GC133" s="20">
        <f t="shared" si="133"/>
        <v>180.81574144693499</v>
      </c>
      <c r="GD133" s="59">
        <f t="shared" si="134"/>
        <v>467.92986181993354</v>
      </c>
      <c r="GE133" s="59">
        <f ca="1">AVERAGE(OFFSET($GD$3,0,0,'Données projet'!$E$17+1,1))-AVERAGE(OFFSET($H$3,0,0,'Données projet'!$E$17+1,1))</f>
        <v>385.41819366740276</v>
      </c>
      <c r="GF133" s="59">
        <f t="shared" ref="GF133:GF196" si="158">$GF$3</f>
        <v>262.4625391252718</v>
      </c>
      <c r="GG133" s="15">
        <f>IF(ISNA(VLOOKUP(A133,'Données projet'!$A$243:$I$263,3,0)),0,VLOOKUP(A133,'Données projet'!$A$243:$I$263,3,0))</f>
        <v>14</v>
      </c>
      <c r="GH133" s="15">
        <f>IF(ISNA(VLOOKUP(A133,'Données projet'!$A$243:$I$263,4,0)),0,VLOOKUP(A133,'Données projet'!$A$243:$I$263,4,0))</f>
        <v>96.57</v>
      </c>
      <c r="GI133" s="16">
        <f>IF(ISNA(VLOOKUP(A133,'Données projet'!$A$243:$I$263,5,0)),0%,VLOOKUP(A133,'Données projet'!$A$243:$I$263,5,0)*VLOOKUP('Données projet'!$B$17,Paramètres!$A$1:$I$89,7,0))</f>
        <v>0.25800000000000001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120.40571017934347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120.40571017934347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68.30385101081778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3.3000000000000003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12.100000000000001</v>
      </c>
      <c r="H134" s="67">
        <f t="shared" si="110"/>
        <v>208.26666666666665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8.0699999999999985</v>
      </c>
      <c r="N134" s="13">
        <f>IF('Données projet'!$A$36&gt;35,N133+M134-V133,IF(A134&lt;'Données projet'!$A$36,$K$205^A134,IF(A134='Données projet'!$A$36,'Données projet'!$B$36,N133+M134-V133)))</f>
        <v>412.38000000000068</v>
      </c>
      <c r="O134" s="13">
        <f>N134*VLOOKUP('Données projet'!$B$9,Paramètres!$A$1:$I$89,3,0)*VLOOKUP('Données projet'!$B$9,Paramètres!$A$1:$I$89,5,0)</f>
        <v>373.12142400000062</v>
      </c>
      <c r="P134" s="13">
        <f t="shared" si="141"/>
        <v>86.305582764533938</v>
      </c>
      <c r="Q134" s="20">
        <f t="shared" si="108"/>
        <v>800.16870344823099</v>
      </c>
      <c r="R134" s="59">
        <f t="shared" si="109"/>
        <v>1087.3907132620143</v>
      </c>
      <c r="S134" s="59">
        <f ca="1">AVERAGE(OFFSET($R$3,0,0,'Données projet'!$E$9+1,1))-AVERAGE(OFFSET($H$3,0,0,'Données projet'!$E$9+1,1))</f>
        <v>612.09138396952153</v>
      </c>
      <c r="T134" s="59">
        <f t="shared" si="142"/>
        <v>282.284310393542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55.914726823182519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55.914726823182519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418.15332000000069</v>
      </c>
      <c r="AK134" s="13">
        <f t="shared" si="143"/>
        <v>95.44741177370463</v>
      </c>
      <c r="AL134" s="20">
        <f t="shared" si="112"/>
        <v>894.52127450587011</v>
      </c>
      <c r="AM134" s="59">
        <f t="shared" si="113"/>
        <v>1181.7432843196534</v>
      </c>
      <c r="AN134" s="59">
        <f ca="1">AVERAGE(OFFSET($AM$3,0,0,'Données projet'!$E$10+1,1))-AVERAGE(OFFSET($H$3,0,0,'Données projet'!$E$10+1,1))</f>
        <v>676.7112666359476</v>
      </c>
      <c r="AO134" s="59">
        <f t="shared" si="144"/>
        <v>309.67876644201385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62.663055922532145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62.663055922532145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411.72019200000074</v>
      </c>
      <c r="BF134" s="13">
        <f t="shared" si="145"/>
        <v>94.148745877145316</v>
      </c>
      <c r="BG134" s="20">
        <f t="shared" si="115"/>
        <v>881.05506680269593</v>
      </c>
      <c r="BH134" s="59">
        <f t="shared" si="116"/>
        <v>1168.277076616479</v>
      </c>
      <c r="BI134" s="59">
        <f ca="1">AVERAGE(OFFSET($BH$3,0,0,'Données projet'!$E$11+1,1))-AVERAGE(OFFSET($H$3,0,0,'Données projet'!$E$11+1,1))</f>
        <v>667.4887768032404</v>
      </c>
      <c r="BJ134" s="59">
        <f t="shared" si="146"/>
        <v>305.76944302827178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61.699008908339366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61.699008908339366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392.42080800000065</v>
      </c>
      <c r="CA134" s="13">
        <f t="shared" si="147"/>
        <v>90.238393806835077</v>
      </c>
      <c r="CB134" s="20">
        <f t="shared" si="118"/>
        <v>840.63144314690555</v>
      </c>
      <c r="CC134" s="59">
        <f t="shared" si="119"/>
        <v>1127.8534529606886</v>
      </c>
      <c r="CD134" s="59">
        <f ca="1">AVERAGE(OFFSET($CC$3,0,0,'Données projet'!$E$12+1,1))-AVERAGE(OFFSET($H$3,0,0,'Données projet'!$E$12+1,1))</f>
        <v>639.80378676828764</v>
      </c>
      <c r="CE134" s="59">
        <f t="shared" si="148"/>
        <v>294.03328334345281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58.806867865760935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58.806867865760935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-1.7053025658242404E-13</v>
      </c>
      <c r="CU134" s="17">
        <f>CT134*VLOOKUP('Données projet'!$B$13,Paramètres!$A$1:$I$89,3,0)*VLOOKUP('Données projet'!$B$13,Paramètres!$A$1:$I$89,5,0)</f>
        <v>-1.4897523215040567E-13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340.64710509454375</v>
      </c>
      <c r="CZ134" s="59">
        <f t="shared" si="150"/>
        <v>329.6409514360613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35.537535451885191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35.537535451885191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8.0699999999999985</v>
      </c>
      <c r="DO134" s="12">
        <f>IF('Données projet'!$A$166&gt;35,DO133+DN134-DW133,IF(A134&lt;'Données projet'!$A$166,$DL$205^A134,IF(A134='Données projet'!$A$166,'Données projet'!$B$166,DO133+DN134-DW133)))</f>
        <v>412.38000000000068</v>
      </c>
      <c r="DP134" s="17">
        <f>DO134*VLOOKUP('Données projet'!$B$14,Paramètres!$A$1:$I$89,3,0)*VLOOKUP('Données projet'!$B$14,Paramètres!$A$1:$I$89,5,0)</f>
        <v>398.85393600000066</v>
      </c>
      <c r="DQ134" s="13">
        <f t="shared" si="151"/>
        <v>91.54427954759349</v>
      </c>
      <c r="DR134" s="20">
        <f t="shared" si="124"/>
        <v>854.11022541205978</v>
      </c>
      <c r="DS134" s="59">
        <f t="shared" si="125"/>
        <v>1141.3322352258429</v>
      </c>
      <c r="DT134" s="59">
        <f ca="1">AVERAGE(OFFSET($DS$3,0,0,'Données projet'!$E$14+1,1))-AVERAGE(OFFSET($H$3,0,0,'Données projet'!$E$14+1,1))</f>
        <v>649.03508893149228</v>
      </c>
      <c r="DU134" s="59">
        <f t="shared" si="152"/>
        <v>297.94672581383213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59.770914879953736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59.770914879953736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8.0699999999999985</v>
      </c>
      <c r="EJ134" s="12">
        <f>IF('Données projet'!$A$192&gt;35,EJ133+EI134-ER133,IF(A134&lt;'Données projet'!$A$192,$EG$205^A134,IF(A134='Données projet'!$A$192,'Données projet'!$B$192,EJ133+EI134-ER133)))</f>
        <v>412.38000000000068</v>
      </c>
      <c r="EK134" s="17">
        <f>EJ134*VLOOKUP('Données projet'!$B$15,Paramètres!$A$1:$I$89,3,0)*VLOOKUP('Données projet'!$B$15,Paramètres!$A$1:$I$89,5,0)</f>
        <v>443.88583200000068</v>
      </c>
      <c r="EL134" s="13">
        <f t="shared" si="153"/>
        <v>100.61922567979573</v>
      </c>
      <c r="EM134" s="20">
        <f t="shared" si="127"/>
        <v>948.34630879231224</v>
      </c>
      <c r="EN134" s="59">
        <f t="shared" si="128"/>
        <v>1235.5683186060955</v>
      </c>
      <c r="EO134" s="59">
        <f ca="1">AVERAGE(OFFSET($EN$3,0,0,'Données projet'!$E$15+1,1))-AVERAGE(OFFSET($H$3,0,0,'Données projet'!$E$15+1,1))</f>
        <v>713.57333631602273</v>
      </c>
      <c r="EP134" s="59">
        <f t="shared" si="154"/>
        <v>325.30302392555359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66.519243979303354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66.519243979303354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5.6843418860808015E-14</v>
      </c>
      <c r="FF134" s="17">
        <f>FE134*VLOOKUP('Données projet'!$B$16,Paramètres!$A$1:$I$89,3,0)*VLOOKUP('Données projet'!$B$16,Paramètres!$A$1:$I$89,5,0)</f>
        <v>4.4337866711430253E-14</v>
      </c>
      <c r="FG134" s="13">
        <f t="shared" si="155"/>
        <v>7.3222115536967035E-13</v>
      </c>
      <c r="FH134" s="20">
        <f t="shared" si="130"/>
        <v>1.3525069634579169E-12</v>
      </c>
      <c r="FI134" s="59">
        <f t="shared" si="131"/>
        <v>287.22200981378455</v>
      </c>
      <c r="FJ134" s="59">
        <f ca="1">AVERAGE(OFFSET($FI$3,0,0,'Données projet'!$E$16+1,1))-AVERAGE(OFFSET($H$3,0,0,'Données projet'!$E$16+1,1))</f>
        <v>302.04287561738482</v>
      </c>
      <c r="FK134" s="59">
        <f t="shared" si="156"/>
        <v>296.09828774694802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30.228195417982857</v>
      </c>
      <c r="FR134" s="21">
        <f>EXP(-LN(2)/25)*FR133+(1-EXP(-LN(2)/25))/(LN(2)/25)*Calculateur!FM134*Calculateur!FO134*VLOOKUP('Données projet'!$B$16,Paramètres!$A$1:$I$89,3,0)*0.475*44/12</f>
        <v>9.1242841875356646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39.352479605518525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-2.8421709430404007E-14</v>
      </c>
      <c r="GA134" s="17">
        <f>FZ134*VLOOKUP('Données projet'!$B$17,Paramètres!$A$1:$I$89,3,0)*VLOOKUP('Données projet'!$B$17,Paramètres!$A$1:$I$89,5,0)</f>
        <v>-2.3942448024172337E-14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385.41819366740276</v>
      </c>
      <c r="GF134" s="59">
        <f t="shared" si="158"/>
        <v>262.4625391252718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118.04462764295813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118.04462764295813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68.333275403759046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3.3000000000000003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12.100000000000001</v>
      </c>
      <c r="H135" s="67">
        <f t="shared" si="110"/>
        <v>208.26666666666665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8.0699999999999985</v>
      </c>
      <c r="N135" s="13">
        <f>IF('Données projet'!$A$36&gt;35,N134+M135-V134,IF(A135&lt;'Données projet'!$A$36,$K$205^A135,IF(A135='Données projet'!$A$36,'Données projet'!$B$36,N134+M135-V134)))</f>
        <v>420.45000000000067</v>
      </c>
      <c r="O135" s="13">
        <f>N135*VLOOKUP('Données projet'!$B$9,Paramètres!$A$1:$I$89,3,0)*VLOOKUP('Données projet'!$B$9,Paramètres!$A$1:$I$89,5,0)</f>
        <v>380.42316000000056</v>
      </c>
      <c r="P135" s="13">
        <f t="shared" si="141"/>
        <v>87.79624480137376</v>
      </c>
      <c r="Q135" s="20">
        <f t="shared" si="108"/>
        <v>815.48213002906016</v>
      </c>
      <c r="R135" s="59">
        <f t="shared" si="109"/>
        <v>1102.8101576430349</v>
      </c>
      <c r="S135" s="59">
        <f ca="1">AVERAGE(OFFSET($R$3,0,0,'Données projet'!$E$9+1,1))-AVERAGE(OFFSET($H$3,0,0,'Données projet'!$E$9+1,1))</f>
        <v>612.09138396952153</v>
      </c>
      <c r="T135" s="59">
        <f t="shared" si="142"/>
        <v>282.284310393542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54.818273134795724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54.818273134795724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426.33630000000073</v>
      </c>
      <c r="AK135" s="13">
        <f t="shared" si="143"/>
        <v>97.095970634999375</v>
      </c>
      <c r="AL135" s="20">
        <f t="shared" si="112"/>
        <v>911.64453802262517</v>
      </c>
      <c r="AM135" s="59">
        <f t="shared" si="113"/>
        <v>1198.9725656365999</v>
      </c>
      <c r="AN135" s="59">
        <f ca="1">AVERAGE(OFFSET($AM$3,0,0,'Données projet'!$E$10+1,1))-AVERAGE(OFFSET($H$3,0,0,'Données projet'!$E$10+1,1))</f>
        <v>676.7112666359476</v>
      </c>
      <c r="AO135" s="59">
        <f t="shared" si="144"/>
        <v>309.67876644201385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61.43427161658142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61.43427161658142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419.77728000000064</v>
      </c>
      <c r="BF135" s="13">
        <f t="shared" si="145"/>
        <v>95.77487430128258</v>
      </c>
      <c r="BG135" s="20">
        <f t="shared" si="115"/>
        <v>897.92000207473495</v>
      </c>
      <c r="BH135" s="59">
        <f t="shared" si="116"/>
        <v>1185.2480296887097</v>
      </c>
      <c r="BI135" s="59">
        <f ca="1">AVERAGE(OFFSET($BH$3,0,0,'Données projet'!$E$11+1,1))-AVERAGE(OFFSET($H$3,0,0,'Données projet'!$E$11+1,1))</f>
        <v>667.4887768032404</v>
      </c>
      <c r="BJ135" s="59">
        <f t="shared" si="146"/>
        <v>305.76944302827178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60.489128976326349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60.489128976326349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400.1002200000006</v>
      </c>
      <c r="CA135" s="13">
        <f t="shared" si="147"/>
        <v>91.796982991966303</v>
      </c>
      <c r="CB135" s="20">
        <f t="shared" si="118"/>
        <v>856.72096187767556</v>
      </c>
      <c r="CC135" s="59">
        <f t="shared" si="119"/>
        <v>1144.0489894916504</v>
      </c>
      <c r="CD135" s="59">
        <f ca="1">AVERAGE(OFFSET($CC$3,0,0,'Données projet'!$E$12+1,1))-AVERAGE(OFFSET($H$3,0,0,'Données projet'!$E$12+1,1))</f>
        <v>639.80378676828764</v>
      </c>
      <c r="CE135" s="59">
        <f t="shared" si="148"/>
        <v>294.03328334345281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57.653701055561029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57.653701055561029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-1.7053025658242404E-13</v>
      </c>
      <c r="CU135" s="17">
        <f>CT135*VLOOKUP('Données projet'!$B$13,Paramètres!$A$1:$I$89,3,0)*VLOOKUP('Données projet'!$B$13,Paramètres!$A$1:$I$89,5,0)</f>
        <v>-1.4897523215040567E-13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340.64710509454375</v>
      </c>
      <c r="CZ135" s="59">
        <f t="shared" si="150"/>
        <v>329.6409514360613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34.840666057430042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34.840666057430042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8.0699999999999985</v>
      </c>
      <c r="DO135" s="12">
        <f>IF('Données projet'!$A$166&gt;35,DO134+DN135-DW134,IF(A135&lt;'Données projet'!$A$166,$DL$205^A135,IF(A135='Données projet'!$A$166,'Données projet'!$B$166,DO134+DN135-DW134)))</f>
        <v>420.45000000000067</v>
      </c>
      <c r="DP135" s="17">
        <f>DO135*VLOOKUP('Données projet'!$B$14,Paramètres!$A$1:$I$89,3,0)*VLOOKUP('Données projet'!$B$14,Paramètres!$A$1:$I$89,5,0)</f>
        <v>406.65924000000069</v>
      </c>
      <c r="DQ135" s="13">
        <f t="shared" si="151"/>
        <v>93.125423870362923</v>
      </c>
      <c r="DR135" s="20">
        <f t="shared" si="124"/>
        <v>870.45828957421656</v>
      </c>
      <c r="DS135" s="59">
        <f t="shared" si="125"/>
        <v>1157.7863171881913</v>
      </c>
      <c r="DT135" s="59">
        <f ca="1">AVERAGE(OFFSET($DS$3,0,0,'Données projet'!$E$14+1,1))-AVERAGE(OFFSET($H$3,0,0,'Données projet'!$E$14+1,1))</f>
        <v>649.03508893149228</v>
      </c>
      <c r="DU135" s="59">
        <f t="shared" si="152"/>
        <v>297.94672581383213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58.598843695816122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58.598843695816122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8.0699999999999985</v>
      </c>
      <c r="EJ135" s="12">
        <f>IF('Données projet'!$A$192&gt;35,EJ134+EI135-ER134,IF(A135&lt;'Données projet'!$A$192,$EG$205^A135,IF(A135='Données projet'!$A$192,'Données projet'!$B$192,EJ134+EI135-ER134)))</f>
        <v>420.45000000000067</v>
      </c>
      <c r="EK135" s="17">
        <f>EJ135*VLOOKUP('Données projet'!$B$15,Paramètres!$A$1:$I$89,3,0)*VLOOKUP('Données projet'!$B$15,Paramètres!$A$1:$I$89,5,0)</f>
        <v>452.57238000000075</v>
      </c>
      <c r="EL135" s="13">
        <f t="shared" si="153"/>
        <v>102.35711163216003</v>
      </c>
      <c r="EM135" s="20">
        <f t="shared" si="127"/>
        <v>966.50219792601331</v>
      </c>
      <c r="EN135" s="59">
        <f t="shared" si="128"/>
        <v>1253.8302255399881</v>
      </c>
      <c r="EO135" s="59">
        <f ca="1">AVERAGE(OFFSET($EN$3,0,0,'Données projet'!$E$15+1,1))-AVERAGE(OFFSET($H$3,0,0,'Données projet'!$E$15+1,1))</f>
        <v>713.57333631602273</v>
      </c>
      <c r="EP135" s="59">
        <f t="shared" si="154"/>
        <v>325.30302392555359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65.214842177601824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65.214842177601824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5.6843418860808015E-14</v>
      </c>
      <c r="FF135" s="17">
        <f>FE135*VLOOKUP('Données projet'!$B$16,Paramètres!$A$1:$I$89,3,0)*VLOOKUP('Données projet'!$B$16,Paramètres!$A$1:$I$89,5,0)</f>
        <v>4.4337866711430253E-14</v>
      </c>
      <c r="FG135" s="13">
        <f t="shared" si="155"/>
        <v>7.3222115536967035E-13</v>
      </c>
      <c r="FH135" s="20">
        <f t="shared" si="130"/>
        <v>1.3525069634579169E-12</v>
      </c>
      <c r="FI135" s="59">
        <f t="shared" si="131"/>
        <v>287.32802761397613</v>
      </c>
      <c r="FJ135" s="59">
        <f ca="1">AVERAGE(OFFSET($FI$3,0,0,'Données projet'!$E$16+1,1))-AVERAGE(OFFSET($H$3,0,0,'Données projet'!$E$16+1,1))</f>
        <v>302.04287561738482</v>
      </c>
      <c r="FK135" s="59">
        <f t="shared" si="156"/>
        <v>296.09828774694802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29.635438943214879</v>
      </c>
      <c r="FR135" s="21">
        <f>EXP(-LN(2)/25)*FR134+(1-EXP(-LN(2)/25))/(LN(2)/25)*Calculateur!FM135*Calculateur!FO135*VLOOKUP('Données projet'!$B$16,Paramètres!$A$1:$I$89,3,0)*0.475*44/12</f>
        <v>8.8747801566022506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38.510219099817128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-2.8421709430404007E-14</v>
      </c>
      <c r="GA135" s="17">
        <f>FZ135*VLOOKUP('Données projet'!$B$17,Paramètres!$A$1:$I$89,3,0)*VLOOKUP('Données projet'!$B$17,Paramètres!$A$1:$I$89,5,0)</f>
        <v>-2.3942448024172337E-14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385.41819366740276</v>
      </c>
      <c r="GF135" s="59">
        <f t="shared" si="158"/>
        <v>262.4625391252718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115.72984449499316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115.72984449499316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68.362189349265847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3.3000000000000003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12.100000000000001</v>
      </c>
      <c r="H136" s="67">
        <f t="shared" si="110"/>
        <v>208.26666666666665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8.0699999999999985</v>
      </c>
      <c r="N136" s="13">
        <f>IF('Données projet'!$A$36&gt;35,N135+M136-V135,IF(A136&lt;'Données projet'!$A$36,$K$205^A136,IF(A136='Données projet'!$A$36,'Données projet'!$B$36,N135+M136-V135)))</f>
        <v>428.52000000000066</v>
      </c>
      <c r="O136" s="13">
        <f>N136*VLOOKUP('Données projet'!$B$9,Paramètres!$A$1:$I$89,3,0)*VLOOKUP('Données projet'!$B$9,Paramètres!$A$1:$I$89,5,0)</f>
        <v>387.72489600000057</v>
      </c>
      <c r="P136" s="13">
        <f t="shared" si="141"/>
        <v>89.283579978484866</v>
      </c>
      <c r="Q136" s="20">
        <f t="shared" si="108"/>
        <v>830.78976232919547</v>
      </c>
      <c r="R136" s="59">
        <f t="shared" si="109"/>
        <v>1118.2219685715488</v>
      </c>
      <c r="S136" s="59">
        <f ca="1">AVERAGE(OFFSET($R$3,0,0,'Données projet'!$E$9+1,1))-AVERAGE(OFFSET($H$3,0,0,'Données projet'!$E$9+1,1))</f>
        <v>612.09138396952153</v>
      </c>
      <c r="T136" s="59">
        <f t="shared" si="142"/>
        <v>282.284310393542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53.743320234467475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53.743320234467475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434.51928000000072</v>
      </c>
      <c r="AK136" s="13">
        <f t="shared" si="143"/>
        <v>98.740850242411952</v>
      </c>
      <c r="AL136" s="20">
        <f t="shared" si="112"/>
        <v>928.76139350553524</v>
      </c>
      <c r="AM136" s="59">
        <f t="shared" si="113"/>
        <v>1216.1935997478886</v>
      </c>
      <c r="AN136" s="59">
        <f ca="1">AVERAGE(OFFSET($AM$3,0,0,'Données projet'!$E$10+1,1))-AVERAGE(OFFSET($H$3,0,0,'Données projet'!$E$10+1,1))</f>
        <v>676.7112666359476</v>
      </c>
      <c r="AO136" s="59">
        <f t="shared" si="144"/>
        <v>309.67876644201385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60.22958302138597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60.22958302138597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427.83436800000067</v>
      </c>
      <c r="BF136" s="13">
        <f t="shared" si="145"/>
        <v>97.39737353179018</v>
      </c>
      <c r="BG136" s="20">
        <f t="shared" si="115"/>
        <v>914.77861650120224</v>
      </c>
      <c r="BH136" s="59">
        <f t="shared" si="116"/>
        <v>1202.2108227435556</v>
      </c>
      <c r="BI136" s="59">
        <f ca="1">AVERAGE(OFFSET($BH$3,0,0,'Données projet'!$E$11+1,1))-AVERAGE(OFFSET($H$3,0,0,'Données projet'!$E$11+1,1))</f>
        <v>667.4887768032404</v>
      </c>
      <c r="BJ136" s="59">
        <f t="shared" si="146"/>
        <v>305.76944302827178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59.302974051826212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59.302974051826212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407.77963200000062</v>
      </c>
      <c r="CA136" s="13">
        <f t="shared" si="147"/>
        <v>93.352093717550304</v>
      </c>
      <c r="CB136" s="20">
        <f t="shared" si="118"/>
        <v>872.80442229140101</v>
      </c>
      <c r="CC136" s="59">
        <f t="shared" si="119"/>
        <v>1160.2366285337544</v>
      </c>
      <c r="CD136" s="59">
        <f ca="1">AVERAGE(OFFSET($CC$3,0,0,'Données projet'!$E$12+1,1))-AVERAGE(OFFSET($H$3,0,0,'Données projet'!$E$12+1,1))</f>
        <v>639.80378676828764</v>
      </c>
      <c r="CE136" s="59">
        <f t="shared" si="148"/>
        <v>294.03328334345281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56.523147143146836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56.523147143146836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-1.7053025658242404E-13</v>
      </c>
      <c r="CU136" s="17">
        <f>CT136*VLOOKUP('Données projet'!$B$13,Paramètres!$A$1:$I$89,3,0)*VLOOKUP('Données projet'!$B$13,Paramètres!$A$1:$I$89,5,0)</f>
        <v>-1.4897523215040567E-13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340.64710509454375</v>
      </c>
      <c r="CZ136" s="59">
        <f t="shared" si="150"/>
        <v>329.6409514360613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34.157461846751801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34.157461846751801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8.0699999999999985</v>
      </c>
      <c r="DO136" s="12">
        <f>IF('Données projet'!$A$166&gt;35,DO135+DN136-DW135,IF(A136&lt;'Données projet'!$A$166,$DL$205^A136,IF(A136='Données projet'!$A$166,'Données projet'!$B$166,DO135+DN136-DW135)))</f>
        <v>428.52000000000066</v>
      </c>
      <c r="DP136" s="17">
        <f>DO136*VLOOKUP('Données projet'!$B$14,Paramètres!$A$1:$I$89,3,0)*VLOOKUP('Données projet'!$B$14,Paramètres!$A$1:$I$89,5,0)</f>
        <v>414.46454400000067</v>
      </c>
      <c r="DQ136" s="13">
        <f t="shared" si="151"/>
        <v>94.703039395025982</v>
      </c>
      <c r="DR136" s="20">
        <f t="shared" si="124"/>
        <v>886.80020774633806</v>
      </c>
      <c r="DS136" s="59">
        <f t="shared" si="125"/>
        <v>1174.2324139886914</v>
      </c>
      <c r="DT136" s="59">
        <f ca="1">AVERAGE(OFFSET($DS$3,0,0,'Données projet'!$E$14+1,1))-AVERAGE(OFFSET($H$3,0,0,'Données projet'!$E$14+1,1))</f>
        <v>649.03508893149228</v>
      </c>
      <c r="DU136" s="59">
        <f t="shared" si="152"/>
        <v>297.94672581383213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57.449756112706616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57.449756112706616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8.0699999999999985</v>
      </c>
      <c r="EJ136" s="12">
        <f>IF('Données projet'!$A$192&gt;35,EJ135+EI136-ER135,IF(A136&lt;'Données projet'!$A$192,$EG$205^A136,IF(A136='Données projet'!$A$192,'Données projet'!$B$192,EJ135+EI136-ER135)))</f>
        <v>428.52000000000066</v>
      </c>
      <c r="EK136" s="17">
        <f>EJ136*VLOOKUP('Données projet'!$B$15,Paramètres!$A$1:$I$89,3,0)*VLOOKUP('Données projet'!$B$15,Paramètres!$A$1:$I$89,5,0)</f>
        <v>461.25892800000065</v>
      </c>
      <c r="EL136" s="13">
        <f t="shared" si="153"/>
        <v>104.09111897042844</v>
      </c>
      <c r="EM136" s="20">
        <f t="shared" si="127"/>
        <v>984.65133180683051</v>
      </c>
      <c r="EN136" s="59">
        <f t="shared" si="128"/>
        <v>1272.083538049184</v>
      </c>
      <c r="EO136" s="59">
        <f ca="1">AVERAGE(OFFSET($EN$3,0,0,'Données projet'!$E$15+1,1))-AVERAGE(OFFSET($H$3,0,0,'Données projet'!$E$15+1,1))</f>
        <v>713.57333631602273</v>
      </c>
      <c r="EP136" s="59">
        <f t="shared" si="154"/>
        <v>325.30302392555359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63.936018899625118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63.936018899625118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5.6843418860808015E-14</v>
      </c>
      <c r="FF136" s="17">
        <f>FE136*VLOOKUP('Données projet'!$B$16,Paramètres!$A$1:$I$89,3,0)*VLOOKUP('Données projet'!$B$16,Paramètres!$A$1:$I$89,5,0)</f>
        <v>4.4337866711430253E-14</v>
      </c>
      <c r="FG136" s="13">
        <f t="shared" si="155"/>
        <v>7.3222115536967035E-13</v>
      </c>
      <c r="FH136" s="20">
        <f t="shared" si="130"/>
        <v>1.3525069634579169E-12</v>
      </c>
      <c r="FI136" s="59">
        <f t="shared" si="131"/>
        <v>287.43220624235477</v>
      </c>
      <c r="FJ136" s="59">
        <f ca="1">AVERAGE(OFFSET($FI$3,0,0,'Données projet'!$E$16+1,1))-AVERAGE(OFFSET($H$3,0,0,'Données projet'!$E$16+1,1))</f>
        <v>302.04287561738482</v>
      </c>
      <c r="FK136" s="59">
        <f t="shared" si="156"/>
        <v>296.09828774694802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29.054306061371349</v>
      </c>
      <c r="FR136" s="21">
        <f>EXP(-LN(2)/25)*FR135+(1-EXP(-LN(2)/25))/(LN(2)/25)*Calculateur!FM136*Calculateur!FO136*VLOOKUP('Données projet'!$B$16,Paramètres!$A$1:$I$89,3,0)*0.475*44/12</f>
        <v>8.6320988265155574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37.686404887886908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-2.8421709430404007E-14</v>
      </c>
      <c r="GA136" s="17">
        <f>FZ136*VLOOKUP('Données projet'!$B$17,Paramètres!$A$1:$I$89,3,0)*VLOOKUP('Données projet'!$B$17,Paramètres!$A$1:$I$89,5,0)</f>
        <v>-2.3942448024172337E-14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385.41819366740276</v>
      </c>
      <c r="GF136" s="59">
        <f t="shared" si="158"/>
        <v>262.4625391252718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113.46045283268148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113.46045283268148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68.390601702460017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3.3000000000000003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12.100000000000001</v>
      </c>
      <c r="H137" s="67">
        <f t="shared" si="110"/>
        <v>208.26666666666665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436.59</v>
      </c>
      <c r="L137" s="12">
        <f>VLOOKUP(A137,'Données projet'!$A$35:$I$55,9,0)</f>
        <v>8.0699999999999985</v>
      </c>
      <c r="M137" s="12">
        <f t="array" ref="M137">INDEX(L:L,MIN(IF(ISNUMBER(L137:L333),ROW(L137:L333),"")))</f>
        <v>8.0699999999999985</v>
      </c>
      <c r="N137" s="13">
        <f>IF('Données projet'!$A$36&gt;35,N136+M137-V136,IF(A137&lt;'Données projet'!$A$36,$K$205^A137,IF(A137='Données projet'!$A$36,'Données projet'!$B$36,N136+M137-V136)))</f>
        <v>436.59000000000066</v>
      </c>
      <c r="O137" s="13">
        <f>N137*VLOOKUP('Données projet'!$B$9,Paramètres!$A$1:$I$89,3,0)*VLOOKUP('Données projet'!$B$9,Paramètres!$A$1:$I$89,5,0)</f>
        <v>395.02663200000057</v>
      </c>
      <c r="P137" s="13">
        <f t="shared" si="141"/>
        <v>90.767658172605465</v>
      </c>
      <c r="Q137" s="20">
        <f t="shared" si="108"/>
        <v>846.09172205062214</v>
      </c>
      <c r="R137" s="59">
        <f t="shared" si="109"/>
        <v>1133.6262996550604</v>
      </c>
      <c r="S137" s="59">
        <f ca="1">AVERAGE(OFFSET($R$3,0,0,'Données projet'!$E$9+1,1))-AVERAGE(OFFSET($H$3,0,0,'Données projet'!$E$9+1,1))</f>
        <v>612.09138396952153</v>
      </c>
      <c r="T137" s="59">
        <f t="shared" si="142"/>
        <v>282.284310393542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0.25800000000000001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66.869801558531918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66.869801558531918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442.70226000000071</v>
      </c>
      <c r="AK137" s="13">
        <f t="shared" si="143"/>
        <v>100.38212787430139</v>
      </c>
      <c r="AL137" s="20">
        <f t="shared" si="112"/>
        <v>945.87197554774275</v>
      </c>
      <c r="AM137" s="59">
        <f t="shared" si="113"/>
        <v>1233.406553152181</v>
      </c>
      <c r="AN137" s="59">
        <f ca="1">AVERAGE(OFFSET($AM$3,0,0,'Données projet'!$E$10+1,1))-AVERAGE(OFFSET($H$3,0,0,'Données projet'!$E$10+1,1))</f>
        <v>676.7112666359476</v>
      </c>
      <c r="AO137" s="59">
        <f t="shared" si="144"/>
        <v>309.67876644201385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74.940294850078871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74.940294850078871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435.89145600000069</v>
      </c>
      <c r="BF137" s="13">
        <f t="shared" si="145"/>
        <v>99.016319795571221</v>
      </c>
      <c r="BG137" s="20">
        <f t="shared" si="115"/>
        <v>931.63104284395422</v>
      </c>
      <c r="BH137" s="59">
        <f t="shared" si="116"/>
        <v>1219.1656204483925</v>
      </c>
      <c r="BI137" s="59">
        <f ca="1">AVERAGE(OFFSET($BH$3,0,0,'Données projet'!$E$11+1,1))-AVERAGE(OFFSET($H$3,0,0,'Données projet'!$E$11+1,1))</f>
        <v>667.4887768032404</v>
      </c>
      <c r="BJ137" s="59">
        <f t="shared" si="146"/>
        <v>305.76944302827178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73.787367237000765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73.787367237000765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415.45904400000069</v>
      </c>
      <c r="CA137" s="13">
        <f t="shared" si="147"/>
        <v>94.903799044499678</v>
      </c>
      <c r="CB137" s="20">
        <f t="shared" si="118"/>
        <v>888.88195163583805</v>
      </c>
      <c r="CC137" s="59">
        <f t="shared" si="119"/>
        <v>1176.4165292402763</v>
      </c>
      <c r="CD137" s="59">
        <f ca="1">AVERAGE(OFFSET($CC$3,0,0,'Données projet'!$E$12+1,1))-AVERAGE(OFFSET($H$3,0,0,'Données projet'!$E$12+1,1))</f>
        <v>639.80378676828764</v>
      </c>
      <c r="CE137" s="59">
        <f t="shared" si="148"/>
        <v>294.03328334345281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0.25800000000000001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70.328584397766335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70.328584397766335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-1.7053025658242404E-13</v>
      </c>
      <c r="CU137" s="17">
        <f>CT137*VLOOKUP('Données projet'!$B$13,Paramètres!$A$1:$I$89,3,0)*VLOOKUP('Données projet'!$B$13,Paramètres!$A$1:$I$89,5,0)</f>
        <v>-1.4897523215040567E-13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340.64710509454375</v>
      </c>
      <c r="CZ137" s="59">
        <f t="shared" si="150"/>
        <v>329.6409514360613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33.487654853931538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33.487654853931538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>
        <f>VLOOKUP(A137,'Données projet'!$A$165:$I$185,2,0)</f>
        <v>436.59</v>
      </c>
      <c r="DM137" s="12">
        <f>VLOOKUP(A137,'Données projet'!$A$165:$I$185,9,0)</f>
        <v>8.0699999999999985</v>
      </c>
      <c r="DN137" s="12">
        <f t="array" ref="DN137">INDEX(DM:DM,MIN(IF(ISNUMBER(DM137:DM333),ROW(DM137:DM333),"")))</f>
        <v>8.0699999999999985</v>
      </c>
      <c r="DO137" s="12">
        <f>IF('Données projet'!$A$166&gt;35,DO136+DN137-DW136,IF(A137&lt;'Données projet'!$A$166,$DL$205^A137,IF(A137='Données projet'!$A$166,'Données projet'!$B$166,DO136+DN137-DW136)))</f>
        <v>436.59000000000066</v>
      </c>
      <c r="DP137" s="17">
        <f>DO137*VLOOKUP('Données projet'!$B$14,Paramètres!$A$1:$I$89,3,0)*VLOOKUP('Données projet'!$B$14,Paramètres!$A$1:$I$89,5,0)</f>
        <v>422.26984800000071</v>
      </c>
      <c r="DQ137" s="13">
        <f t="shared" si="151"/>
        <v>96.277200239796969</v>
      </c>
      <c r="DR137" s="20">
        <f t="shared" si="124"/>
        <v>903.13610901764775</v>
      </c>
      <c r="DS137" s="59">
        <f t="shared" si="125"/>
        <v>1190.6706866220859</v>
      </c>
      <c r="DT137" s="59">
        <f ca="1">AVERAGE(OFFSET($DS$3,0,0,'Données projet'!$E$14+1,1))-AVERAGE(OFFSET($H$3,0,0,'Données projet'!$E$14+1,1))</f>
        <v>649.03508893149228</v>
      </c>
      <c r="DU137" s="59">
        <f t="shared" si="152"/>
        <v>297.94672581383213</v>
      </c>
      <c r="DV137" s="15">
        <f>IF(ISNA(VLOOKUP(A137,'Données projet'!$A$165:$I$185,3,0)),0,VLOOKUP(A137,'Données projet'!$A$165:$I$185,3,0))</f>
        <v>11</v>
      </c>
      <c r="DW137" s="15">
        <f>IF(ISNA(VLOOKUP(A137,'Données projet'!$A$165:$I$185,4,0)),0,VLOOKUP(A137,'Données projet'!$A$165:$I$185,4,0))</f>
        <v>54.95</v>
      </c>
      <c r="DX137" s="16">
        <f>IF(ISNA(VLOOKUP(A137,'Données projet'!$A$165:$I$185,5,0)),0%,VLOOKUP(A137,'Données projet'!$A$165:$I$185,5,0)*VLOOKUP('Données projet'!$B$14,Paramètres!$A$1:$I$89,7,0))</f>
        <v>0.25800000000000001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71.481512010844469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71.481512010844469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>
        <f>VLOOKUP(A137,'Données projet'!$A$191:$I$211,2,0)</f>
        <v>436.59</v>
      </c>
      <c r="EH137" s="12">
        <f>VLOOKUP(A137,'Données projet'!$A$191:$I$211,9,0)</f>
        <v>8.0699999999999985</v>
      </c>
      <c r="EI137" s="12">
        <f t="array" ref="EI137">INDEX(EH:EH,MIN(IF(ISNUMBER(EH137:EH333),ROW(EH137:EH333),"")))</f>
        <v>8.0699999999999985</v>
      </c>
      <c r="EJ137" s="12">
        <f>IF('Données projet'!$A$192&gt;35,EJ136+EI137-ER136,IF(A137&lt;'Données projet'!$A$192,$EG$205^A137,IF(A137='Données projet'!$A$192,'Données projet'!$B$192,EJ136+EI137-ER136)))</f>
        <v>436.59000000000066</v>
      </c>
      <c r="EK137" s="17">
        <f>EJ137*VLOOKUP('Données projet'!$B$15,Paramètres!$A$1:$I$89,3,0)*VLOOKUP('Données projet'!$B$15,Paramètres!$A$1:$I$89,5,0)</f>
        <v>469.94547600000072</v>
      </c>
      <c r="EL137" s="13">
        <f t="shared" si="153"/>
        <v>105.82132916028486</v>
      </c>
      <c r="EM137" s="20">
        <f t="shared" si="127"/>
        <v>1002.7938523208308</v>
      </c>
      <c r="EN137" s="59">
        <f t="shared" si="128"/>
        <v>1290.3284299252689</v>
      </c>
      <c r="EO137" s="59">
        <f ca="1">AVERAGE(OFFSET($EN$3,0,0,'Données projet'!$E$15+1,1))-AVERAGE(OFFSET($H$3,0,0,'Données projet'!$E$15+1,1))</f>
        <v>713.57333631602273</v>
      </c>
      <c r="EP137" s="59">
        <f t="shared" si="154"/>
        <v>325.30302392555359</v>
      </c>
      <c r="EQ137" s="15">
        <f>IF(ISNA(VLOOKUP(A137,'Données projet'!$A$191:$I$211,3,0)),0,VLOOKUP(A137,'Données projet'!$A$191:$I$211,3,0))</f>
        <v>11</v>
      </c>
      <c r="ER137" s="15">
        <f>IF(ISNA(VLOOKUP(A137,'Données projet'!$A$191:$I$211,4,0)),0,VLOOKUP(A137,'Données projet'!$A$191:$I$211,4,0))</f>
        <v>54.95</v>
      </c>
      <c r="ES137" s="16">
        <f>IF(ISNA(VLOOKUP(A137,'Données projet'!$A$191:$I$211,5,0)),0%,VLOOKUP(A137,'Données projet'!$A$191:$I$211,5,0)*VLOOKUP('Données projet'!$B$15,Paramètres!$A$1:$I$89,7,0))</f>
        <v>0.25800000000000001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79.552005302391436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79.552005302391436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5.6843418860808015E-14</v>
      </c>
      <c r="FF137" s="17">
        <f>FE137*VLOOKUP('Données projet'!$B$16,Paramètres!$A$1:$I$89,3,0)*VLOOKUP('Données projet'!$B$16,Paramètres!$A$1:$I$89,5,0)</f>
        <v>4.4337866711430253E-14</v>
      </c>
      <c r="FG137" s="13">
        <f t="shared" si="155"/>
        <v>7.3222115536967035E-13</v>
      </c>
      <c r="FH137" s="20">
        <f t="shared" si="130"/>
        <v>1.3525069634579169E-12</v>
      </c>
      <c r="FI137" s="59">
        <f t="shared" si="131"/>
        <v>287.53457760443956</v>
      </c>
      <c r="FJ137" s="59">
        <f ca="1">AVERAGE(OFFSET($FI$3,0,0,'Données projet'!$E$16+1,1))-AVERAGE(OFFSET($H$3,0,0,'Données projet'!$E$16+1,1))</f>
        <v>302.04287561738482</v>
      </c>
      <c r="FK137" s="59">
        <f t="shared" si="156"/>
        <v>296.09828774694802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28.484568840884712</v>
      </c>
      <c r="FR137" s="21">
        <f>EXP(-LN(2)/25)*FR136+(1-EXP(-LN(2)/25))/(LN(2)/25)*Calculateur!FM137*Calculateur!FO137*VLOOKUP('Données projet'!$B$16,Paramètres!$A$1:$I$89,3,0)*0.475*44/12</f>
        <v>8.3960536301621413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36.880622471046856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-2.8421709430404007E-14</v>
      </c>
      <c r="GA137" s="17">
        <f>FZ137*VLOOKUP('Données projet'!$B$17,Paramètres!$A$1:$I$89,3,0)*VLOOKUP('Données projet'!$B$17,Paramètres!$A$1:$I$89,5,0)</f>
        <v>-2.3942448024172337E-14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385.41819366740276</v>
      </c>
      <c r="GF137" s="59">
        <f t="shared" si="158"/>
        <v>262.4625391252718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111.23556255667549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111.23556255667549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68.41852116484678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3.3000000000000003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12.100000000000001</v>
      </c>
      <c r="H138" s="67">
        <f t="shared" si="110"/>
        <v>208.26666666666665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8.1590000000000025</v>
      </c>
      <c r="N138" s="13">
        <f>IF('Données projet'!$A$36&gt;35,N137+M138-V137,IF(A138&lt;'Données projet'!$A$36,$K$205^A138,IF(A138='Données projet'!$A$36,'Données projet'!$B$36,N137+M138-V137)))</f>
        <v>389.79900000000066</v>
      </c>
      <c r="O138" s="13">
        <f>N138*VLOOKUP('Données projet'!$B$9,Paramètres!$A$1:$I$89,3,0)*VLOOKUP('Données projet'!$B$9,Paramètres!$A$1:$I$89,5,0)</f>
        <v>352.69013520000055</v>
      </c>
      <c r="P138" s="13">
        <f t="shared" si="141"/>
        <v>82.116190931394016</v>
      </c>
      <c r="Q138" s="20">
        <f t="shared" si="108"/>
        <v>757.28768467884549</v>
      </c>
      <c r="R138" s="59">
        <f t="shared" si="109"/>
        <v>1044.9228577311044</v>
      </c>
      <c r="S138" s="59">
        <f ca="1">AVERAGE(OFFSET($R$3,0,0,'Données projet'!$E$9+1,1))-AVERAGE(OFFSET($H$3,0,0,'Données projet'!$E$9+1,1))</f>
        <v>612.09138396952153</v>
      </c>
      <c r="T138" s="59">
        <f t="shared" si="142"/>
        <v>282.284310393542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65.558525536520719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65.558525536520719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395.2561860000007</v>
      </c>
      <c r="AK138" s="13">
        <f t="shared" si="143"/>
        <v>90.814262971847356</v>
      </c>
      <c r="AL138" s="20">
        <f t="shared" si="112"/>
        <v>846.57269862596866</v>
      </c>
      <c r="AM138" s="59">
        <f t="shared" si="113"/>
        <v>1134.2078716782275</v>
      </c>
      <c r="AN138" s="59">
        <f ca="1">AVERAGE(OFFSET($AM$3,0,0,'Données projet'!$E$10+1,1))-AVERAGE(OFFSET($H$3,0,0,'Données projet'!$E$10+1,1))</f>
        <v>676.7112666359476</v>
      </c>
      <c r="AO138" s="59">
        <f t="shared" si="144"/>
        <v>309.67876644201385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73.47076137713529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73.47076137713529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389.1753216000007</v>
      </c>
      <c r="BF138" s="13">
        <f t="shared" si="145"/>
        <v>89.578636106214461</v>
      </c>
      <c r="BG138" s="20">
        <f t="shared" si="115"/>
        <v>833.82980967165804</v>
      </c>
      <c r="BH138" s="59">
        <f t="shared" si="116"/>
        <v>1121.4649827239168</v>
      </c>
      <c r="BI138" s="59">
        <f ca="1">AVERAGE(OFFSET($BH$3,0,0,'Données projet'!$E$11+1,1))-AVERAGE(OFFSET($H$3,0,0,'Données projet'!$E$11+1,1))</f>
        <v>667.4887768032404</v>
      </c>
      <c r="BJ138" s="59">
        <f t="shared" si="146"/>
        <v>305.76944302827178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72.340441971333235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72.340441971333235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370.93272840000066</v>
      </c>
      <c r="CA138" s="13">
        <f t="shared" si="147"/>
        <v>85.858097910086002</v>
      </c>
      <c r="CB138" s="20">
        <f t="shared" si="118"/>
        <v>795.57735582340092</v>
      </c>
      <c r="CC138" s="59">
        <f t="shared" si="119"/>
        <v>1083.2125288756597</v>
      </c>
      <c r="CD138" s="59">
        <f ca="1">AVERAGE(OFFSET($CC$3,0,0,'Données projet'!$E$12+1,1))-AVERAGE(OFFSET($H$3,0,0,'Données projet'!$E$12+1,1))</f>
        <v>639.80378676828764</v>
      </c>
      <c r="CE138" s="59">
        <f t="shared" si="148"/>
        <v>294.03328334345281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68.94948375392697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68.94948375392697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-1.7053025658242404E-13</v>
      </c>
      <c r="CU138" s="17">
        <f>CT138*VLOOKUP('Données projet'!$B$13,Paramètres!$A$1:$I$89,3,0)*VLOOKUP('Données projet'!$B$13,Paramètres!$A$1:$I$89,5,0)</f>
        <v>-1.4897523215040567E-13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340.64710509454375</v>
      </c>
      <c r="CZ138" s="59">
        <f t="shared" si="150"/>
        <v>329.6409514360613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32.830982367698553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32.830982367698553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8.1590000000000025</v>
      </c>
      <c r="DO138" s="12">
        <f>IF('Données projet'!$A$166&gt;35,DO137+DN138-DW137,IF(A138&lt;'Données projet'!$A$166,$DL$205^A138,IF(A138='Données projet'!$A$166,'Données projet'!$B$166,DO137+DN138-DW137)))</f>
        <v>389.79900000000066</v>
      </c>
      <c r="DP138" s="17">
        <f>DO138*VLOOKUP('Données projet'!$B$14,Paramètres!$A$1:$I$89,3,0)*VLOOKUP('Données projet'!$B$14,Paramètres!$A$1:$I$89,5,0)</f>
        <v>377.01359280000065</v>
      </c>
      <c r="DQ138" s="13">
        <f t="shared" si="151"/>
        <v>87.100594158738531</v>
      </c>
      <c r="DR138" s="20">
        <f t="shared" si="124"/>
        <v>808.33220895313741</v>
      </c>
      <c r="DS138" s="59">
        <f t="shared" si="125"/>
        <v>1095.9673820053963</v>
      </c>
      <c r="DT138" s="59">
        <f ca="1">AVERAGE(OFFSET($DS$3,0,0,'Données projet'!$E$14+1,1))-AVERAGE(OFFSET($H$3,0,0,'Données projet'!$E$14+1,1))</f>
        <v>649.03508893149228</v>
      </c>
      <c r="DU138" s="59">
        <f t="shared" si="152"/>
        <v>297.94672581383213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70.079803159729053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70.079803159729053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8.1590000000000025</v>
      </c>
      <c r="EJ138" s="12">
        <f>IF('Données projet'!$A$192&gt;35,EJ137+EI138-ER137,IF(A138&lt;'Données projet'!$A$192,$EG$205^A138,IF(A138='Données projet'!$A$192,'Données projet'!$B$192,EJ137+EI138-ER137)))</f>
        <v>389.79900000000066</v>
      </c>
      <c r="EK138" s="17">
        <f>EJ138*VLOOKUP('Données projet'!$B$15,Paramètres!$A$1:$I$89,3,0)*VLOOKUP('Données projet'!$B$15,Paramètres!$A$1:$I$89,5,0)</f>
        <v>419.57964360000068</v>
      </c>
      <c r="EL138" s="13">
        <f t="shared" si="153"/>
        <v>95.735029909171558</v>
      </c>
      <c r="EM138" s="20">
        <f t="shared" si="127"/>
        <v>897.50638969514159</v>
      </c>
      <c r="EN138" s="59">
        <f t="shared" si="128"/>
        <v>1185.1415627474005</v>
      </c>
      <c r="EO138" s="59">
        <f ca="1">AVERAGE(OFFSET($EN$3,0,0,'Données projet'!$E$15+1,1))-AVERAGE(OFFSET($H$3,0,0,'Données projet'!$E$15+1,1))</f>
        <v>713.57333631602273</v>
      </c>
      <c r="EP138" s="59">
        <f t="shared" si="154"/>
        <v>325.30302392555359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77.992039000343638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77.992039000343638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5.6843418860808015E-14</v>
      </c>
      <c r="FF138" s="17">
        <f>FE138*VLOOKUP('Données projet'!$B$16,Paramètres!$A$1:$I$89,3,0)*VLOOKUP('Données projet'!$B$16,Paramètres!$A$1:$I$89,5,0)</f>
        <v>4.4337866711430253E-14</v>
      </c>
      <c r="FG138" s="13">
        <f t="shared" si="155"/>
        <v>7.3222115536967035E-13</v>
      </c>
      <c r="FH138" s="20">
        <f t="shared" si="130"/>
        <v>1.3525069634579169E-12</v>
      </c>
      <c r="FI138" s="59">
        <f t="shared" si="131"/>
        <v>287.6351730522602</v>
      </c>
      <c r="FJ138" s="59">
        <f ca="1">AVERAGE(OFFSET($FI$3,0,0,'Données projet'!$E$16+1,1))-AVERAGE(OFFSET($H$3,0,0,'Données projet'!$E$16+1,1))</f>
        <v>302.04287561738482</v>
      </c>
      <c r="FK138" s="59">
        <f t="shared" si="156"/>
        <v>296.09828774694802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27.92600381978643</v>
      </c>
      <c r="FR138" s="21">
        <f>EXP(-LN(2)/25)*FR137+(1-EXP(-LN(2)/25))/(LN(2)/25)*Calculateur!FM138*Calculateur!FO138*VLOOKUP('Données projet'!$B$16,Paramètres!$A$1:$I$89,3,0)*0.475*44/12</f>
        <v>8.1664631021160865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36.092466921902513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-2.8421709430404007E-14</v>
      </c>
      <c r="GA138" s="17">
        <f>FZ138*VLOOKUP('Données projet'!$B$17,Paramètres!$A$1:$I$89,3,0)*VLOOKUP('Données projet'!$B$17,Paramètres!$A$1:$I$89,5,0)</f>
        <v>-2.3942448024172337E-14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385.41819366740276</v>
      </c>
      <c r="GF138" s="59">
        <f t="shared" si="158"/>
        <v>262.4625391252718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109.05430102193291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109.05430102193291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68.44595628697968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3.3000000000000003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12.100000000000001</v>
      </c>
      <c r="H139" s="67">
        <f t="shared" si="110"/>
        <v>208.26666666666665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8.1590000000000025</v>
      </c>
      <c r="N139" s="13">
        <f>IF('Données projet'!$A$36&gt;35,N138+M139-V138,IF(A139&lt;'Données projet'!$A$36,$K$205^A139,IF(A139='Données projet'!$A$36,'Données projet'!$B$36,N138+M139-V138)))</f>
        <v>397.95800000000065</v>
      </c>
      <c r="O139" s="13">
        <f>N139*VLOOKUP('Données projet'!$B$9,Paramètres!$A$1:$I$89,3,0)*VLOOKUP('Données projet'!$B$9,Paramètres!$A$1:$I$89,5,0)</f>
        <v>360.07239840000057</v>
      </c>
      <c r="P139" s="13">
        <f t="shared" si="141"/>
        <v>83.633085567444908</v>
      </c>
      <c r="Q139" s="20">
        <f t="shared" si="108"/>
        <v>772.78705124330099</v>
      </c>
      <c r="R139" s="59">
        <f t="shared" si="109"/>
        <v>1060.5210746372586</v>
      </c>
      <c r="S139" s="59">
        <f ca="1">AVERAGE(OFFSET($R$3,0,0,'Données projet'!$E$9+1,1))-AVERAGE(OFFSET($H$3,0,0,'Données projet'!$E$9+1,1))</f>
        <v>612.09138396952153</v>
      </c>
      <c r="T139" s="59">
        <f t="shared" si="142"/>
        <v>282.284310393542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64.272962837501765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64.272962837501765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403.52941200000066</v>
      </c>
      <c r="AK139" s="13">
        <f t="shared" si="143"/>
        <v>92.491833093116057</v>
      </c>
      <c r="AL139" s="20">
        <f t="shared" si="112"/>
        <v>863.90366853717831</v>
      </c>
      <c r="AM139" s="59">
        <f t="shared" si="113"/>
        <v>1151.637691931136</v>
      </c>
      <c r="AN139" s="59">
        <f ca="1">AVERAGE(OFFSET($AM$3,0,0,'Données projet'!$E$10+1,1))-AVERAGE(OFFSET($H$3,0,0,'Données projet'!$E$10+1,1))</f>
        <v>676.7112666359476</v>
      </c>
      <c r="AO139" s="59">
        <f t="shared" si="144"/>
        <v>309.67876644201385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72.030044559269214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72.030044559269214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397.32126720000065</v>
      </c>
      <c r="BF139" s="13">
        <f t="shared" si="145"/>
        <v>91.233381060565748</v>
      </c>
      <c r="BG139" s="20">
        <f t="shared" si="115"/>
        <v>850.89934572048639</v>
      </c>
      <c r="BH139" s="59">
        <f t="shared" si="116"/>
        <v>1138.6333691144441</v>
      </c>
      <c r="BI139" s="59">
        <f ca="1">AVERAGE(OFFSET($BH$3,0,0,'Données projet'!$E$11+1,1))-AVERAGE(OFFSET($H$3,0,0,'Données projet'!$E$11+1,1))</f>
        <v>667.4887768032404</v>
      </c>
      <c r="BJ139" s="59">
        <f t="shared" si="146"/>
        <v>305.76944302827178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70.921890027588177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70.921890027588177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378.69683280000061</v>
      </c>
      <c r="CA139" s="13">
        <f t="shared" si="147"/>
        <v>87.444115073134299</v>
      </c>
      <c r="CB139" s="20">
        <f t="shared" si="118"/>
        <v>811.86215087904327</v>
      </c>
      <c r="CC139" s="59">
        <f t="shared" si="119"/>
        <v>1099.596174273001</v>
      </c>
      <c r="CD139" s="59">
        <f ca="1">AVERAGE(OFFSET($CC$3,0,0,'Données projet'!$E$12+1,1))-AVERAGE(OFFSET($H$3,0,0,'Données projet'!$E$12+1,1))</f>
        <v>639.80378676828764</v>
      </c>
      <c r="CE139" s="59">
        <f t="shared" si="148"/>
        <v>294.03328334345281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67.597426432544964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67.597426432544964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-1.7053025658242404E-13</v>
      </c>
      <c r="CU139" s="17">
        <f>CT139*VLOOKUP('Données projet'!$B$13,Paramètres!$A$1:$I$89,3,0)*VLOOKUP('Données projet'!$B$13,Paramètres!$A$1:$I$89,5,0)</f>
        <v>-1.4897523215040567E-13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340.64710509454375</v>
      </c>
      <c r="CZ139" s="59">
        <f t="shared" si="150"/>
        <v>329.6409514360613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32.187186828389933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32.187186828389933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8.1590000000000025</v>
      </c>
      <c r="DO139" s="12">
        <f>IF('Données projet'!$A$166&gt;35,DO138+DN139-DW138,IF(A139&lt;'Données projet'!$A$166,$DL$205^A139,IF(A139='Données projet'!$A$166,'Données projet'!$B$166,DO138+DN139-DW138)))</f>
        <v>397.95800000000065</v>
      </c>
      <c r="DP139" s="17">
        <f>DO139*VLOOKUP('Données projet'!$B$14,Paramètres!$A$1:$I$89,3,0)*VLOOKUP('Données projet'!$B$14,Paramètres!$A$1:$I$89,5,0)</f>
        <v>384.90497760000062</v>
      </c>
      <c r="DQ139" s="13">
        <f t="shared" si="151"/>
        <v>88.709563383658136</v>
      </c>
      <c r="DR139" s="20">
        <f t="shared" si="124"/>
        <v>824.87865887987221</v>
      </c>
      <c r="DS139" s="59">
        <f t="shared" si="125"/>
        <v>1112.6126822738297</v>
      </c>
      <c r="DT139" s="59">
        <f ca="1">AVERAGE(OFFSET($DS$3,0,0,'Données projet'!$E$14+1,1))-AVERAGE(OFFSET($H$3,0,0,'Données projet'!$E$14+1,1))</f>
        <v>649.03508893149228</v>
      </c>
      <c r="DU139" s="59">
        <f t="shared" si="152"/>
        <v>297.94672581383213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68.70558096422603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68.70558096422603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8.1590000000000025</v>
      </c>
      <c r="EJ139" s="12">
        <f>IF('Données projet'!$A$192&gt;35,EJ138+EI139-ER138,IF(A139&lt;'Données projet'!$A$192,$EG$205^A139,IF(A139='Données projet'!$A$192,'Données projet'!$B$192,EJ138+EI139-ER138)))</f>
        <v>397.95800000000065</v>
      </c>
      <c r="EK139" s="17">
        <f>EJ139*VLOOKUP('Données projet'!$B$15,Paramètres!$A$1:$I$89,3,0)*VLOOKUP('Données projet'!$B$15,Paramètres!$A$1:$I$89,5,0)</f>
        <v>428.36199120000066</v>
      </c>
      <c r="EL139" s="13">
        <f t="shared" si="153"/>
        <v>97.503499095385038</v>
      </c>
      <c r="EM139" s="20">
        <f t="shared" si="127"/>
        <v>915.88239559779674</v>
      </c>
      <c r="EN139" s="59">
        <f t="shared" si="128"/>
        <v>1203.6164189917545</v>
      </c>
      <c r="EO139" s="59">
        <f ca="1">AVERAGE(OFFSET($EN$3,0,0,'Données projet'!$E$15+1,1))-AVERAGE(OFFSET($H$3,0,0,'Données projet'!$E$15+1,1))</f>
        <v>713.57333631602273</v>
      </c>
      <c r="EP139" s="59">
        <f t="shared" si="154"/>
        <v>325.30302392555359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76.462662685993493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76.462662685993493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5.6843418860808015E-14</v>
      </c>
      <c r="FF139" s="17">
        <f>FE139*VLOOKUP('Données projet'!$B$16,Paramètres!$A$1:$I$89,3,0)*VLOOKUP('Données projet'!$B$16,Paramètres!$A$1:$I$89,5,0)</f>
        <v>4.4337866711430253E-14</v>
      </c>
      <c r="FG139" s="13">
        <f t="shared" si="155"/>
        <v>7.3222115536967035E-13</v>
      </c>
      <c r="FH139" s="20">
        <f t="shared" si="130"/>
        <v>1.3525069634579169E-12</v>
      </c>
      <c r="FI139" s="59">
        <f t="shared" si="131"/>
        <v>287.73402339395898</v>
      </c>
      <c r="FJ139" s="59">
        <f ca="1">AVERAGE(OFFSET($FI$3,0,0,'Données projet'!$E$16+1,1))-AVERAGE(OFFSET($H$3,0,0,'Données projet'!$E$16+1,1))</f>
        <v>302.04287561738482</v>
      </c>
      <c r="FK139" s="59">
        <f t="shared" si="156"/>
        <v>296.09828774694802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27.378391918060863</v>
      </c>
      <c r="FR139" s="21">
        <f>EXP(-LN(2)/25)*FR138+(1-EXP(-LN(2)/25))/(LN(2)/25)*Calculateur!FM139*Calculateur!FO139*VLOOKUP('Données projet'!$B$16,Paramètres!$A$1:$I$89,3,0)*0.475*44/12</f>
        <v>7.9431507391330927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35.321542657193959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-2.8421709430404007E-14</v>
      </c>
      <c r="GA139" s="17">
        <f>FZ139*VLOOKUP('Données projet'!$B$17,Paramètres!$A$1:$I$89,3,0)*VLOOKUP('Données projet'!$B$17,Paramètres!$A$1:$I$89,5,0)</f>
        <v>-2.3942448024172337E-14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385.41819366740276</v>
      </c>
      <c r="GF139" s="59">
        <f t="shared" si="158"/>
        <v>262.4625391252718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106.91581269544847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106.91581269544847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68.472915471079347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3.3000000000000003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12.100000000000001</v>
      </c>
      <c r="H140" s="67">
        <f t="shared" si="110"/>
        <v>208.26666666666665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8.1590000000000025</v>
      </c>
      <c r="N140" s="13">
        <f>IF('Données projet'!$A$36&gt;35,N139+M140-V139,IF(A140&lt;'Données projet'!$A$36,$K$205^A140,IF(A140='Données projet'!$A$36,'Données projet'!$B$36,N139+M140-V139)))</f>
        <v>406.11700000000064</v>
      </c>
      <c r="O140" s="13">
        <f>N140*VLOOKUP('Données projet'!$B$9,Paramètres!$A$1:$I$89,3,0)*VLOOKUP('Données projet'!$B$9,Paramètres!$A$1:$I$89,5,0)</f>
        <v>367.45466160000058</v>
      </c>
      <c r="P140" s="13">
        <f t="shared" si="141"/>
        <v>85.146364255773364</v>
      </c>
      <c r="Q140" s="20">
        <f t="shared" si="108"/>
        <v>788.28012003213962</v>
      </c>
      <c r="R140" s="59">
        <f t="shared" si="109"/>
        <v>1076.1112789353638</v>
      </c>
      <c r="S140" s="59">
        <f ca="1">AVERAGE(OFFSET($R$3,0,0,'Données projet'!$E$9+1,1))-AVERAGE(OFFSET($H$3,0,0,'Données projet'!$E$9+1,1))</f>
        <v>612.09138396952153</v>
      </c>
      <c r="T140" s="59">
        <f t="shared" si="142"/>
        <v>282.284310393542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63.012609238894747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63.012609238894747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411.80263800000068</v>
      </c>
      <c r="AK140" s="13">
        <f t="shared" si="143"/>
        <v>94.165404251164176</v>
      </c>
      <c r="AL140" s="20">
        <f t="shared" si="112"/>
        <v>881.22767358744534</v>
      </c>
      <c r="AM140" s="59">
        <f t="shared" si="113"/>
        <v>1169.0588324906694</v>
      </c>
      <c r="AN140" s="59">
        <f ca="1">AVERAGE(OFFSET($AM$3,0,0,'Données projet'!$E$10+1,1))-AVERAGE(OFFSET($H$3,0,0,'Données projet'!$E$10+1,1))</f>
        <v>676.7112666359476</v>
      </c>
      <c r="AO140" s="59">
        <f t="shared" si="144"/>
        <v>309.67876644201385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70.617579319451011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70.617579319451011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405.46721280000071</v>
      </c>
      <c r="BF140" s="13">
        <f t="shared" si="145"/>
        <v>92.884181461942447</v>
      </c>
      <c r="BG140" s="20">
        <f t="shared" si="115"/>
        <v>867.96201167288427</v>
      </c>
      <c r="BH140" s="59">
        <f t="shared" si="116"/>
        <v>1155.7931705761084</v>
      </c>
      <c r="BI140" s="59">
        <f ca="1">AVERAGE(OFFSET($BH$3,0,0,'Données projet'!$E$11+1,1))-AVERAGE(OFFSET($H$3,0,0,'Données projet'!$E$11+1,1))</f>
        <v>667.4887768032404</v>
      </c>
      <c r="BJ140" s="59">
        <f t="shared" si="146"/>
        <v>305.76944302827178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69.531155022228702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69.531155022228702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386.46093720000061</v>
      </c>
      <c r="CA140" s="13">
        <f t="shared" si="147"/>
        <v>89.02635151535199</v>
      </c>
      <c r="CB140" s="20">
        <f t="shared" si="118"/>
        <v>828.14036117923899</v>
      </c>
      <c r="CC140" s="59">
        <f t="shared" si="119"/>
        <v>1115.971520082463</v>
      </c>
      <c r="CD140" s="59">
        <f ca="1">AVERAGE(OFFSET($CC$3,0,0,'Données projet'!$E$12+1,1))-AVERAGE(OFFSET($H$3,0,0,'Données projet'!$E$12+1,1))</f>
        <v>639.80378676828764</v>
      </c>
      <c r="CE140" s="59">
        <f t="shared" si="148"/>
        <v>294.03328334345281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66.271882130561721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66.271882130561721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-1.7053025658242404E-13</v>
      </c>
      <c r="CU140" s="17">
        <f>CT140*VLOOKUP('Données projet'!$B$13,Paramètres!$A$1:$I$89,3,0)*VLOOKUP('Données projet'!$B$13,Paramètres!$A$1:$I$89,5,0)</f>
        <v>-1.4897523215040567E-13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340.64710509454375</v>
      </c>
      <c r="CZ140" s="59">
        <f t="shared" si="150"/>
        <v>329.6409514360613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31.556015726930649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31.556015726930649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8.1590000000000025</v>
      </c>
      <c r="DO140" s="12">
        <f>IF('Données projet'!$A$166&gt;35,DO139+DN140-DW139,IF(A140&lt;'Données projet'!$A$166,$DL$205^A140,IF(A140='Données projet'!$A$166,'Données projet'!$B$166,DO139+DN140-DW139)))</f>
        <v>406.11700000000064</v>
      </c>
      <c r="DP140" s="17">
        <f>DO140*VLOOKUP('Données projet'!$B$14,Paramètres!$A$1:$I$89,3,0)*VLOOKUP('Données projet'!$B$14,Paramètres!$A$1:$I$89,5,0)</f>
        <v>392.79636240000065</v>
      </c>
      <c r="DQ140" s="13">
        <f t="shared" si="151"/>
        <v>90.314697175011091</v>
      </c>
      <c r="DR140" s="20">
        <f t="shared" si="124"/>
        <v>841.41842875981195</v>
      </c>
      <c r="DS140" s="59">
        <f t="shared" si="125"/>
        <v>1129.249587663036</v>
      </c>
      <c r="DT140" s="59">
        <f ca="1">AVERAGE(OFFSET($DS$3,0,0,'Données projet'!$E$14+1,1))-AVERAGE(OFFSET($H$3,0,0,'Données projet'!$E$14+1,1))</f>
        <v>649.03508893149228</v>
      </c>
      <c r="DU140" s="59">
        <f t="shared" si="152"/>
        <v>297.94672581383213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67.358306427784044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67.358306427784044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8.1590000000000025</v>
      </c>
      <c r="EJ140" s="12">
        <f>IF('Données projet'!$A$192&gt;35,EJ139+EI140-ER139,IF(A140&lt;'Données projet'!$A$192,$EG$205^A140,IF(A140='Données projet'!$A$192,'Données projet'!$B$192,EJ139+EI140-ER139)))</f>
        <v>406.11700000000064</v>
      </c>
      <c r="EK140" s="17">
        <f>EJ140*VLOOKUP('Données projet'!$B$15,Paramètres!$A$1:$I$89,3,0)*VLOOKUP('Données projet'!$B$15,Paramètres!$A$1:$I$89,5,0)</f>
        <v>437.14433880000064</v>
      </c>
      <c r="EL140" s="13">
        <f t="shared" si="153"/>
        <v>99.267752634727543</v>
      </c>
      <c r="EM140" s="20">
        <f t="shared" si="127"/>
        <v>934.25105924881802</v>
      </c>
      <c r="EN140" s="59">
        <f t="shared" si="128"/>
        <v>1222.0822181520421</v>
      </c>
      <c r="EO140" s="59">
        <f ca="1">AVERAGE(OFFSET($EN$3,0,0,'Données projet'!$E$15+1,1))-AVERAGE(OFFSET($H$3,0,0,'Données projet'!$E$15+1,1))</f>
        <v>713.57333631602273</v>
      </c>
      <c r="EP140" s="59">
        <f t="shared" si="154"/>
        <v>325.30302392555359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74.963276508340314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74.963276508340314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5.6843418860808015E-14</v>
      </c>
      <c r="FF140" s="17">
        <f>FE140*VLOOKUP('Données projet'!$B$16,Paramètres!$A$1:$I$89,3,0)*VLOOKUP('Données projet'!$B$16,Paramètres!$A$1:$I$89,5,0)</f>
        <v>4.4337866711430253E-14</v>
      </c>
      <c r="FG140" s="13">
        <f t="shared" si="155"/>
        <v>7.3222115536967035E-13</v>
      </c>
      <c r="FH140" s="20">
        <f t="shared" si="130"/>
        <v>1.3525069634579169E-12</v>
      </c>
      <c r="FI140" s="59">
        <f t="shared" si="131"/>
        <v>287.83115890322546</v>
      </c>
      <c r="FJ140" s="59">
        <f ca="1">AVERAGE(OFFSET($FI$3,0,0,'Données projet'!$E$16+1,1))-AVERAGE(OFFSET($H$3,0,0,'Données projet'!$E$16+1,1))</f>
        <v>302.04287561738482</v>
      </c>
      <c r="FK140" s="59">
        <f t="shared" si="156"/>
        <v>296.09828774694802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26.841518351717855</v>
      </c>
      <c r="FR140" s="21">
        <f>EXP(-LN(2)/25)*FR139+(1-EXP(-LN(2)/25))/(LN(2)/25)*Calculateur!FM140*Calculateur!FO140*VLOOKUP('Données projet'!$B$16,Paramètres!$A$1:$I$89,3,0)*0.475*44/12</f>
        <v>7.7259448644593549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34.56746321617721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-2.8421709430404007E-14</v>
      </c>
      <c r="GA140" s="17">
        <f>FZ140*VLOOKUP('Données projet'!$B$17,Paramètres!$A$1:$I$89,3,0)*VLOOKUP('Données projet'!$B$17,Paramètres!$A$1:$I$89,5,0)</f>
        <v>-2.3942448024172337E-14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385.41819366740276</v>
      </c>
      <c r="GF140" s="59">
        <f t="shared" si="158"/>
        <v>262.4625391252718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104.8192588206973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104.8192588206973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68.499406973606568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3.3000000000000003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12.100000000000001</v>
      </c>
      <c r="H141" s="67">
        <f t="shared" si="110"/>
        <v>208.26666666666665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8.1590000000000025</v>
      </c>
      <c r="N141" s="13">
        <f>IF('Données projet'!$A$36&gt;35,N140+M141-V140,IF(A141&lt;'Données projet'!$A$36,$K$205^A141,IF(A141='Données projet'!$A$36,'Données projet'!$B$36,N140+M141-V140)))</f>
        <v>414.27600000000064</v>
      </c>
      <c r="O141" s="13">
        <f>N141*VLOOKUP('Données projet'!$B$9,Paramètres!$A$1:$I$89,3,0)*VLOOKUP('Données projet'!$B$9,Paramètres!$A$1:$I$89,5,0)</f>
        <v>374.83692480000053</v>
      </c>
      <c r="P141" s="13">
        <f t="shared" si="141"/>
        <v>86.656108013910185</v>
      </c>
      <c r="Q141" s="20">
        <f t="shared" si="108"/>
        <v>803.76703215089447</v>
      </c>
      <c r="R141" s="59">
        <f t="shared" si="109"/>
        <v>1091.6936414794618</v>
      </c>
      <c r="S141" s="59">
        <f ca="1">AVERAGE(OFFSET($R$3,0,0,'Données projet'!$E$9+1,1))-AVERAGE(OFFSET($H$3,0,0,'Données projet'!$E$9+1,1))</f>
        <v>612.09138396952153</v>
      </c>
      <c r="T141" s="59">
        <f t="shared" si="142"/>
        <v>282.284310393542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61.776970405616623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61.776970405616623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420.07586400000065</v>
      </c>
      <c r="AK141" s="13">
        <f t="shared" si="143"/>
        <v>95.835066045220003</v>
      </c>
      <c r="AL141" s="20">
        <f t="shared" si="112"/>
        <v>898.54486982875926</v>
      </c>
      <c r="AM141" s="59">
        <f t="shared" si="113"/>
        <v>1186.4714791573265</v>
      </c>
      <c r="AN141" s="59">
        <f ca="1">AVERAGE(OFFSET($AM$3,0,0,'Données projet'!$E$10+1,1))-AVERAGE(OFFSET($H$3,0,0,'Données projet'!$E$10+1,1))</f>
        <v>676.7112666359476</v>
      </c>
      <c r="AO141" s="59">
        <f t="shared" si="144"/>
        <v>309.67876644201385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69.232811661466911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69.232811661466911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413.61315840000066</v>
      </c>
      <c r="BF141" s="13">
        <f t="shared" si="145"/>
        <v>94.531125690477737</v>
      </c>
      <c r="BG141" s="20">
        <f t="shared" si="115"/>
        <v>885.01796145758317</v>
      </c>
      <c r="BH141" s="59">
        <f t="shared" si="116"/>
        <v>1172.9445707861505</v>
      </c>
      <c r="BI141" s="59">
        <f ca="1">AVERAGE(OFFSET($BH$3,0,0,'Données projet'!$E$11+1,1))-AVERAGE(OFFSET($H$3,0,0,'Données projet'!$E$11+1,1))</f>
        <v>667.4887768032404</v>
      </c>
      <c r="BJ141" s="59">
        <f t="shared" si="146"/>
        <v>305.76944302827178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68.167691482059737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68.167691482059737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394.22504160000057</v>
      </c>
      <c r="CA141" s="13">
        <f t="shared" si="147"/>
        <v>90.604891946112389</v>
      </c>
      <c r="CB141" s="20">
        <f t="shared" si="118"/>
        <v>844.41213425948001</v>
      </c>
      <c r="CC141" s="59">
        <f t="shared" si="119"/>
        <v>1132.3387435880472</v>
      </c>
      <c r="CD141" s="59">
        <f ca="1">AVERAGE(OFFSET($CC$3,0,0,'Données projet'!$E$12+1,1))-AVERAGE(OFFSET($H$3,0,0,'Données projet'!$E$12+1,1))</f>
        <v>639.80378676828764</v>
      </c>
      <c r="CE141" s="59">
        <f t="shared" si="148"/>
        <v>294.03328334345281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64.972330943838173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64.972330943838173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-1.7053025658242404E-13</v>
      </c>
      <c r="CU141" s="17">
        <f>CT141*VLOOKUP('Données projet'!$B$13,Paramètres!$A$1:$I$89,3,0)*VLOOKUP('Données projet'!$B$13,Paramètres!$A$1:$I$89,5,0)</f>
        <v>-1.4897523215040567E-13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340.64710509454375</v>
      </c>
      <c r="CZ141" s="59">
        <f t="shared" si="150"/>
        <v>329.6409514360613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30.937221505794621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30.937221505794621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8.1590000000000025</v>
      </c>
      <c r="DO141" s="12">
        <f>IF('Données projet'!$A$166&gt;35,DO140+DN141-DW140,IF(A141&lt;'Données projet'!$A$166,$DL$205^A141,IF(A141='Données projet'!$A$166,'Données projet'!$B$166,DO140+DN141-DW140)))</f>
        <v>414.27600000000064</v>
      </c>
      <c r="DP141" s="17">
        <f>DO141*VLOOKUP('Données projet'!$B$14,Paramètres!$A$1:$I$89,3,0)*VLOOKUP('Données projet'!$B$14,Paramètres!$A$1:$I$89,5,0)</f>
        <v>400.68774720000062</v>
      </c>
      <c r="DQ141" s="13">
        <f t="shared" si="151"/>
        <v>91.916081468043174</v>
      </c>
      <c r="DR141" s="20">
        <f t="shared" si="124"/>
        <v>857.95166826350953</v>
      </c>
      <c r="DS141" s="59">
        <f t="shared" si="125"/>
        <v>1145.8782775920768</v>
      </c>
      <c r="DT141" s="59">
        <f ca="1">AVERAGE(OFFSET($DS$3,0,0,'Données projet'!$E$14+1,1))-AVERAGE(OFFSET($H$3,0,0,'Données projet'!$E$14+1,1))</f>
        <v>649.03508893149228</v>
      </c>
      <c r="DU141" s="59">
        <f t="shared" si="152"/>
        <v>297.94672581383213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66.037451123245361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66.037451123245361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8.1590000000000025</v>
      </c>
      <c r="EJ141" s="12">
        <f>IF('Données projet'!$A$192&gt;35,EJ140+EI141-ER140,IF(A141&lt;'Données projet'!$A$192,$EG$205^A141,IF(A141='Données projet'!$A$192,'Données projet'!$B$192,EJ140+EI141-ER140)))</f>
        <v>414.27600000000064</v>
      </c>
      <c r="EK141" s="17">
        <f>EJ141*VLOOKUP('Données projet'!$B$15,Paramètres!$A$1:$I$89,3,0)*VLOOKUP('Données projet'!$B$15,Paramètres!$A$1:$I$89,5,0)</f>
        <v>445.92668640000062</v>
      </c>
      <c r="EL141" s="13">
        <f t="shared" si="153"/>
        <v>101.02788498135783</v>
      </c>
      <c r="EM141" s="20">
        <f t="shared" si="127"/>
        <v>952.61254515586586</v>
      </c>
      <c r="EN141" s="59">
        <f t="shared" si="128"/>
        <v>1240.5391544844331</v>
      </c>
      <c r="EO141" s="59">
        <f ca="1">AVERAGE(OFFSET($EN$3,0,0,'Données projet'!$E$15+1,1))-AVERAGE(OFFSET($H$3,0,0,'Données projet'!$E$15+1,1))</f>
        <v>713.57333631602273</v>
      </c>
      <c r="EP141" s="59">
        <f t="shared" si="154"/>
        <v>325.30302392555359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73.493292379095649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73.493292379095649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5.6843418860808015E-14</v>
      </c>
      <c r="FF141" s="17">
        <f>FE141*VLOOKUP('Données projet'!$B$16,Paramètres!$A$1:$I$89,3,0)*VLOOKUP('Données projet'!$B$16,Paramètres!$A$1:$I$89,5,0)</f>
        <v>4.4337866711430253E-14</v>
      </c>
      <c r="FG141" s="13">
        <f t="shared" si="155"/>
        <v>7.3222115536967035E-13</v>
      </c>
      <c r="FH141" s="20">
        <f t="shared" si="130"/>
        <v>1.3525069634579169E-12</v>
      </c>
      <c r="FI141" s="59">
        <f t="shared" si="131"/>
        <v>287.92660932856865</v>
      </c>
      <c r="FJ141" s="59">
        <f ca="1">AVERAGE(OFFSET($FI$3,0,0,'Données projet'!$E$16+1,1))-AVERAGE(OFFSET($H$3,0,0,'Données projet'!$E$16+1,1))</f>
        <v>302.04287561738482</v>
      </c>
      <c r="FK141" s="59">
        <f t="shared" si="156"/>
        <v>296.09828774694802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26.31517254855029</v>
      </c>
      <c r="FR141" s="21">
        <f>EXP(-LN(2)/25)*FR140+(1-EXP(-LN(2)/25))/(LN(2)/25)*Calculateur!FM141*Calculateur!FO141*VLOOKUP('Données projet'!$B$16,Paramètres!$A$1:$I$89,3,0)*0.475*44/12</f>
        <v>7.514678495850931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33.829851044401224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-2.8421709430404007E-14</v>
      </c>
      <c r="GA141" s="17">
        <f>FZ141*VLOOKUP('Données projet'!$B$17,Paramètres!$A$1:$I$89,3,0)*VLOOKUP('Données projet'!$B$17,Paramètres!$A$1:$I$89,5,0)</f>
        <v>-2.3942448024172337E-14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385.41819366740276</v>
      </c>
      <c r="GF141" s="59">
        <f t="shared" si="158"/>
        <v>262.4625391252718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102.7638170886584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102.7638170886584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68.52543890779107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3.3000000000000003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12.100000000000001</v>
      </c>
      <c r="H142" s="67">
        <f t="shared" si="110"/>
        <v>208.26666666666665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8.1590000000000025</v>
      </c>
      <c r="N142" s="13">
        <f>IF('Données projet'!$A$36&gt;35,N141+M142-V141,IF(A142&lt;'Données projet'!$A$36,$K$205^A142,IF(A142='Données projet'!$A$36,'Données projet'!$B$36,N141+M142-V141)))</f>
        <v>422.43500000000063</v>
      </c>
      <c r="O142" s="13">
        <f>N142*VLOOKUP('Données projet'!$B$9,Paramètres!$A$1:$I$89,3,0)*VLOOKUP('Données projet'!$B$9,Paramètres!$A$1:$I$89,5,0)</f>
        <v>382.21918800000054</v>
      </c>
      <c r="P142" s="13">
        <f t="shared" si="141"/>
        <v>88.162394485655341</v>
      </c>
      <c r="Q142" s="20">
        <f t="shared" si="108"/>
        <v>819.24792282918395</v>
      </c>
      <c r="R142" s="59">
        <f t="shared" si="109"/>
        <v>1107.2683267316099</v>
      </c>
      <c r="S142" s="59">
        <f ca="1">AVERAGE(OFFSET($R$3,0,0,'Données projet'!$E$9+1,1))-AVERAGE(OFFSET($H$3,0,0,'Données projet'!$E$9+1,1))</f>
        <v>612.09138396952153</v>
      </c>
      <c r="T142" s="59">
        <f t="shared" si="142"/>
        <v>282.284310393542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60.565561696193818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60.565561696193818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428.34909000000067</v>
      </c>
      <c r="AK142" s="13">
        <f t="shared" si="143"/>
        <v>97.500904343422292</v>
      </c>
      <c r="AL142" s="20">
        <f t="shared" si="112"/>
        <v>915.85540681479506</v>
      </c>
      <c r="AM142" s="59">
        <f t="shared" si="113"/>
        <v>1203.8758107172209</v>
      </c>
      <c r="AN142" s="59">
        <f ca="1">AVERAGE(OFFSET($AM$3,0,0,'Données projet'!$E$10+1,1))-AVERAGE(OFFSET($H$3,0,0,'Données projet'!$E$10+1,1))</f>
        <v>676.7112666359476</v>
      </c>
      <c r="AO142" s="59">
        <f t="shared" si="144"/>
        <v>309.67876644201385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67.875198452631011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67.875198452631011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421.75910400000066</v>
      </c>
      <c r="BF142" s="13">
        <f t="shared" si="145"/>
        <v>96.174298445981108</v>
      </c>
      <c r="BG142" s="20">
        <f t="shared" si="115"/>
        <v>902.06734259341818</v>
      </c>
      <c r="BH142" s="59">
        <f t="shared" si="116"/>
        <v>1190.0877464958442</v>
      </c>
      <c r="BI142" s="59">
        <f ca="1">AVERAGE(OFFSET($BH$3,0,0,'Données projet'!$E$11+1,1))-AVERAGE(OFFSET($H$3,0,0,'Données projet'!$E$11+1,1))</f>
        <v>667.4887768032404</v>
      </c>
      <c r="BJ142" s="59">
        <f t="shared" si="146"/>
        <v>305.76944302827178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66.83096463028285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66.83096463028285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401.98914600000057</v>
      </c>
      <c r="CA142" s="13">
        <f t="shared" si="147"/>
        <v>92.17981754732287</v>
      </c>
      <c r="CB142" s="20">
        <f t="shared" si="118"/>
        <v>860.67761151158822</v>
      </c>
      <c r="CC142" s="59">
        <f t="shared" si="119"/>
        <v>1148.6980154140142</v>
      </c>
      <c r="CD142" s="59">
        <f ca="1">AVERAGE(OFFSET($CC$3,0,0,'Données projet'!$E$12+1,1))-AVERAGE(OFFSET($H$3,0,0,'Données projet'!$E$12+1,1))</f>
        <v>639.80378676828764</v>
      </c>
      <c r="CE142" s="59">
        <f t="shared" si="148"/>
        <v>294.03328334345281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63.698263163238323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63.698263163238323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-1.7053025658242404E-13</v>
      </c>
      <c r="CU142" s="17">
        <f>CT142*VLOOKUP('Données projet'!$B$13,Paramètres!$A$1:$I$89,3,0)*VLOOKUP('Données projet'!$B$13,Paramètres!$A$1:$I$89,5,0)</f>
        <v>-1.4897523215040567E-13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340.64710509454375</v>
      </c>
      <c r="CZ142" s="59">
        <f t="shared" si="150"/>
        <v>329.6409514360613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30.330561461907866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30.330561461907866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8.1590000000000025</v>
      </c>
      <c r="DO142" s="12">
        <f>IF('Données projet'!$A$166&gt;35,DO141+DN142-DW141,IF(A142&lt;'Données projet'!$A$166,$DL$205^A142,IF(A142='Données projet'!$A$166,'Données projet'!$B$166,DO141+DN142-DW141)))</f>
        <v>422.43500000000063</v>
      </c>
      <c r="DP142" s="17">
        <f>DO142*VLOOKUP('Données projet'!$B$14,Paramètres!$A$1:$I$89,3,0)*VLOOKUP('Données projet'!$B$14,Paramètres!$A$1:$I$89,5,0)</f>
        <v>408.57913200000064</v>
      </c>
      <c r="DQ142" s="13">
        <f t="shared" si="151"/>
        <v>93.513798619486451</v>
      </c>
      <c r="DR142" s="20">
        <f t="shared" si="124"/>
        <v>874.47852082893996</v>
      </c>
      <c r="DS142" s="59">
        <f t="shared" si="125"/>
        <v>1162.4989247313658</v>
      </c>
      <c r="DT142" s="59">
        <f ca="1">AVERAGE(OFFSET($DS$3,0,0,'Données projet'!$E$14+1,1))-AVERAGE(OFFSET($H$3,0,0,'Données projet'!$E$14+1,1))</f>
        <v>649.03508893149228</v>
      </c>
      <c r="DU142" s="59">
        <f t="shared" si="152"/>
        <v>297.94672581383213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64.742496985586499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64.742496985586499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8.1590000000000025</v>
      </c>
      <c r="EJ142" s="12">
        <f>IF('Données projet'!$A$192&gt;35,EJ141+EI142-ER141,IF(A142&lt;'Données projet'!$A$192,$EG$205^A142,IF(A142='Données projet'!$A$192,'Données projet'!$B$192,EJ141+EI142-ER141)))</f>
        <v>422.43500000000063</v>
      </c>
      <c r="EK142" s="17">
        <f>EJ142*VLOOKUP('Données projet'!$B$15,Paramètres!$A$1:$I$89,3,0)*VLOOKUP('Données projet'!$B$15,Paramètres!$A$1:$I$89,5,0)</f>
        <v>454.70903400000071</v>
      </c>
      <c r="EL142" s="13">
        <f t="shared" si="153"/>
        <v>102.78398665617591</v>
      </c>
      <c r="EM142" s="20">
        <f t="shared" si="127"/>
        <v>970.96701097617427</v>
      </c>
      <c r="EN142" s="59">
        <f t="shared" si="128"/>
        <v>1258.9874148786002</v>
      </c>
      <c r="EO142" s="59">
        <f ca="1">AVERAGE(OFFSET($EN$3,0,0,'Données projet'!$E$15+1,1))-AVERAGE(OFFSET($H$3,0,0,'Données projet'!$E$15+1,1))</f>
        <v>713.57333631602273</v>
      </c>
      <c r="EP142" s="59">
        <f t="shared" si="154"/>
        <v>325.30302392555359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72.052133742023685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72.052133742023685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5.6843418860808015E-14</v>
      </c>
      <c r="FF142" s="17">
        <f>FE142*VLOOKUP('Données projet'!$B$16,Paramètres!$A$1:$I$89,3,0)*VLOOKUP('Données projet'!$B$16,Paramètres!$A$1:$I$89,5,0)</f>
        <v>4.4337866711430253E-14</v>
      </c>
      <c r="FG142" s="13">
        <f t="shared" si="155"/>
        <v>7.3222115536967035E-13</v>
      </c>
      <c r="FH142" s="20">
        <f t="shared" si="130"/>
        <v>1.3525069634579169E-12</v>
      </c>
      <c r="FI142" s="59">
        <f t="shared" si="131"/>
        <v>288.02040390242729</v>
      </c>
      <c r="FJ142" s="59">
        <f ca="1">AVERAGE(OFFSET($FI$3,0,0,'Données projet'!$E$16+1,1))-AVERAGE(OFFSET($H$3,0,0,'Données projet'!$E$16+1,1))</f>
        <v>302.04287561738482</v>
      </c>
      <c r="FK142" s="59">
        <f t="shared" si="156"/>
        <v>296.09828774694802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25.799148065543601</v>
      </c>
      <c r="FR142" s="21">
        <f>EXP(-LN(2)/25)*FR141+(1-EXP(-LN(2)/25))/(LN(2)/25)*Calculateur!FM142*Calculateur!FO142*VLOOKUP('Données projet'!$B$16,Paramètres!$A$1:$I$89,3,0)*0.475*44/12</f>
        <v>7.3091892172021202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33.108337282745723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-2.8421709430404007E-14</v>
      </c>
      <c r="GA142" s="17">
        <f>FZ142*VLOOKUP('Données projet'!$B$17,Paramètres!$A$1:$I$89,3,0)*VLOOKUP('Données projet'!$B$17,Paramètres!$A$1:$I$89,5,0)</f>
        <v>-2.3942448024172337E-14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385.41819366740276</v>
      </c>
      <c r="GF142" s="59">
        <f t="shared" si="158"/>
        <v>262.4625391252718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100.74868131528912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100.74868131528912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68.551019246116169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3.3000000000000003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12.100000000000001</v>
      </c>
      <c r="H143" s="67">
        <f t="shared" si="110"/>
        <v>208.26666666666665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8.1590000000000025</v>
      </c>
      <c r="N143" s="13">
        <f>IF('Données projet'!$A$36&gt;35,N142+M143-V142,IF(A143&lt;'Données projet'!$A$36,$K$205^A143,IF(A143='Données projet'!$A$36,'Données projet'!$B$36,N142+M143-V142)))</f>
        <v>430.59400000000062</v>
      </c>
      <c r="O143" s="13">
        <f>N143*VLOOKUP('Données projet'!$B$9,Paramètres!$A$1:$I$89,3,0)*VLOOKUP('Données projet'!$B$9,Paramètres!$A$1:$I$89,5,0)</f>
        <v>389.60145120000055</v>
      </c>
      <c r="P143" s="13">
        <f t="shared" si="141"/>
        <v>89.665298143968485</v>
      </c>
      <c r="Q143" s="20">
        <f t="shared" si="108"/>
        <v>834.72292177407928</v>
      </c>
      <c r="R143" s="59">
        <f t="shared" si="109"/>
        <v>1122.8354931242006</v>
      </c>
      <c r="S143" s="59">
        <f ca="1">AVERAGE(OFFSET($R$3,0,0,'Données projet'!$E$9+1,1))-AVERAGE(OFFSET($H$3,0,0,'Données projet'!$E$9+1,1))</f>
        <v>612.09138396952153</v>
      </c>
      <c r="T143" s="59">
        <f t="shared" si="142"/>
        <v>282.284310393542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59.377907972676439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59.377907972676439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436.62231600000064</v>
      </c>
      <c r="AK143" s="13">
        <f t="shared" si="143"/>
        <v>99.163001507201159</v>
      </c>
      <c r="AL143" s="20">
        <f t="shared" si="112"/>
        <v>933.15942799170989</v>
      </c>
      <c r="AM143" s="59">
        <f t="shared" si="113"/>
        <v>1221.2719993418314</v>
      </c>
      <c r="AN143" s="59">
        <f ca="1">AVERAGE(OFFSET($AM$3,0,0,'Données projet'!$E$10+1,1))-AVERAGE(OFFSET($H$3,0,0,'Données projet'!$E$10+1,1))</f>
        <v>676.7112666359476</v>
      </c>
      <c r="AO143" s="59">
        <f t="shared" si="144"/>
        <v>309.67876644201385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66.544207210758088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66.544207210758088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429.90504960000061</v>
      </c>
      <c r="BF143" s="13">
        <f t="shared" si="145"/>
        <v>97.81378096926565</v>
      </c>
      <c r="BG143" s="20">
        <f t="shared" si="115"/>
        <v>919.11029657480549</v>
      </c>
      <c r="BH143" s="59">
        <f t="shared" si="116"/>
        <v>1207.222867924927</v>
      </c>
      <c r="BI143" s="59">
        <f ca="1">AVERAGE(OFFSET($BH$3,0,0,'Données projet'!$E$11+1,1))-AVERAGE(OFFSET($H$3,0,0,'Données projet'!$E$11+1,1))</f>
        <v>667.4887768032404</v>
      </c>
      <c r="BJ143" s="59">
        <f t="shared" si="146"/>
        <v>305.76944302827178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65.520450176746422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65.520450176746422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409.75325040000058</v>
      </c>
      <c r="CA143" s="13">
        <f t="shared" si="147"/>
        <v>93.751206185559496</v>
      </c>
      <c r="CB143" s="20">
        <f t="shared" si="118"/>
        <v>876.93692855318386</v>
      </c>
      <c r="CC143" s="59">
        <f t="shared" si="119"/>
        <v>1165.0494999033053</v>
      </c>
      <c r="CD143" s="59">
        <f ca="1">AVERAGE(OFFSET($CC$3,0,0,'Données projet'!$E$12+1,1))-AVERAGE(OFFSET($H$3,0,0,'Données projet'!$E$12+1,1))</f>
        <v>639.80378676828764</v>
      </c>
      <c r="CE143" s="59">
        <f t="shared" si="148"/>
        <v>294.03328334345281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62.449179074711424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62.449179074711424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-1.7053025658242404E-13</v>
      </c>
      <c r="CU143" s="17">
        <f>CT143*VLOOKUP('Données projet'!$B$13,Paramètres!$A$1:$I$89,3,0)*VLOOKUP('Données projet'!$B$13,Paramètres!$A$1:$I$89,5,0)</f>
        <v>-1.4897523215040567E-13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340.64710509454375</v>
      </c>
      <c r="CZ143" s="59">
        <f t="shared" si="150"/>
        <v>329.6409514360613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29.735797651455641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29.735797651455641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8.1590000000000025</v>
      </c>
      <c r="DO143" s="12">
        <f>IF('Données projet'!$A$166&gt;35,DO142+DN143-DW142,IF(A143&lt;'Données projet'!$A$166,$DL$205^A143,IF(A143='Données projet'!$A$166,'Données projet'!$B$166,DO142+DN143-DW142)))</f>
        <v>430.59400000000062</v>
      </c>
      <c r="DP143" s="17">
        <f>DO143*VLOOKUP('Données projet'!$B$14,Paramètres!$A$1:$I$89,3,0)*VLOOKUP('Données projet'!$B$14,Paramètres!$A$1:$I$89,5,0)</f>
        <v>416.47051680000061</v>
      </c>
      <c r="DQ143" s="13">
        <f t="shared" si="151"/>
        <v>95.107927622763967</v>
      </c>
      <c r="DR143" s="20">
        <f t="shared" si="124"/>
        <v>890.99912403631481</v>
      </c>
      <c r="DS143" s="59">
        <f t="shared" si="125"/>
        <v>1179.1116953864362</v>
      </c>
      <c r="DT143" s="59">
        <f ca="1">AVERAGE(OFFSET($DS$3,0,0,'Données projet'!$E$14+1,1))-AVERAGE(OFFSET($H$3,0,0,'Données projet'!$E$14+1,1))</f>
        <v>649.03508893149228</v>
      </c>
      <c r="DU143" s="59">
        <f t="shared" si="152"/>
        <v>297.94672581383213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63.47293610872309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63.47293610872309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8.1590000000000025</v>
      </c>
      <c r="EJ143" s="12">
        <f>IF('Données projet'!$A$192&gt;35,EJ142+EI143-ER142,IF(A143&lt;'Données projet'!$A$192,$EG$205^A143,IF(A143='Données projet'!$A$192,'Données projet'!$B$192,EJ142+EI143-ER142)))</f>
        <v>430.59400000000062</v>
      </c>
      <c r="EK143" s="17">
        <f>EJ143*VLOOKUP('Données projet'!$B$15,Paramètres!$A$1:$I$89,3,0)*VLOOKUP('Données projet'!$B$15,Paramètres!$A$1:$I$89,5,0)</f>
        <v>463.49138160000069</v>
      </c>
      <c r="EL143" s="13">
        <f t="shared" si="153"/>
        <v>104.53614448336266</v>
      </c>
      <c r="EM143" s="20">
        <f t="shared" si="127"/>
        <v>989.31460792852465</v>
      </c>
      <c r="EN143" s="59">
        <f t="shared" si="128"/>
        <v>1277.427179278646</v>
      </c>
      <c r="EO143" s="59">
        <f ca="1">AVERAGE(OFFSET($EN$3,0,0,'Données projet'!$E$15+1,1))-AVERAGE(OFFSET($H$3,0,0,'Données projet'!$E$15+1,1))</f>
        <v>713.57333631602273</v>
      </c>
      <c r="EP143" s="59">
        <f t="shared" si="154"/>
        <v>325.30302392555359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70.639235346804725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70.639235346804725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5.6843418860808015E-14</v>
      </c>
      <c r="FF143" s="17">
        <f>FE143*VLOOKUP('Données projet'!$B$16,Paramètres!$A$1:$I$89,3,0)*VLOOKUP('Données projet'!$B$16,Paramètres!$A$1:$I$89,5,0)</f>
        <v>4.4337866711430253E-14</v>
      </c>
      <c r="FG143" s="13">
        <f t="shared" si="155"/>
        <v>7.3222115536967035E-13</v>
      </c>
      <c r="FH143" s="20">
        <f t="shared" si="130"/>
        <v>1.3525069634579169E-12</v>
      </c>
      <c r="FI143" s="59">
        <f t="shared" si="131"/>
        <v>288.11257135012278</v>
      </c>
      <c r="FJ143" s="59">
        <f ca="1">AVERAGE(OFFSET($FI$3,0,0,'Données projet'!$E$16+1,1))-AVERAGE(OFFSET($H$3,0,0,'Données projet'!$E$16+1,1))</f>
        <v>302.04287561738482</v>
      </c>
      <c r="FK143" s="59">
        <f t="shared" si="156"/>
        <v>296.09828774694802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25.293242507904818</v>
      </c>
      <c r="FR143" s="21">
        <f>EXP(-LN(2)/25)*FR142+(1-EXP(-LN(2)/25))/(LN(2)/25)*Calculateur!FM143*Calculateur!FO143*VLOOKUP('Données projet'!$B$16,Paramètres!$A$1:$I$89,3,0)*0.475*44/12</f>
        <v>7.1093190536841728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32.402561561588989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-2.8421709430404007E-14</v>
      </c>
      <c r="GA143" s="17">
        <f>FZ143*VLOOKUP('Données projet'!$B$17,Paramètres!$A$1:$I$89,3,0)*VLOOKUP('Données projet'!$B$17,Paramètres!$A$1:$I$89,5,0)</f>
        <v>-2.3942448024172337E-14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385.41819366740276</v>
      </c>
      <c r="GF143" s="59">
        <f t="shared" si="158"/>
        <v>262.4625391252718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98.773061125324162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98.773061125324162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68.576155822760384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3.3000000000000003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12.100000000000001</v>
      </c>
      <c r="H144" s="67">
        <f t="shared" si="110"/>
        <v>208.26666666666665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8.1590000000000025</v>
      </c>
      <c r="N144" s="13">
        <f>IF('Données projet'!$A$36&gt;35,N143+M144-V143,IF(A144&lt;'Données projet'!$A$36,$K$205^A144,IF(A144='Données projet'!$A$36,'Données projet'!$B$36,N143+M144-V143)))</f>
        <v>438.75300000000061</v>
      </c>
      <c r="O144" s="13">
        <f>N144*VLOOKUP('Données projet'!$B$9,Paramètres!$A$1:$I$89,3,0)*VLOOKUP('Données projet'!$B$9,Paramètres!$A$1:$I$89,5,0)</f>
        <v>396.98371440000057</v>
      </c>
      <c r="P144" s="13">
        <f t="shared" si="141"/>
        <v>91.164890478045521</v>
      </c>
      <c r="Q144" s="20">
        <f t="shared" si="108"/>
        <v>850.19215349593026</v>
      </c>
      <c r="R144" s="59">
        <f t="shared" si="109"/>
        <v>1138.3952933945852</v>
      </c>
      <c r="S144" s="59">
        <f ca="1">AVERAGE(OFFSET($R$3,0,0,'Données projet'!$E$9+1,1))-AVERAGE(OFFSET($H$3,0,0,'Données projet'!$E$9+1,1))</f>
        <v>612.09138396952153</v>
      </c>
      <c r="T144" s="59">
        <f t="shared" si="142"/>
        <v>282.284310393542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58.213543414279989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58.213543414279989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444.89554200000066</v>
      </c>
      <c r="AK144" s="13">
        <f t="shared" si="143"/>
        <v>100.82143659817152</v>
      </c>
      <c r="AL144" s="20">
        <f t="shared" si="112"/>
        <v>950.45707105848317</v>
      </c>
      <c r="AM144" s="59">
        <f t="shared" si="113"/>
        <v>1238.6602109571381</v>
      </c>
      <c r="AN144" s="59">
        <f ca="1">AVERAGE(OFFSET($AM$3,0,0,'Données projet'!$E$10+1,1))-AVERAGE(OFFSET($H$3,0,0,'Données projet'!$E$10+1,1))</f>
        <v>676.7112666359476</v>
      </c>
      <c r="AO144" s="59">
        <f t="shared" si="144"/>
        <v>309.67876644201385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65.239315895313794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65.239315895313794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438.05099520000061</v>
      </c>
      <c r="BF144" s="13">
        <f t="shared" si="145"/>
        <v>99.449651246227063</v>
      </c>
      <c r="BG144" s="20">
        <f t="shared" si="115"/>
        <v>936.14695922717965</v>
      </c>
      <c r="BH144" s="59">
        <f t="shared" si="116"/>
        <v>1224.3500991258345</v>
      </c>
      <c r="BI144" s="59">
        <f ca="1">AVERAGE(OFFSET($BH$3,0,0,'Données projet'!$E$11+1,1))-AVERAGE(OFFSET($H$3,0,0,'Données projet'!$E$11+1,1))</f>
        <v>667.4887768032404</v>
      </c>
      <c r="BJ144" s="59">
        <f t="shared" si="146"/>
        <v>305.76944302827178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64.235634112308958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64.235634112308958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417.51735480000059</v>
      </c>
      <c r="CA144" s="13">
        <f t="shared" si="147"/>
        <v>95.319132607670056</v>
      </c>
      <c r="CB144" s="20">
        <f t="shared" si="118"/>
        <v>893.19021556835969</v>
      </c>
      <c r="CC144" s="59">
        <f t="shared" si="119"/>
        <v>1181.3933554670145</v>
      </c>
      <c r="CD144" s="59">
        <f ca="1">AVERAGE(OFFSET($CC$3,0,0,'Données projet'!$E$12+1,1))-AVERAGE(OFFSET($H$3,0,0,'Données projet'!$E$12+1,1))</f>
        <v>639.80378676828764</v>
      </c>
      <c r="CE144" s="59">
        <f t="shared" si="148"/>
        <v>294.03328334345281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61.22458876329447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61.22458876329447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-1.7053025658242404E-13</v>
      </c>
      <c r="CU144" s="17">
        <f>CT144*VLOOKUP('Données projet'!$B$13,Paramètres!$A$1:$I$89,3,0)*VLOOKUP('Données projet'!$B$13,Paramètres!$A$1:$I$89,5,0)</f>
        <v>-1.4897523215040567E-13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340.64710509454375</v>
      </c>
      <c r="CZ144" s="59">
        <f t="shared" si="150"/>
        <v>329.6409514360613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29.152696796556278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29.152696796556278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8.1590000000000025</v>
      </c>
      <c r="DO144" s="12">
        <f>IF('Données projet'!$A$166&gt;35,DO143+DN144-DW143,IF(A144&lt;'Données projet'!$A$166,$DL$205^A144,IF(A144='Données projet'!$A$166,'Données projet'!$B$166,DO143+DN144-DW143)))</f>
        <v>438.75300000000061</v>
      </c>
      <c r="DP144" s="17">
        <f>DO144*VLOOKUP('Données projet'!$B$14,Paramètres!$A$1:$I$89,3,0)*VLOOKUP('Données projet'!$B$14,Paramètres!$A$1:$I$89,5,0)</f>
        <v>424.36190160000064</v>
      </c>
      <c r="DQ144" s="13">
        <f t="shared" si="151"/>
        <v>96.698544306422932</v>
      </c>
      <c r="DR144" s="20">
        <f t="shared" si="124"/>
        <v>907.51360995368759</v>
      </c>
      <c r="DS144" s="59">
        <f t="shared" si="125"/>
        <v>1195.7167498523424</v>
      </c>
      <c r="DT144" s="59">
        <f ca="1">AVERAGE(OFFSET($DS$3,0,0,'Données projet'!$E$14+1,1))-AVERAGE(OFFSET($H$3,0,0,'Données projet'!$E$14+1,1))</f>
        <v>649.03508893149228</v>
      </c>
      <c r="DU144" s="59">
        <f t="shared" si="152"/>
        <v>297.94672581383213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62.228270546299299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62.228270546299299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8.1590000000000025</v>
      </c>
      <c r="EJ144" s="12">
        <f>IF('Données projet'!$A$192&gt;35,EJ143+EI144-ER143,IF(A144&lt;'Données projet'!$A$192,$EG$205^A144,IF(A144='Données projet'!$A$192,'Données projet'!$B$192,EJ143+EI144-ER143)))</f>
        <v>438.75300000000061</v>
      </c>
      <c r="EK144" s="17">
        <f>EJ144*VLOOKUP('Données projet'!$B$15,Paramètres!$A$1:$I$89,3,0)*VLOOKUP('Données projet'!$B$15,Paramètres!$A$1:$I$89,5,0)</f>
        <v>472.27372920000067</v>
      </c>
      <c r="EL144" s="13">
        <f t="shared" si="153"/>
        <v>106.28444180848312</v>
      </c>
      <c r="EM144" s="20">
        <f t="shared" si="127"/>
        <v>1007.655481173109</v>
      </c>
      <c r="EN144" s="59">
        <f t="shared" si="128"/>
        <v>1295.858621071764</v>
      </c>
      <c r="EO144" s="59">
        <f ca="1">AVERAGE(OFFSET($EN$3,0,0,'Données projet'!$E$15+1,1))-AVERAGE(OFFSET($H$3,0,0,'Données projet'!$E$15+1,1))</f>
        <v>713.57333631602273</v>
      </c>
      <c r="EP144" s="59">
        <f t="shared" si="154"/>
        <v>325.30302392555359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69.254043027333083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69.254043027333083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5.6843418860808015E-14</v>
      </c>
      <c r="FF144" s="17">
        <f>FE144*VLOOKUP('Données projet'!$B$16,Paramètres!$A$1:$I$89,3,0)*VLOOKUP('Données projet'!$B$16,Paramètres!$A$1:$I$89,5,0)</f>
        <v>4.4337866711430253E-14</v>
      </c>
      <c r="FG144" s="13">
        <f t="shared" si="155"/>
        <v>7.3222115536967035E-13</v>
      </c>
      <c r="FH144" s="20">
        <f t="shared" si="130"/>
        <v>1.3525069634579169E-12</v>
      </c>
      <c r="FI144" s="59">
        <f t="shared" si="131"/>
        <v>288.20313989865627</v>
      </c>
      <c r="FJ144" s="59">
        <f ca="1">AVERAGE(OFFSET($FI$3,0,0,'Données projet'!$E$16+1,1))-AVERAGE(OFFSET($H$3,0,0,'Données projet'!$E$16+1,1))</f>
        <v>302.04287561738482</v>
      </c>
      <c r="FK144" s="59">
        <f t="shared" si="156"/>
        <v>296.09828774694802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24.79725744967941</v>
      </c>
      <c r="FR144" s="21">
        <f>EXP(-LN(2)/25)*FR143+(1-EXP(-LN(2)/25))/(LN(2)/25)*Calculateur!FM144*Calculateur!FO144*VLOOKUP('Données projet'!$B$16,Paramètres!$A$1:$I$89,3,0)*0.475*44/12</f>
        <v>6.9149143502983383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31.712171799977749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-2.8421709430404007E-14</v>
      </c>
      <c r="GA144" s="17">
        <f>FZ144*VLOOKUP('Données projet'!$B$17,Paramètres!$A$1:$I$89,3,0)*VLOOKUP('Données projet'!$B$17,Paramètres!$A$1:$I$89,5,0)</f>
        <v>-2.3942448024172337E-14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385.41819366740276</v>
      </c>
      <c r="GF144" s="59">
        <f t="shared" si="158"/>
        <v>262.4625391252718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96.836181642275079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96.836181642275079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68.600856335996795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3.3000000000000003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12.100000000000001</v>
      </c>
      <c r="H145" s="67">
        <f t="shared" si="110"/>
        <v>208.26666666666665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8.1590000000000025</v>
      </c>
      <c r="N145" s="13">
        <f>IF('Données projet'!$A$36&gt;35,N144+M145-V144,IF(A145&lt;'Données projet'!$A$36,$K$205^A145,IF(A145='Données projet'!$A$36,'Données projet'!$B$36,N144+M145-V144)))</f>
        <v>446.9120000000006</v>
      </c>
      <c r="O145" s="13">
        <f>N145*VLOOKUP('Données projet'!$B$9,Paramètres!$A$1:$I$89,3,0)*VLOOKUP('Données projet'!$B$9,Paramètres!$A$1:$I$89,5,0)</f>
        <v>404.36597760000052</v>
      </c>
      <c r="P145" s="13">
        <f t="shared" si="141"/>
        <v>92.66124016608812</v>
      </c>
      <c r="Q145" s="20">
        <f t="shared" si="108"/>
        <v>865.655737609271</v>
      </c>
      <c r="R145" s="59">
        <f t="shared" si="109"/>
        <v>1153.9478748946233</v>
      </c>
      <c r="S145" s="59">
        <f ca="1">AVERAGE(OFFSET($R$3,0,0,'Données projet'!$E$9+1,1))-AVERAGE(OFFSET($H$3,0,0,'Données projet'!$E$9+1,1))</f>
        <v>612.09138396952153</v>
      </c>
      <c r="T145" s="59">
        <f t="shared" si="142"/>
        <v>282.284310393542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57.072011334681441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57.072011334681441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453.16876800000063</v>
      </c>
      <c r="AK145" s="13">
        <f t="shared" si="143"/>
        <v>102.47628556920169</v>
      </c>
      <c r="AL145" s="20">
        <f t="shared" si="112"/>
        <v>967.74846829969408</v>
      </c>
      <c r="AM145" s="59">
        <f t="shared" si="113"/>
        <v>1256.0406055850465</v>
      </c>
      <c r="AN145" s="59">
        <f ca="1">AVERAGE(OFFSET($AM$3,0,0,'Données projet'!$E$10+1,1))-AVERAGE(OFFSET($H$3,0,0,'Données projet'!$E$10+1,1))</f>
        <v>676.7112666359476</v>
      </c>
      <c r="AO145" s="59">
        <f t="shared" si="144"/>
        <v>309.67876644201385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63.960012702660251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63.960012702660251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446.19694080000068</v>
      </c>
      <c r="BF145" s="13">
        <f t="shared" si="145"/>
        <v>101.08198419631252</v>
      </c>
      <c r="BG145" s="20">
        <f t="shared" si="115"/>
        <v>953.17746103524541</v>
      </c>
      <c r="BH145" s="59">
        <f t="shared" si="116"/>
        <v>1241.4695983205977</v>
      </c>
      <c r="BI145" s="59">
        <f ca="1">AVERAGE(OFFSET($BH$3,0,0,'Données projet'!$E$11+1,1))-AVERAGE(OFFSET($H$3,0,0,'Données projet'!$E$11+1,1))</f>
        <v>667.4887768032404</v>
      </c>
      <c r="BJ145" s="59">
        <f t="shared" si="146"/>
        <v>305.76944302827178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62.976012507234699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62.976012507234699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425.2814592000006</v>
      </c>
      <c r="CA145" s="13">
        <f t="shared" si="147"/>
        <v>96.8836686214146</v>
      </c>
      <c r="CB145" s="20">
        <f t="shared" si="118"/>
        <v>909.4375976222982</v>
      </c>
      <c r="CC145" s="59">
        <f t="shared" si="119"/>
        <v>1197.7297349076505</v>
      </c>
      <c r="CD145" s="59">
        <f ca="1">AVERAGE(OFFSET($CC$3,0,0,'Données projet'!$E$12+1,1))-AVERAGE(OFFSET($H$3,0,0,'Données projet'!$E$12+1,1))</f>
        <v>639.80378676828764</v>
      </c>
      <c r="CE145" s="59">
        <f t="shared" si="148"/>
        <v>294.03328334345281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60.024011920958067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60.024011920958067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-1.7053025658242404E-13</v>
      </c>
      <c r="CU145" s="17">
        <f>CT145*VLOOKUP('Données projet'!$B$13,Paramètres!$A$1:$I$89,3,0)*VLOOKUP('Données projet'!$B$13,Paramètres!$A$1:$I$89,5,0)</f>
        <v>-1.4897523215040567E-13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340.64710509454375</v>
      </c>
      <c r="CZ145" s="59">
        <f t="shared" si="150"/>
        <v>329.6409514360613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28.581030193765088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28.581030193765088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8.1590000000000025</v>
      </c>
      <c r="DO145" s="12">
        <f>IF('Données projet'!$A$166&gt;35,DO144+DN145-DW144,IF(A145&lt;'Données projet'!$A$166,$DL$205^A145,IF(A145='Données projet'!$A$166,'Données projet'!$B$166,DO144+DN145-DW144)))</f>
        <v>446.9120000000006</v>
      </c>
      <c r="DP145" s="17">
        <f>DO145*VLOOKUP('Données projet'!$B$14,Paramètres!$A$1:$I$89,3,0)*VLOOKUP('Données projet'!$B$14,Paramètres!$A$1:$I$89,5,0)</f>
        <v>432.25328640000055</v>
      </c>
      <c r="DQ145" s="13">
        <f t="shared" si="151"/>
        <v>98.2857215173903</v>
      </c>
      <c r="DR145" s="20">
        <f t="shared" si="124"/>
        <v>924.02210545612218</v>
      </c>
      <c r="DS145" s="59">
        <f t="shared" si="125"/>
        <v>1212.3142427414746</v>
      </c>
      <c r="DT145" s="59">
        <f ca="1">AVERAGE(OFFSET($DS$3,0,0,'Données projet'!$E$14+1,1))-AVERAGE(OFFSET($H$3,0,0,'Données projet'!$E$14+1,1))</f>
        <v>649.03508893149228</v>
      </c>
      <c r="DU145" s="59">
        <f t="shared" si="152"/>
        <v>297.94672581383213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61.008012116383611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61.008012116383611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8.1590000000000025</v>
      </c>
      <c r="EJ145" s="12">
        <f>IF('Données projet'!$A$192&gt;35,EJ144+EI145-ER144,IF(A145&lt;'Données projet'!$A$192,$EG$205^A145,IF(A145='Données projet'!$A$192,'Données projet'!$B$192,EJ144+EI145-ER144)))</f>
        <v>446.9120000000006</v>
      </c>
      <c r="EK145" s="17">
        <f>EJ145*VLOOKUP('Données projet'!$B$15,Paramètres!$A$1:$I$89,3,0)*VLOOKUP('Données projet'!$B$15,Paramètres!$A$1:$I$89,5,0)</f>
        <v>481.05607680000065</v>
      </c>
      <c r="EL145" s="13">
        <f t="shared" si="153"/>
        <v>108.02895869990863</v>
      </c>
      <c r="EM145" s="20">
        <f t="shared" si="127"/>
        <v>1025.989770162342</v>
      </c>
      <c r="EN145" s="59">
        <f t="shared" si="128"/>
        <v>1314.2819074476943</v>
      </c>
      <c r="EO145" s="59">
        <f ca="1">AVERAGE(OFFSET($EN$3,0,0,'Données projet'!$E$15+1,1))-AVERAGE(OFFSET($H$3,0,0,'Données projet'!$E$15+1,1))</f>
        <v>713.57333631602273</v>
      </c>
      <c r="EP145" s="59">
        <f t="shared" si="154"/>
        <v>325.30302392555359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67.896013484362399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67.896013484362399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5.6843418860808015E-14</v>
      </c>
      <c r="FF145" s="17">
        <f>FE145*VLOOKUP('Données projet'!$B$16,Paramètres!$A$1:$I$89,3,0)*VLOOKUP('Données projet'!$B$16,Paramètres!$A$1:$I$89,5,0)</f>
        <v>4.4337866711430253E-14</v>
      </c>
      <c r="FG145" s="13">
        <f t="shared" si="155"/>
        <v>7.3222115536967035E-13</v>
      </c>
      <c r="FH145" s="20">
        <f t="shared" si="130"/>
        <v>1.3525069634579169E-12</v>
      </c>
      <c r="FI145" s="59">
        <f t="shared" si="131"/>
        <v>288.2921372853537</v>
      </c>
      <c r="FJ145" s="59">
        <f ca="1">AVERAGE(OFFSET($FI$3,0,0,'Données projet'!$E$16+1,1))-AVERAGE(OFFSET($H$3,0,0,'Données projet'!$E$16+1,1))</f>
        <v>302.04287561738482</v>
      </c>
      <c r="FK145" s="59">
        <f t="shared" si="156"/>
        <v>296.09828774694802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24.310998355924788</v>
      </c>
      <c r="FR145" s="21">
        <f>EXP(-LN(2)/25)*FR144+(1-EXP(-LN(2)/25))/(LN(2)/25)*Calculateur!FM145*Calculateur!FO145*VLOOKUP('Données projet'!$B$16,Paramètres!$A$1:$I$89,3,0)*0.475*44/12</f>
        <v>6.7258256537498893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31.036824009674678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-2.8421709430404007E-14</v>
      </c>
      <c r="GA145" s="17">
        <f>FZ145*VLOOKUP('Données projet'!$B$17,Paramètres!$A$1:$I$89,3,0)*VLOOKUP('Données projet'!$B$17,Paramètres!$A$1:$I$89,5,0)</f>
        <v>-2.3942448024172337E-14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385.41819366740276</v>
      </c>
      <c r="GF145" s="59">
        <f t="shared" si="158"/>
        <v>262.4625391252718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94.937283184508757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94.937283184508757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68.625128350550639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3.3000000000000003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12.100000000000001</v>
      </c>
      <c r="H146" s="67">
        <f t="shared" si="110"/>
        <v>208.26666666666665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8.1590000000000025</v>
      </c>
      <c r="N146" s="13">
        <f>IF('Données projet'!$A$36&gt;35,N145+M146-V145,IF(A146&lt;'Données projet'!$A$36,$K$205^A146,IF(A146='Données projet'!$A$36,'Données projet'!$B$36,N145+M146-V145)))</f>
        <v>455.07100000000059</v>
      </c>
      <c r="O146" s="13">
        <f>N146*VLOOKUP('Données projet'!$B$9,Paramètres!$A$1:$I$89,3,0)*VLOOKUP('Données projet'!$B$9,Paramètres!$A$1:$I$89,5,0)</f>
        <v>411.74824080000053</v>
      </c>
      <c r="P146" s="13">
        <f t="shared" si="141"/>
        <v>94.15441323509782</v>
      </c>
      <c r="Q146" s="20">
        <f t="shared" si="108"/>
        <v>881.11378911112968</v>
      </c>
      <c r="R146" s="59">
        <f t="shared" si="109"/>
        <v>1169.4933798774885</v>
      </c>
      <c r="S146" s="59">
        <f ca="1">AVERAGE(OFFSET($R$3,0,0,'Données projet'!$E$9+1,1))-AVERAGE(OFFSET($H$3,0,0,'Données projet'!$E$9+1,1))</f>
        <v>612.09138396952153</v>
      </c>
      <c r="T146" s="59">
        <f t="shared" si="142"/>
        <v>282.284310393542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55.952864002898004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55.952864002898004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461.44199400000065</v>
      </c>
      <c r="AK146" s="13">
        <f t="shared" si="143"/>
        <v>104.12762144113498</v>
      </c>
      <c r="AL146" s="20">
        <f t="shared" si="112"/>
        <v>985.03374689331122</v>
      </c>
      <c r="AM146" s="59">
        <f t="shared" si="113"/>
        <v>1273.4133376596701</v>
      </c>
      <c r="AN146" s="59">
        <f ca="1">AVERAGE(OFFSET($AM$3,0,0,'Données projet'!$E$10+1,1))-AVERAGE(OFFSET($H$3,0,0,'Données projet'!$E$10+1,1))</f>
        <v>676.7112666359476</v>
      </c>
      <c r="AO146" s="59">
        <f t="shared" si="144"/>
        <v>309.67876644201385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62.705795865316738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62.705795865316738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454.34288640000062</v>
      </c>
      <c r="BF146" s="13">
        <f t="shared" si="145"/>
        <v>102.71085184683683</v>
      </c>
      <c r="BG146" s="20">
        <f t="shared" si="115"/>
        <v>970.20192744657516</v>
      </c>
      <c r="BH146" s="59">
        <f t="shared" si="116"/>
        <v>1258.581518212934</v>
      </c>
      <c r="BI146" s="59">
        <f ca="1">AVERAGE(OFFSET($BH$3,0,0,'Données projet'!$E$11+1,1))-AVERAGE(OFFSET($H$3,0,0,'Données projet'!$E$11+1,1))</f>
        <v>667.4887768032404</v>
      </c>
      <c r="BJ146" s="59">
        <f t="shared" si="146"/>
        <v>305.76944302827178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61.741091313542626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61.741091313542626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433.04556360000061</v>
      </c>
      <c r="CA146" s="13">
        <f t="shared" si="147"/>
        <v>98.444883262542476</v>
      </c>
      <c r="CB146" s="20">
        <f t="shared" si="118"/>
        <v>925.67919495226249</v>
      </c>
      <c r="CC146" s="59">
        <f t="shared" si="119"/>
        <v>1214.0587857186213</v>
      </c>
      <c r="CD146" s="59">
        <f ca="1">AVERAGE(OFFSET($CC$3,0,0,'Données projet'!$E$12+1,1))-AVERAGE(OFFSET($H$3,0,0,'Données projet'!$E$12+1,1))</f>
        <v>639.80378676828764</v>
      </c>
      <c r="CE146" s="59">
        <f t="shared" si="148"/>
        <v>294.03328334345281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58.846977658220311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58.846977658220311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-1.7053025658242404E-13</v>
      </c>
      <c r="CU146" s="17">
        <f>CT146*VLOOKUP('Données projet'!$B$13,Paramètres!$A$1:$I$89,3,0)*VLOOKUP('Données projet'!$B$13,Paramètres!$A$1:$I$89,5,0)</f>
        <v>-1.4897523215040567E-13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340.64710509454375</v>
      </c>
      <c r="CZ146" s="59">
        <f t="shared" si="150"/>
        <v>329.6409514360613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28.020573624372435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28.020573624372435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8.1590000000000025</v>
      </c>
      <c r="DO146" s="12">
        <f>IF('Données projet'!$A$166&gt;35,DO145+DN146-DW145,IF(A146&lt;'Données projet'!$A$166,$DL$205^A146,IF(A146='Données projet'!$A$166,'Données projet'!$B$166,DO145+DN146-DW145)))</f>
        <v>455.07100000000059</v>
      </c>
      <c r="DP146" s="17">
        <f>DO146*VLOOKUP('Données projet'!$B$14,Paramètres!$A$1:$I$89,3,0)*VLOOKUP('Données projet'!$B$14,Paramètres!$A$1:$I$89,5,0)</f>
        <v>440.14467120000057</v>
      </c>
      <c r="DQ146" s="13">
        <f t="shared" si="151"/>
        <v>99.869529290466829</v>
      </c>
      <c r="DR146" s="20">
        <f t="shared" si="124"/>
        <v>940.52473252089715</v>
      </c>
      <c r="DS146" s="59">
        <f t="shared" si="125"/>
        <v>1228.9043232872559</v>
      </c>
      <c r="DT146" s="59">
        <f ca="1">AVERAGE(OFFSET($DS$3,0,0,'Données projet'!$E$14+1,1))-AVERAGE(OFFSET($H$3,0,0,'Données projet'!$E$14+1,1))</f>
        <v>649.03508893149228</v>
      </c>
      <c r="DU146" s="59">
        <f t="shared" si="152"/>
        <v>297.94672581383213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59.811682209994416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59.811682209994416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8.1590000000000025</v>
      </c>
      <c r="EJ146" s="12">
        <f>IF('Données projet'!$A$192&gt;35,EJ145+EI146-ER145,IF(A146&lt;'Données projet'!$A$192,$EG$205^A146,IF(A146='Données projet'!$A$192,'Données projet'!$B$192,EJ145+EI146-ER145)))</f>
        <v>455.07100000000059</v>
      </c>
      <c r="EK146" s="17">
        <f>EJ146*VLOOKUP('Données projet'!$B$15,Paramètres!$A$1:$I$89,3,0)*VLOOKUP('Données projet'!$B$15,Paramètres!$A$1:$I$89,5,0)</f>
        <v>489.83842440000063</v>
      </c>
      <c r="EL146" s="13">
        <f t="shared" si="153"/>
        <v>109.76977213511341</v>
      </c>
      <c r="EM146" s="20">
        <f t="shared" si="127"/>
        <v>1044.3176089653236</v>
      </c>
      <c r="EN146" s="59">
        <f t="shared" si="128"/>
        <v>1332.6971997316825</v>
      </c>
      <c r="EO146" s="59">
        <f ca="1">AVERAGE(OFFSET($EN$3,0,0,'Données projet'!$E$15+1,1))-AVERAGE(OFFSET($H$3,0,0,'Données projet'!$E$15+1,1))</f>
        <v>713.57333631602273</v>
      </c>
      <c r="EP146" s="59">
        <f t="shared" si="154"/>
        <v>325.30302392555359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66.564614072413136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66.564614072413136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5.6843418860808015E-14</v>
      </c>
      <c r="FF146" s="17">
        <f>FE146*VLOOKUP('Données projet'!$B$16,Paramètres!$A$1:$I$89,3,0)*VLOOKUP('Données projet'!$B$16,Paramètres!$A$1:$I$89,5,0)</f>
        <v>4.4337866711430253E-14</v>
      </c>
      <c r="FG146" s="13">
        <f t="shared" si="155"/>
        <v>7.3222115536967035E-13</v>
      </c>
      <c r="FH146" s="20">
        <f t="shared" si="130"/>
        <v>1.3525069634579169E-12</v>
      </c>
      <c r="FI146" s="59">
        <f t="shared" si="131"/>
        <v>288.3795907663602</v>
      </c>
      <c r="FJ146" s="59">
        <f ca="1">AVERAGE(OFFSET($FI$3,0,0,'Données projet'!$E$16+1,1))-AVERAGE(OFFSET($H$3,0,0,'Données projet'!$E$16+1,1))</f>
        <v>302.04287561738482</v>
      </c>
      <c r="FK146" s="59">
        <f t="shared" si="156"/>
        <v>296.09828774694802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23.834274506409933</v>
      </c>
      <c r="FR146" s="21">
        <f>EXP(-LN(2)/25)*FR145+(1-EXP(-LN(2)/25))/(LN(2)/25)*Calculateur!FM146*Calculateur!FO146*VLOOKUP('Données projet'!$B$16,Paramètres!$A$1:$I$89,3,0)*0.475*44/12</f>
        <v>6.5419075975522993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30.376182103962233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-2.8421709430404007E-14</v>
      </c>
      <c r="GA146" s="17">
        <f>FZ146*VLOOKUP('Données projet'!$B$17,Paramètres!$A$1:$I$89,3,0)*VLOOKUP('Données projet'!$B$17,Paramètres!$A$1:$I$89,5,0)</f>
        <v>-2.3942448024172337E-14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385.41819366740276</v>
      </c>
      <c r="GF146" s="59">
        <f t="shared" si="158"/>
        <v>262.4625391252718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93.075620967285545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93.075620967285545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68.64897929991605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3.3000000000000003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12.100000000000001</v>
      </c>
      <c r="H147" s="67">
        <f t="shared" si="110"/>
        <v>208.26666666666665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463.23</v>
      </c>
      <c r="L147" s="12">
        <f>VLOOKUP(A147,'Données projet'!$A$35:$I$55,9,0)</f>
        <v>8.1590000000000025</v>
      </c>
      <c r="M147" s="12">
        <f t="array" ref="M147">INDEX(L:L,MIN(IF(ISNUMBER(L147:L343),ROW(L147:L343),"")))</f>
        <v>8.1590000000000025</v>
      </c>
      <c r="N147" s="13">
        <f>IF('Données projet'!$A$36&gt;35,N146+M147-V146,IF(A147&lt;'Données projet'!$A$36,$K$205^A147,IF(A147='Données projet'!$A$36,'Données projet'!$B$36,N146+M147-V146)))</f>
        <v>463.23000000000059</v>
      </c>
      <c r="O147" s="13">
        <f>N147*VLOOKUP('Données projet'!$B$9,Paramètres!$A$1:$I$89,3,0)*VLOOKUP('Données projet'!$B$9,Paramètres!$A$1:$I$89,5,0)</f>
        <v>419.13050400000049</v>
      </c>
      <c r="P147" s="13">
        <f t="shared" si="141"/>
        <v>95.644473208887277</v>
      </c>
      <c r="Q147" s="20">
        <f t="shared" si="108"/>
        <v>896.56641863881293</v>
      </c>
      <c r="R147" s="59">
        <f t="shared" si="109"/>
        <v>1185.0319457637995</v>
      </c>
      <c r="S147" s="59">
        <f ca="1">AVERAGE(OFFSET($R$3,0,0,'Données projet'!$E$9+1,1))-AVERAGE(OFFSET($H$3,0,0,'Données projet'!$E$9+1,1))</f>
        <v>612.09138396952153</v>
      </c>
      <c r="T147" s="59">
        <f t="shared" si="142"/>
        <v>282.284310393542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0.25800000000000001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69.309560312196439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69.309560312196439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469.71522000000061</v>
      </c>
      <c r="AK147" s="13">
        <f t="shared" si="143"/>
        <v>105.77551446647743</v>
      </c>
      <c r="AL147" s="20">
        <f t="shared" si="112"/>
        <v>1002.3130291957826</v>
      </c>
      <c r="AM147" s="59">
        <f t="shared" si="113"/>
        <v>1290.7785563207692</v>
      </c>
      <c r="AN147" s="59">
        <f ca="1">AVERAGE(OFFSET($AM$3,0,0,'Données projet'!$E$10+1,1))-AVERAGE(OFFSET($H$3,0,0,'Données projet'!$E$10+1,1))</f>
        <v>676.7112666359476</v>
      </c>
      <c r="AO147" s="59">
        <f t="shared" si="144"/>
        <v>309.67876644201385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77.674507246427055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77.674507246427055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462.48883200000063</v>
      </c>
      <c r="BF147" s="13">
        <f t="shared" si="145"/>
        <v>104.33632349444444</v>
      </c>
      <c r="BG147" s="20">
        <f t="shared" si="115"/>
        <v>987.22047915282508</v>
      </c>
      <c r="BH147" s="59">
        <f t="shared" si="116"/>
        <v>1275.6860062778117</v>
      </c>
      <c r="BI147" s="59">
        <f ca="1">AVERAGE(OFFSET($BH$3,0,0,'Données projet'!$E$11+1,1))-AVERAGE(OFFSET($H$3,0,0,'Données projet'!$E$11+1,1))</f>
        <v>667.4887768032404</v>
      </c>
      <c r="BJ147" s="59">
        <f t="shared" si="146"/>
        <v>305.76944302827178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76.479514827251251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76.479514827251251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440.80966800000061</v>
      </c>
      <c r="CA147" s="13">
        <f t="shared" si="147"/>
        <v>100.00284294954746</v>
      </c>
      <c r="CB147" s="20">
        <f t="shared" si="118"/>
        <v>941.91512323712925</v>
      </c>
      <c r="CC147" s="59">
        <f t="shared" si="119"/>
        <v>1230.3806503621158</v>
      </c>
      <c r="CD147" s="59">
        <f ca="1">AVERAGE(OFFSET($CC$3,0,0,'Données projet'!$E$12+1,1))-AVERAGE(OFFSET($H$3,0,0,'Données projet'!$E$12+1,1))</f>
        <v>639.80378676828764</v>
      </c>
      <c r="CE147" s="59">
        <f t="shared" si="148"/>
        <v>294.03328334345281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0.25800000000000001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72.894537569723838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72.894537569723838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-1.7053025658242404E-13</v>
      </c>
      <c r="CU147" s="17">
        <f>CT147*VLOOKUP('Données projet'!$B$13,Paramètres!$A$1:$I$89,3,0)*VLOOKUP('Données projet'!$B$13,Paramètres!$A$1:$I$89,5,0)</f>
        <v>-1.4897523215040567E-13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340.64710509454375</v>
      </c>
      <c r="CZ147" s="59">
        <f t="shared" si="150"/>
        <v>329.6409514360613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27.47110726646082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27.47110726646082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463.23</v>
      </c>
      <c r="DM147" s="12">
        <f>VLOOKUP(A147,'Données projet'!$A$165:$I$185,9,0)</f>
        <v>8.1590000000000025</v>
      </c>
      <c r="DN147" s="12">
        <f t="array" ref="DN147">INDEX(DM:DM,MIN(IF(ISNUMBER(DM147:DM343),ROW(DM147:DM343),"")))</f>
        <v>8.1590000000000025</v>
      </c>
      <c r="DO147" s="12">
        <f>IF('Données projet'!$A$166&gt;35,DO146+DN147-DW146,IF(A147&lt;'Données projet'!$A$166,$DL$205^A147,IF(A147='Données projet'!$A$166,'Données projet'!$B$166,DO146+DN147-DW146)))</f>
        <v>463.23000000000059</v>
      </c>
      <c r="DP147" s="17">
        <f>DO147*VLOOKUP('Données projet'!$B$14,Paramètres!$A$1:$I$89,3,0)*VLOOKUP('Données projet'!$B$14,Paramètres!$A$1:$I$89,5,0)</f>
        <v>448.0360560000006</v>
      </c>
      <c r="DQ147" s="13">
        <f t="shared" si="151"/>
        <v>101.45003500532212</v>
      </c>
      <c r="DR147" s="20">
        <f t="shared" si="124"/>
        <v>957.02160850093696</v>
      </c>
      <c r="DS147" s="59">
        <f t="shared" si="125"/>
        <v>1245.4871356259237</v>
      </c>
      <c r="DT147" s="59">
        <f ca="1">AVERAGE(OFFSET($DS$3,0,0,'Données projet'!$E$14+1,1))-AVERAGE(OFFSET($H$3,0,0,'Données projet'!$E$14+1,1))</f>
        <v>649.03508893149228</v>
      </c>
      <c r="DU147" s="59">
        <f t="shared" si="152"/>
        <v>297.94672581383213</v>
      </c>
      <c r="DV147" s="15">
        <f>IF(ISNA(VLOOKUP(A147,'Données projet'!$A$165:$I$185,3,0)),0,VLOOKUP(A147,'Données projet'!$A$165:$I$185,3,0))</f>
        <v>12</v>
      </c>
      <c r="DW147" s="15">
        <f>IF(ISNA(VLOOKUP(A147,'Données projet'!$A$165:$I$185,4,0)),0,VLOOKUP(A147,'Données projet'!$A$165:$I$185,4,0))</f>
        <v>56.01</v>
      </c>
      <c r="DX147" s="16">
        <f>IF(ISNA(VLOOKUP(A147,'Données projet'!$A$165:$I$185,5,0)),0%,VLOOKUP(A147,'Données projet'!$A$165:$I$185,5,0)*VLOOKUP('Données projet'!$B$14,Paramètres!$A$1:$I$89,7,0))</f>
        <v>0.25800000000000001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74.089529988899642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74.089529988899642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>
        <f>VLOOKUP(A147,'Données projet'!$A$191:$I$211,2,0)</f>
        <v>463.23</v>
      </c>
      <c r="EH147" s="12">
        <f>VLOOKUP(A147,'Données projet'!$A$191:$I$211,9,0)</f>
        <v>8.1590000000000025</v>
      </c>
      <c r="EI147" s="12">
        <f t="array" ref="EI147">INDEX(EH:EH,MIN(IF(ISNUMBER(EH147:EH343),ROW(EH147:EH343),"")))</f>
        <v>8.1590000000000025</v>
      </c>
      <c r="EJ147" s="12">
        <f>IF('Données projet'!$A$192&gt;35,EJ146+EI147-ER146,IF(A147&lt;'Données projet'!$A$192,$EG$205^A147,IF(A147='Données projet'!$A$192,'Données projet'!$B$192,EJ146+EI147-ER146)))</f>
        <v>463.23000000000059</v>
      </c>
      <c r="EK147" s="17">
        <f>EJ147*VLOOKUP('Données projet'!$B$15,Paramètres!$A$1:$I$89,3,0)*VLOOKUP('Données projet'!$B$15,Paramètres!$A$1:$I$89,5,0)</f>
        <v>498.62077200000061</v>
      </c>
      <c r="EL147" s="13">
        <f t="shared" si="153"/>
        <v>111.50695617323285</v>
      </c>
      <c r="EM147" s="20">
        <f t="shared" si="127"/>
        <v>1062.6391265683815</v>
      </c>
      <c r="EN147" s="59">
        <f t="shared" si="128"/>
        <v>1351.1046536933682</v>
      </c>
      <c r="EO147" s="59">
        <f ca="1">AVERAGE(OFFSET($EN$3,0,0,'Données projet'!$E$15+1,1))-AVERAGE(OFFSET($H$3,0,0,'Données projet'!$E$15+1,1))</f>
        <v>713.57333631602273</v>
      </c>
      <c r="EP147" s="59">
        <f t="shared" si="154"/>
        <v>325.30302392555359</v>
      </c>
      <c r="EQ147" s="15">
        <f>IF(ISNA(VLOOKUP(A147,'Données projet'!$A$191:$I$211,3,0)),0,VLOOKUP(A147,'Données projet'!$A$191:$I$211,3,0))</f>
        <v>12</v>
      </c>
      <c r="ER147" s="15">
        <f>IF(ISNA(VLOOKUP(A147,'Données projet'!$A$191:$I$211,4,0)),0,VLOOKUP(A147,'Données projet'!$A$191:$I$211,4,0))</f>
        <v>56.01</v>
      </c>
      <c r="ES147" s="16">
        <f>IF(ISNA(VLOOKUP(A147,'Données projet'!$A$191:$I$211,5,0)),0%,VLOOKUP(A147,'Données projet'!$A$191:$I$211,5,0)*VLOOKUP('Données projet'!$B$15,Paramètres!$A$1:$I$89,7,0))</f>
        <v>0.25800000000000001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82.454476923130244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82.454476923130244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5.6843418860808015E-14</v>
      </c>
      <c r="FF147" s="17">
        <f>FE147*VLOOKUP('Données projet'!$B$16,Paramètres!$A$1:$I$89,3,0)*VLOOKUP('Données projet'!$B$16,Paramètres!$A$1:$I$89,5,0)</f>
        <v>4.4337866711430253E-14</v>
      </c>
      <c r="FG147" s="13">
        <f t="shared" si="155"/>
        <v>7.3222115536967035E-13</v>
      </c>
      <c r="FH147" s="20">
        <f t="shared" si="130"/>
        <v>1.3525069634579169E-12</v>
      </c>
      <c r="FI147" s="59">
        <f t="shared" si="131"/>
        <v>288.465527124988</v>
      </c>
      <c r="FJ147" s="59">
        <f ca="1">AVERAGE(OFFSET($FI$3,0,0,'Données projet'!$E$16+1,1))-AVERAGE(OFFSET($H$3,0,0,'Données projet'!$E$16+1,1))</f>
        <v>302.04287561738482</v>
      </c>
      <c r="FK147" s="59">
        <f t="shared" si="156"/>
        <v>296.09828774694802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23.366898920811227</v>
      </c>
      <c r="FR147" s="21">
        <f>EXP(-LN(2)/25)*FR146+(1-EXP(-LN(2)/25))/(LN(2)/25)*Calculateur!FM147*Calculateur!FO147*VLOOKUP('Données projet'!$B$16,Paramètres!$A$1:$I$89,3,0)*0.475*44/12</f>
        <v>6.3630187902732631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29.729917711084489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-2.8421709430404007E-14</v>
      </c>
      <c r="GA147" s="17">
        <f>FZ147*VLOOKUP('Données projet'!$B$17,Paramètres!$A$1:$I$89,3,0)*VLOOKUP('Données projet'!$B$17,Paramètres!$A$1:$I$89,5,0)</f>
        <v>-2.3942448024172337E-14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385.41819366740276</v>
      </c>
      <c r="GF147" s="59">
        <f t="shared" si="158"/>
        <v>262.4625391252718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91.250464810640239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91.250464810640239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68.67241648863272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3.3000000000000003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12.100000000000001</v>
      </c>
      <c r="H148" s="67">
        <f t="shared" si="110"/>
        <v>208.26666666666665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8.3249999999999993</v>
      </c>
      <c r="N148" s="13">
        <f>IF('Données projet'!$A$36&gt;35,N147+M148-V147,IF(A148&lt;'Données projet'!$A$36,$K$205^A148,IF(A148='Données projet'!$A$36,'Données projet'!$B$36,N147+M148-V147)))</f>
        <v>415.54500000000058</v>
      </c>
      <c r="O148" s="13">
        <f>N148*VLOOKUP('Données projet'!$B$9,Paramètres!$A$1:$I$89,3,0)*VLOOKUP('Données projet'!$B$9,Paramètres!$A$1:$I$89,5,0)</f>
        <v>375.98511600000052</v>
      </c>
      <c r="P148" s="13">
        <f t="shared" si="141"/>
        <v>86.890611547517153</v>
      </c>
      <c r="Q148" s="20">
        <f t="shared" si="108"/>
        <v>806.17522547859323</v>
      </c>
      <c r="R148" s="59">
        <f t="shared" si="109"/>
        <v>1094.7251981585105</v>
      </c>
      <c r="S148" s="59">
        <f ca="1">AVERAGE(OFFSET($R$3,0,0,'Données projet'!$E$9+1,1))-AVERAGE(OFFSET($H$3,0,0,'Données projet'!$E$9+1,1))</f>
        <v>612.09138396952153</v>
      </c>
      <c r="T148" s="59">
        <f t="shared" si="142"/>
        <v>282.284310393542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67.950442109131785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67.950442109131785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421.36263000000059</v>
      </c>
      <c r="AK148" s="13">
        <f t="shared" si="143"/>
        <v>96.094409121503247</v>
      </c>
      <c r="AL148" s="20">
        <f t="shared" si="112"/>
        <v>901.23767646995248</v>
      </c>
      <c r="AM148" s="59">
        <f t="shared" si="113"/>
        <v>1189.7876491498696</v>
      </c>
      <c r="AN148" s="59">
        <f ca="1">AVERAGE(OFFSET($AM$3,0,0,'Données projet'!$E$10+1,1))-AVERAGE(OFFSET($H$3,0,0,'Données projet'!$E$10+1,1))</f>
        <v>676.7112666359476</v>
      </c>
      <c r="AO148" s="59">
        <f t="shared" si="144"/>
        <v>309.67876644201385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76.151357536095972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76.151357536095972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414.88012800000064</v>
      </c>
      <c r="BF148" s="13">
        <f t="shared" si="145"/>
        <v>94.786940122008659</v>
      </c>
      <c r="BG148" s="20">
        <f t="shared" si="115"/>
        <v>887.67014364583281</v>
      </c>
      <c r="BH148" s="59">
        <f t="shared" si="116"/>
        <v>1176.22011632575</v>
      </c>
      <c r="BI148" s="59">
        <f ca="1">AVERAGE(OFFSET($BH$3,0,0,'Données projet'!$E$11+1,1))-AVERAGE(OFFSET($H$3,0,0,'Données projet'!$E$11+1,1))</f>
        <v>667.4887768032404</v>
      </c>
      <c r="BJ148" s="59">
        <f t="shared" si="146"/>
        <v>305.76944302827178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74.979798189386798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74.979798189386798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395.43262200000055</v>
      </c>
      <c r="CA148" s="13">
        <f t="shared" si="147"/>
        <v>90.850081440660546</v>
      </c>
      <c r="CB148" s="20">
        <f t="shared" si="118"/>
        <v>846.94237515915131</v>
      </c>
      <c r="CC148" s="59">
        <f t="shared" si="119"/>
        <v>1135.4923478390683</v>
      </c>
      <c r="CD148" s="59">
        <f ca="1">AVERAGE(OFFSET($CC$3,0,0,'Données projet'!$E$12+1,1))-AVERAGE(OFFSET($H$3,0,0,'Données projet'!$E$12+1,1))</f>
        <v>639.80378676828764</v>
      </c>
      <c r="CE148" s="59">
        <f t="shared" si="148"/>
        <v>294.03328334345281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71.465120149259278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71.465120149259278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-1.7053025658242404E-13</v>
      </c>
      <c r="CU148" s="17">
        <f>CT148*VLOOKUP('Données projet'!$B$13,Paramètres!$A$1:$I$89,3,0)*VLOOKUP('Données projet'!$B$13,Paramètres!$A$1:$I$89,5,0)</f>
        <v>-1.4897523215040567E-13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340.64710509454375</v>
      </c>
      <c r="CZ148" s="59">
        <f t="shared" si="150"/>
        <v>329.6409514360613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26.932415608686465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26.932415608686465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8.3249999999999993</v>
      </c>
      <c r="DO148" s="12">
        <f>IF('Données projet'!$A$166&gt;35,DO147+DN148-DW147,IF(A148&lt;'Données projet'!$A$166,$DL$205^A148,IF(A148='Données projet'!$A$166,'Données projet'!$B$166,DO147+DN148-DW147)))</f>
        <v>415.54500000000058</v>
      </c>
      <c r="DP148" s="17">
        <f>DO148*VLOOKUP('Données projet'!$B$14,Paramètres!$A$1:$I$89,3,0)*VLOOKUP('Données projet'!$B$14,Paramètres!$A$1:$I$89,5,0)</f>
        <v>401.91512400000056</v>
      </c>
      <c r="DQ148" s="13">
        <f t="shared" si="151"/>
        <v>92.164819224602709</v>
      </c>
      <c r="DR148" s="20">
        <f t="shared" si="124"/>
        <v>860.52256778285062</v>
      </c>
      <c r="DS148" s="59">
        <f t="shared" si="125"/>
        <v>1149.0725404627678</v>
      </c>
      <c r="DT148" s="59">
        <f ca="1">AVERAGE(OFFSET($DS$3,0,0,'Données projet'!$E$14+1,1))-AVERAGE(OFFSET($H$3,0,0,'Données projet'!$E$14+1,1))</f>
        <v>649.03508893149228</v>
      </c>
      <c r="DU148" s="59">
        <f t="shared" si="152"/>
        <v>297.94672581383213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72.636679495968451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72.636679495968451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8.3249999999999993</v>
      </c>
      <c r="EJ148" s="12">
        <f>IF('Données projet'!$A$192&gt;35,EJ147+EI148-ER147,IF(A148&lt;'Données projet'!$A$192,$EG$205^A148,IF(A148='Données projet'!$A$192,'Données projet'!$B$192,EJ147+EI148-ER147)))</f>
        <v>415.54500000000058</v>
      </c>
      <c r="EK148" s="17">
        <f>EJ148*VLOOKUP('Données projet'!$B$15,Paramètres!$A$1:$I$89,3,0)*VLOOKUP('Données projet'!$B$15,Paramètres!$A$1:$I$89,5,0)</f>
        <v>447.29263800000064</v>
      </c>
      <c r="EL148" s="13">
        <f t="shared" si="153"/>
        <v>101.30128055108679</v>
      </c>
      <c r="EM148" s="20">
        <f t="shared" si="127"/>
        <v>955.46774147647739</v>
      </c>
      <c r="EN148" s="59">
        <f t="shared" si="128"/>
        <v>1244.0177141563945</v>
      </c>
      <c r="EO148" s="59">
        <f ca="1">AVERAGE(OFFSET($EN$3,0,0,'Données projet'!$E$15+1,1))-AVERAGE(OFFSET($H$3,0,0,'Données projet'!$E$15+1,1))</f>
        <v>713.57333631602273</v>
      </c>
      <c r="EP148" s="59">
        <f t="shared" si="154"/>
        <v>325.30302392555359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80.837594922932638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80.837594922932638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5.6843418860808015E-14</v>
      </c>
      <c r="FF148" s="17">
        <f>FE148*VLOOKUP('Données projet'!$B$16,Paramètres!$A$1:$I$89,3,0)*VLOOKUP('Données projet'!$B$16,Paramètres!$A$1:$I$89,5,0)</f>
        <v>4.4337866711430253E-14</v>
      </c>
      <c r="FG148" s="13">
        <f t="shared" si="155"/>
        <v>7.3222115536967035E-13</v>
      </c>
      <c r="FH148" s="20">
        <f t="shared" si="130"/>
        <v>1.3525069634579169E-12</v>
      </c>
      <c r="FI148" s="59">
        <f t="shared" si="131"/>
        <v>288.54997267991848</v>
      </c>
      <c r="FJ148" s="59">
        <f ca="1">AVERAGE(OFFSET($FI$3,0,0,'Données projet'!$E$16+1,1))-AVERAGE(OFFSET($H$3,0,0,'Données projet'!$E$16+1,1))</f>
        <v>302.04287561738482</v>
      </c>
      <c r="FK148" s="59">
        <f t="shared" si="156"/>
        <v>296.09828774694802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22.908688285375153</v>
      </c>
      <c r="FR148" s="21">
        <f>EXP(-LN(2)/25)*FR147+(1-EXP(-LN(2)/25))/(LN(2)/25)*Calculateur!FM148*Calculateur!FO148*VLOOKUP('Données projet'!$B$16,Paramètres!$A$1:$I$89,3,0)*0.475*44/12</f>
        <v>6.1890217068366251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29.097709992211776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-2.8421709430404007E-14</v>
      </c>
      <c r="GA148" s="17">
        <f>FZ148*VLOOKUP('Données projet'!$B$17,Paramètres!$A$1:$I$89,3,0)*VLOOKUP('Données projet'!$B$17,Paramètres!$A$1:$I$89,5,0)</f>
        <v>-2.3942448024172337E-14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385.41819366740276</v>
      </c>
      <c r="GF148" s="59">
        <f t="shared" si="158"/>
        <v>262.4625391252718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89.461098852991412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89.461098852991412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68.695447094522848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3.3000000000000003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12.100000000000001</v>
      </c>
      <c r="H149" s="67">
        <f t="shared" si="110"/>
        <v>208.26666666666665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8.3249999999999993</v>
      </c>
      <c r="N149" s="13">
        <f>IF('Données projet'!$A$36&gt;35,N148+M149-V148,IF(A149&lt;'Données projet'!$A$36,$K$205^A149,IF(A149='Données projet'!$A$36,'Données projet'!$B$36,N148+M149-V148)))</f>
        <v>423.87000000000057</v>
      </c>
      <c r="O149" s="13">
        <f>N149*VLOOKUP('Données projet'!$B$9,Paramètres!$A$1:$I$89,3,0)*VLOOKUP('Données projet'!$B$9,Paramètres!$A$1:$I$89,5,0)</f>
        <v>383.51757600000053</v>
      </c>
      <c r="P149" s="13">
        <f t="shared" si="141"/>
        <v>88.426967368766455</v>
      </c>
      <c r="Q149" s="20">
        <f t="shared" si="108"/>
        <v>821.97007970060247</v>
      </c>
      <c r="R149" s="59">
        <f t="shared" si="109"/>
        <v>1110.603032993864</v>
      </c>
      <c r="S149" s="59">
        <f ca="1">AVERAGE(OFFSET($R$3,0,0,'Données projet'!$E$9+1,1))-AVERAGE(OFFSET($H$3,0,0,'Données projet'!$E$9+1,1))</f>
        <v>612.09138396952153</v>
      </c>
      <c r="T149" s="59">
        <f t="shared" si="142"/>
        <v>282.284310393542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66.617975385048979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66.617975385048979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429.8041800000006</v>
      </c>
      <c r="AK149" s="13">
        <f t="shared" si="143"/>
        <v>97.793501833753268</v>
      </c>
      <c r="AL149" s="20">
        <f t="shared" si="112"/>
        <v>918.89929586045457</v>
      </c>
      <c r="AM149" s="59">
        <f t="shared" si="113"/>
        <v>1207.5322491537161</v>
      </c>
      <c r="AN149" s="59">
        <f ca="1">AVERAGE(OFFSET($AM$3,0,0,'Données projet'!$E$10+1,1))-AVERAGE(OFFSET($H$3,0,0,'Données projet'!$E$10+1,1))</f>
        <v>676.7112666359476</v>
      </c>
      <c r="AO149" s="59">
        <f t="shared" si="144"/>
        <v>309.67876644201385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74.658075862554895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74.658075862554895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423.19180800000061</v>
      </c>
      <c r="BF149" s="13">
        <f t="shared" si="145"/>
        <v>96.462914829071366</v>
      </c>
      <c r="BG149" s="20">
        <f t="shared" si="115"/>
        <v>905.06530892730018</v>
      </c>
      <c r="BH149" s="59">
        <f t="shared" si="116"/>
        <v>1193.6982622205617</v>
      </c>
      <c r="BI149" s="59">
        <f ca="1">AVERAGE(OFFSET($BH$3,0,0,'Données projet'!$E$11+1,1))-AVERAGE(OFFSET($H$3,0,0,'Données projet'!$E$11+1,1))</f>
        <v>667.4887768032404</v>
      </c>
      <c r="BJ149" s="59">
        <f t="shared" si="146"/>
        <v>305.76944302827178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73.50949008005405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73.50949008005405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403.35469200000057</v>
      </c>
      <c r="CA149" s="13">
        <f t="shared" si="147"/>
        <v>92.456446604818723</v>
      </c>
      <c r="CB149" s="20">
        <f t="shared" si="118"/>
        <v>863.5377330700602</v>
      </c>
      <c r="CC149" s="59">
        <f t="shared" si="119"/>
        <v>1152.1706863633217</v>
      </c>
      <c r="CD149" s="59">
        <f ca="1">AVERAGE(OFFSET($CC$3,0,0,'Données projet'!$E$12+1,1))-AVERAGE(OFFSET($H$3,0,0,'Données projet'!$E$12+1,1))</f>
        <v>639.80378676828764</v>
      </c>
      <c r="CE149" s="59">
        <f t="shared" si="148"/>
        <v>294.03328334345281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70.0637327325515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70.0637327325515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-1.7053025658242404E-13</v>
      </c>
      <c r="CU149" s="17">
        <f>CT149*VLOOKUP('Données projet'!$B$13,Paramètres!$A$1:$I$89,3,0)*VLOOKUP('Données projet'!$B$13,Paramètres!$A$1:$I$89,5,0)</f>
        <v>-1.4897523215040567E-13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340.64710509454375</v>
      </c>
      <c r="CZ149" s="59">
        <f t="shared" si="150"/>
        <v>329.6409514360613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26.4042873657516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26.4042873657516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8.3249999999999993</v>
      </c>
      <c r="DO149" s="12">
        <f>IF('Données projet'!$A$166&gt;35,DO148+DN149-DW148,IF(A149&lt;'Données projet'!$A$166,$DL$205^A149,IF(A149='Données projet'!$A$166,'Données projet'!$B$166,DO148+DN149-DW148)))</f>
        <v>423.87000000000057</v>
      </c>
      <c r="DP149" s="17">
        <f>DO149*VLOOKUP('Données projet'!$B$14,Paramètres!$A$1:$I$89,3,0)*VLOOKUP('Données projet'!$B$14,Paramètres!$A$1:$I$89,5,0)</f>
        <v>409.96706400000051</v>
      </c>
      <c r="DQ149" s="13">
        <f t="shared" si="151"/>
        <v>93.79443091691617</v>
      </c>
      <c r="DR149" s="20">
        <f t="shared" si="124"/>
        <v>877.38460364696311</v>
      </c>
      <c r="DS149" s="59">
        <f t="shared" si="125"/>
        <v>1166.0175569402247</v>
      </c>
      <c r="DT149" s="59">
        <f ca="1">AVERAGE(OFFSET($DS$3,0,0,'Données projet'!$E$14+1,1))-AVERAGE(OFFSET($H$3,0,0,'Données projet'!$E$14+1,1))</f>
        <v>649.03508893149228</v>
      </c>
      <c r="DU149" s="59">
        <f t="shared" si="152"/>
        <v>297.94672581383213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71.212318515052345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71.212318515052345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8.3249999999999993</v>
      </c>
      <c r="EJ149" s="12">
        <f>IF('Données projet'!$A$192&gt;35,EJ148+EI149-ER148,IF(A149&lt;'Données projet'!$A$192,$EG$205^A149,IF(A149='Données projet'!$A$192,'Données projet'!$B$192,EJ148+EI149-ER148)))</f>
        <v>423.87000000000057</v>
      </c>
      <c r="EK149" s="17">
        <f>EJ149*VLOOKUP('Données projet'!$B$15,Paramètres!$A$1:$I$89,3,0)*VLOOKUP('Données projet'!$B$15,Paramètres!$A$1:$I$89,5,0)</f>
        <v>456.25366800000057</v>
      </c>
      <c r="EL149" s="13">
        <f t="shared" si="153"/>
        <v>103.09243852894912</v>
      </c>
      <c r="EM149" s="20">
        <f t="shared" si="127"/>
        <v>974.19446887125389</v>
      </c>
      <c r="EN149" s="59">
        <f t="shared" si="128"/>
        <v>1262.8274221645154</v>
      </c>
      <c r="EO149" s="59">
        <f ca="1">AVERAGE(OFFSET($EN$3,0,0,'Données projet'!$E$15+1,1))-AVERAGE(OFFSET($H$3,0,0,'Données projet'!$E$15+1,1))</f>
        <v>713.57333631602273</v>
      </c>
      <c r="EP149" s="59">
        <f t="shared" si="154"/>
        <v>325.30302392555359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79.252418992558262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79.252418992558262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5.6843418860808015E-14</v>
      </c>
      <c r="FF149" s="17">
        <f>FE149*VLOOKUP('Données projet'!$B$16,Paramètres!$A$1:$I$89,3,0)*VLOOKUP('Données projet'!$B$16,Paramètres!$A$1:$I$89,5,0)</f>
        <v>4.4337866711430253E-14</v>
      </c>
      <c r="FG149" s="13">
        <f t="shared" si="155"/>
        <v>7.3222115536967035E-13</v>
      </c>
      <c r="FH149" s="20">
        <f t="shared" si="130"/>
        <v>1.3525069634579169E-12</v>
      </c>
      <c r="FI149" s="59">
        <f t="shared" si="131"/>
        <v>288.63295329326291</v>
      </c>
      <c r="FJ149" s="59">
        <f ca="1">AVERAGE(OFFSET($FI$3,0,0,'Données projet'!$E$16+1,1))-AVERAGE(OFFSET($H$3,0,0,'Données projet'!$E$16+1,1))</f>
        <v>302.04287561738482</v>
      </c>
      <c r="FK149" s="59">
        <f t="shared" si="156"/>
        <v>296.09828774694802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22.459462881019089</v>
      </c>
      <c r="FR149" s="21">
        <f>EXP(-LN(2)/25)*FR148+(1-EXP(-LN(2)/25))/(LN(2)/25)*Calculateur!FM149*Calculateur!FO149*VLOOKUP('Données projet'!$B$16,Paramètres!$A$1:$I$89,3,0)*0.475*44/12</f>
        <v>6.0197825827966716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28.479245463815761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-2.8421709430404007E-14</v>
      </c>
      <c r="GA149" s="17">
        <f>FZ149*VLOOKUP('Données projet'!$B$17,Paramètres!$A$1:$I$89,3,0)*VLOOKUP('Données projet'!$B$17,Paramètres!$A$1:$I$89,5,0)</f>
        <v>-2.3942448024172337E-14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385.41819366740276</v>
      </c>
      <c r="GF149" s="59">
        <f t="shared" si="158"/>
        <v>262.4625391252718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87.706821270366618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87.706821270366618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68.718078170889513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3.3000000000000003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12.100000000000001</v>
      </c>
      <c r="H150" s="67">
        <f t="shared" si="110"/>
        <v>208.26666666666665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8.3249999999999993</v>
      </c>
      <c r="N150" s="13">
        <f>IF('Données projet'!$A$36&gt;35,N149+M150-V149,IF(A150&lt;'Données projet'!$A$36,$K$205^A150,IF(A150='Données projet'!$A$36,'Données projet'!$B$36,N149+M150-V149)))</f>
        <v>432.19500000000056</v>
      </c>
      <c r="O150" s="13">
        <f>N150*VLOOKUP('Données projet'!$B$9,Paramètres!$A$1:$I$89,3,0)*VLOOKUP('Données projet'!$B$9,Paramètres!$A$1:$I$89,5,0)</f>
        <v>391.05003600000049</v>
      </c>
      <c r="P150" s="13">
        <f t="shared" si="141"/>
        <v>89.959814624965674</v>
      </c>
      <c r="Q150" s="20">
        <f t="shared" si="108"/>
        <v>837.75882317181595</v>
      </c>
      <c r="R150" s="59">
        <f t="shared" si="109"/>
        <v>1126.4733175502972</v>
      </c>
      <c r="S150" s="59">
        <f ca="1">AVERAGE(OFFSET($R$3,0,0,'Données projet'!$E$9+1,1))-AVERAGE(OFFSET($H$3,0,0,'Données projet'!$E$9+1,1))</f>
        <v>612.09138396952153</v>
      </c>
      <c r="T150" s="59">
        <f t="shared" si="142"/>
        <v>282.284310393542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65.311637520700984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65.311637520700984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438.24573000000061</v>
      </c>
      <c r="AK150" s="13">
        <f t="shared" si="143"/>
        <v>99.488714339852734</v>
      </c>
      <c r="AL150" s="20">
        <f t="shared" si="112"/>
        <v>936.55415722524458</v>
      </c>
      <c r="AM150" s="59">
        <f t="shared" si="113"/>
        <v>1225.2686516037259</v>
      </c>
      <c r="AN150" s="59">
        <f ca="1">AVERAGE(OFFSET($AM$3,0,0,'Données projet'!$E$10+1,1))-AVERAGE(OFFSET($H$3,0,0,'Données projet'!$E$10+1,1))</f>
        <v>676.7112666359476</v>
      </c>
      <c r="AO150" s="59">
        <f t="shared" si="144"/>
        <v>309.67876644201385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73.194076531820073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73.194076531820073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431.50348800000057</v>
      </c>
      <c r="BF150" s="13">
        <f t="shared" si="145"/>
        <v>98.135062124410453</v>
      </c>
      <c r="BG150" s="20">
        <f t="shared" si="115"/>
        <v>922.45380813334907</v>
      </c>
      <c r="BH150" s="59">
        <f t="shared" si="116"/>
        <v>1211.1683025118305</v>
      </c>
      <c r="BI150" s="59">
        <f ca="1">AVERAGE(OFFSET($BH$3,0,0,'Données projet'!$E$11+1,1))-AVERAGE(OFFSET($H$3,0,0,'Données projet'!$E$11+1,1))</f>
        <v>667.4887768032404</v>
      </c>
      <c r="BJ150" s="59">
        <f t="shared" si="146"/>
        <v>305.76944302827178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72.068013815945918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72.068013815945918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411.27676200000059</v>
      </c>
      <c r="CA150" s="13">
        <f t="shared" si="147"/>
        <v>94.05914332407977</v>
      </c>
      <c r="CB150" s="20">
        <f t="shared" si="118"/>
        <v>880.12670177277323</v>
      </c>
      <c r="CC150" s="59">
        <f t="shared" si="119"/>
        <v>1168.8411961512545</v>
      </c>
      <c r="CD150" s="59">
        <f ca="1">AVERAGE(OFFSET($CC$3,0,0,'Données projet'!$E$12+1,1))-AVERAGE(OFFSET($H$3,0,0,'Données projet'!$E$12+1,1))</f>
        <v>639.80378676828764</v>
      </c>
      <c r="CE150" s="59">
        <f t="shared" si="148"/>
        <v>294.03328334345281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68.689825668323437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68.689825668323437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-1.7053025658242404E-13</v>
      </c>
      <c r="CU150" s="17">
        <f>CT150*VLOOKUP('Données projet'!$B$13,Paramètres!$A$1:$I$89,3,0)*VLOOKUP('Données projet'!$B$13,Paramètres!$A$1:$I$89,5,0)</f>
        <v>-1.4897523215040567E-13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340.64710509454375</v>
      </c>
      <c r="CZ150" s="59">
        <f t="shared" si="150"/>
        <v>329.6409514360613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25.886515395534264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25.886515395534264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8.3249999999999993</v>
      </c>
      <c r="DO150" s="12">
        <f>IF('Données projet'!$A$166&gt;35,DO149+DN150-DW149,IF(A150&lt;'Données projet'!$A$166,$DL$205^A150,IF(A150='Données projet'!$A$166,'Données projet'!$B$166,DO149+DN150-DW149)))</f>
        <v>432.19500000000056</v>
      </c>
      <c r="DP150" s="17">
        <f>DO150*VLOOKUP('Données projet'!$B$14,Paramètres!$A$1:$I$89,3,0)*VLOOKUP('Données projet'!$B$14,Paramètres!$A$1:$I$89,5,0)</f>
        <v>418.01900400000051</v>
      </c>
      <c r="DQ150" s="13">
        <f t="shared" si="151"/>
        <v>95.420321076398807</v>
      </c>
      <c r="DR150" s="20">
        <f t="shared" si="124"/>
        <v>894.24015784139544</v>
      </c>
      <c r="DS150" s="59">
        <f t="shared" si="125"/>
        <v>1182.9546522198768</v>
      </c>
      <c r="DT150" s="59">
        <f ca="1">AVERAGE(OFFSET($DS$3,0,0,'Données projet'!$E$14+1,1))-AVERAGE(OFFSET($H$3,0,0,'Données projet'!$E$14+1,1))</f>
        <v>649.03508893149228</v>
      </c>
      <c r="DU150" s="59">
        <f t="shared" si="152"/>
        <v>297.94672581383213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69.815888384197592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69.815888384197592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8.3249999999999993</v>
      </c>
      <c r="EJ150" s="12">
        <f>IF('Données projet'!$A$192&gt;35,EJ149+EI150-ER149,IF(A150&lt;'Données projet'!$A$192,$EG$205^A150,IF(A150='Données projet'!$A$192,'Données projet'!$B$192,EJ149+EI150-ER149)))</f>
        <v>432.19500000000056</v>
      </c>
      <c r="EK150" s="17">
        <f>EJ150*VLOOKUP('Données projet'!$B$15,Paramètres!$A$1:$I$89,3,0)*VLOOKUP('Données projet'!$B$15,Paramètres!$A$1:$I$89,5,0)</f>
        <v>465.21469800000062</v>
      </c>
      <c r="EL150" s="13">
        <f t="shared" si="153"/>
        <v>104.8795060518574</v>
      </c>
      <c r="EM150" s="20">
        <f t="shared" si="127"/>
        <v>992.9140720569859</v>
      </c>
      <c r="EN150" s="59">
        <f t="shared" si="128"/>
        <v>1281.6285664354673</v>
      </c>
      <c r="EO150" s="59">
        <f ca="1">AVERAGE(OFFSET($EN$3,0,0,'Données projet'!$E$15+1,1))-AVERAGE(OFFSET($H$3,0,0,'Données projet'!$E$15+1,1))</f>
        <v>713.57333631602273</v>
      </c>
      <c r="EP150" s="59">
        <f t="shared" si="154"/>
        <v>325.30302392555359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77.698327395316682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77.698327395316682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5.6843418860808015E-14</v>
      </c>
      <c r="FF150" s="17">
        <f>FE150*VLOOKUP('Données projet'!$B$16,Paramètres!$A$1:$I$89,3,0)*VLOOKUP('Données projet'!$B$16,Paramètres!$A$1:$I$89,5,0)</f>
        <v>4.4337866711430253E-14</v>
      </c>
      <c r="FG150" s="13">
        <f t="shared" si="155"/>
        <v>7.3222115536967035E-13</v>
      </c>
      <c r="FH150" s="20">
        <f t="shared" si="130"/>
        <v>1.3525069634579169E-12</v>
      </c>
      <c r="FI150" s="59">
        <f t="shared" si="131"/>
        <v>288.7144943784827</v>
      </c>
      <c r="FJ150" s="59">
        <f ca="1">AVERAGE(OFFSET($FI$3,0,0,'Données projet'!$E$16+1,1))-AVERAGE(OFFSET($H$3,0,0,'Données projet'!$E$16+1,1))</f>
        <v>302.04287561738482</v>
      </c>
      <c r="FK150" s="59">
        <f t="shared" si="156"/>
        <v>296.09828774694802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22.019046512842007</v>
      </c>
      <c r="FR150" s="21">
        <f>EXP(-LN(2)/25)*FR149+(1-EXP(-LN(2)/25))/(LN(2)/25)*Calculateur!FM150*Calculateur!FO150*VLOOKUP('Données projet'!$B$16,Paramètres!$A$1:$I$89,3,0)*0.475*44/12</f>
        <v>5.8551713115034891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27.874217824345497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-2.8421709430404007E-14</v>
      </c>
      <c r="GA150" s="17">
        <f>FZ150*VLOOKUP('Données projet'!$B$17,Paramètres!$A$1:$I$89,3,0)*VLOOKUP('Données projet'!$B$17,Paramètres!$A$1:$I$89,5,0)</f>
        <v>-2.3942448024172337E-14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385.41819366740276</v>
      </c>
      <c r="GF150" s="59">
        <f t="shared" si="158"/>
        <v>262.4625391252718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85.986944001133423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85.986944001133423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68.740316648676725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3.3000000000000003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12.100000000000001</v>
      </c>
      <c r="H151" s="67">
        <f t="shared" si="110"/>
        <v>208.26666666666665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8.3249999999999993</v>
      </c>
      <c r="N151" s="13">
        <f>IF('Données projet'!$A$36&gt;35,N150+M151-V150,IF(A151&lt;'Données projet'!$A$36,$K$205^A151,IF(A151='Données projet'!$A$36,'Données projet'!$B$36,N150+M151-V150)))</f>
        <v>440.52000000000055</v>
      </c>
      <c r="O151" s="13">
        <f>N151*VLOOKUP('Données projet'!$B$9,Paramètres!$A$1:$I$89,3,0)*VLOOKUP('Données projet'!$B$9,Paramètres!$A$1:$I$89,5,0)</f>
        <v>398.5824960000005</v>
      </c>
      <c r="P151" s="13">
        <f t="shared" si="141"/>
        <v>91.489228690064536</v>
      </c>
      <c r="Q151" s="20">
        <f t="shared" si="108"/>
        <v>853.54158716852999</v>
      </c>
      <c r="R151" s="59">
        <f t="shared" si="109"/>
        <v>1142.336208076701</v>
      </c>
      <c r="S151" s="59">
        <f ca="1">AVERAGE(OFFSET($R$3,0,0,'Données projet'!$E$9+1,1))-AVERAGE(OFFSET($H$3,0,0,'Données projet'!$E$9+1,1))</f>
        <v>612.09138396952153</v>
      </c>
      <c r="T151" s="59">
        <f t="shared" si="142"/>
        <v>282.284310393542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64.030916145085428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64.030916145085428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446.68728000000056</v>
      </c>
      <c r="AK151" s="13">
        <f t="shared" si="143"/>
        <v>101.18012999765861</v>
      </c>
      <c r="AL151" s="20">
        <f t="shared" si="112"/>
        <v>954.20240574592299</v>
      </c>
      <c r="AM151" s="59">
        <f t="shared" si="113"/>
        <v>1242.997026654094</v>
      </c>
      <c r="AN151" s="59">
        <f ca="1">AVERAGE(OFFSET($AM$3,0,0,'Données projet'!$E$10+1,1))-AVERAGE(OFFSET($H$3,0,0,'Données projet'!$E$10+1,1))</f>
        <v>676.7112666359476</v>
      </c>
      <c r="AO151" s="59">
        <f t="shared" si="144"/>
        <v>309.67876644201385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71.758785335009534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71.758785335009534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439.8151680000006</v>
      </c>
      <c r="BF151" s="13">
        <f t="shared" si="145"/>
        <v>99.803464231708475</v>
      </c>
      <c r="BG151" s="20">
        <f t="shared" si="115"/>
        <v>939.83578447022671</v>
      </c>
      <c r="BH151" s="59">
        <f t="shared" si="116"/>
        <v>1228.6304053783979</v>
      </c>
      <c r="BI151" s="59">
        <f ca="1">AVERAGE(OFFSET($BH$3,0,0,'Données projet'!$E$11+1,1))-AVERAGE(OFFSET($H$3,0,0,'Données projet'!$E$11+1,1))</f>
        <v>667.4887768032404</v>
      </c>
      <c r="BJ151" s="59">
        <f t="shared" si="146"/>
        <v>305.76944302827178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70.654804022163233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70.654804022163233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419.19883200000055</v>
      </c>
      <c r="CA151" s="13">
        <f t="shared" si="147"/>
        <v>95.658250407067044</v>
      </c>
      <c r="CB151" s="20">
        <f t="shared" si="118"/>
        <v>896.70941852564249</v>
      </c>
      <c r="CC151" s="59">
        <f t="shared" si="119"/>
        <v>1185.5040394338134</v>
      </c>
      <c r="CD151" s="59">
        <f ca="1">AVERAGE(OFFSET($CC$3,0,0,'Données projet'!$E$12+1,1))-AVERAGE(OFFSET($H$3,0,0,'Données projet'!$E$12+1,1))</f>
        <v>639.80378676828764</v>
      </c>
      <c r="CE151" s="59">
        <f t="shared" si="148"/>
        <v>294.03328334345281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67.342860083624316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67.342860083624316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-1.7053025658242404E-13</v>
      </c>
      <c r="CU151" s="17">
        <f>CT151*VLOOKUP('Données projet'!$B$13,Paramètres!$A$1:$I$89,3,0)*VLOOKUP('Données projet'!$B$13,Paramètres!$A$1:$I$89,5,0)</f>
        <v>-1.4897523215040567E-13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340.64710509454375</v>
      </c>
      <c r="CZ151" s="59">
        <f t="shared" si="150"/>
        <v>329.6409514360613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25.378896617843171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25.378896617843171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8.3249999999999993</v>
      </c>
      <c r="DO151" s="12">
        <f>IF('Données projet'!$A$166&gt;35,DO150+DN151-DW150,IF(A151&lt;'Données projet'!$A$166,$DL$205^A151,IF(A151='Données projet'!$A$166,'Données projet'!$B$166,DO150+DN151-DW150)))</f>
        <v>440.52000000000055</v>
      </c>
      <c r="DP151" s="17">
        <f>DO151*VLOOKUP('Données projet'!$B$14,Paramètres!$A$1:$I$89,3,0)*VLOOKUP('Données projet'!$B$14,Paramètres!$A$1:$I$89,5,0)</f>
        <v>426.07094400000051</v>
      </c>
      <c r="DQ151" s="13">
        <f t="shared" si="151"/>
        <v>97.042569652153361</v>
      </c>
      <c r="DR151" s="20">
        <f t="shared" si="124"/>
        <v>911.08936961083464</v>
      </c>
      <c r="DS151" s="59">
        <f t="shared" si="125"/>
        <v>1199.8839905190057</v>
      </c>
      <c r="DT151" s="59">
        <f ca="1">AVERAGE(OFFSET($DS$3,0,0,'Données projet'!$E$14+1,1))-AVERAGE(OFFSET($H$3,0,0,'Données projet'!$E$14+1,1))</f>
        <v>649.03508893149228</v>
      </c>
      <c r="DU151" s="59">
        <f t="shared" si="152"/>
        <v>297.94672581383213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68.446841396470617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68.446841396470617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8.3249999999999993</v>
      </c>
      <c r="EJ151" s="12">
        <f>IF('Données projet'!$A$192&gt;35,EJ150+EI151-ER150,IF(A151&lt;'Données projet'!$A$192,$EG$205^A151,IF(A151='Données projet'!$A$192,'Données projet'!$B$192,EJ150+EI151-ER150)))</f>
        <v>440.52000000000055</v>
      </c>
      <c r="EK151" s="17">
        <f>EJ151*VLOOKUP('Données projet'!$B$15,Paramètres!$A$1:$I$89,3,0)*VLOOKUP('Données projet'!$B$15,Paramètres!$A$1:$I$89,5,0)</f>
        <v>474.17572800000056</v>
      </c>
      <c r="EL151" s="13">
        <f t="shared" si="153"/>
        <v>106.66257099441019</v>
      </c>
      <c r="EM151" s="20">
        <f t="shared" si="127"/>
        <v>1011.626704081932</v>
      </c>
      <c r="EN151" s="59">
        <f t="shared" si="128"/>
        <v>1300.4213249901031</v>
      </c>
      <c r="EO151" s="59">
        <f ca="1">AVERAGE(OFFSET($EN$3,0,0,'Données projet'!$E$15+1,1))-AVERAGE(OFFSET($H$3,0,0,'Données projet'!$E$15+1,1))</f>
        <v>713.57333631602273</v>
      </c>
      <c r="EP151" s="59">
        <f t="shared" si="154"/>
        <v>325.30302392555359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76.174710586394724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76.174710586394724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5.6843418860808015E-14</v>
      </c>
      <c r="FF151" s="17">
        <f>FE151*VLOOKUP('Données projet'!$B$16,Paramètres!$A$1:$I$89,3,0)*VLOOKUP('Données projet'!$B$16,Paramètres!$A$1:$I$89,5,0)</f>
        <v>4.4337866711430253E-14</v>
      </c>
      <c r="FG151" s="13">
        <f t="shared" si="155"/>
        <v>7.3222115536967035E-13</v>
      </c>
      <c r="FH151" s="20">
        <f t="shared" si="130"/>
        <v>1.3525069634579169E-12</v>
      </c>
      <c r="FI151" s="59">
        <f t="shared" si="131"/>
        <v>288.79462090817242</v>
      </c>
      <c r="FJ151" s="59">
        <f ca="1">AVERAGE(OFFSET($FI$3,0,0,'Données projet'!$E$16+1,1))-AVERAGE(OFFSET($H$3,0,0,'Données projet'!$E$16+1,1))</f>
        <v>302.04287561738482</v>
      </c>
      <c r="FK151" s="59">
        <f t="shared" si="156"/>
        <v>296.09828774694802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21.587266441017416</v>
      </c>
      <c r="FR151" s="21">
        <f>EXP(-LN(2)/25)*FR150+(1-EXP(-LN(2)/25))/(LN(2)/25)*Calculateur!FM151*Calculateur!FO151*VLOOKUP('Données projet'!$B$16,Paramètres!$A$1:$I$89,3,0)*0.475*44/12</f>
        <v>5.695061344080349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27.282327785097763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-2.8421709430404007E-14</v>
      </c>
      <c r="GA151" s="17">
        <f>FZ151*VLOOKUP('Données projet'!$B$17,Paramètres!$A$1:$I$89,3,0)*VLOOKUP('Données projet'!$B$17,Paramètres!$A$1:$I$89,5,0)</f>
        <v>-2.3942448024172337E-14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385.41819366740276</v>
      </c>
      <c r="GF151" s="59">
        <f t="shared" si="158"/>
        <v>262.4625391252718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84.300792476128336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84.300792476128336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68.762169338592102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3.3000000000000003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12.100000000000001</v>
      </c>
      <c r="H152" s="67">
        <f t="shared" si="110"/>
        <v>208.26666666666665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8.3249999999999993</v>
      </c>
      <c r="N152" s="13">
        <f>IF('Données projet'!$A$36&gt;35,N151+M152-V151,IF(A152&lt;'Données projet'!$A$36,$K$205^A152,IF(A152='Données projet'!$A$36,'Données projet'!$B$36,N151+M152-V151)))</f>
        <v>448.84500000000054</v>
      </c>
      <c r="O152" s="13">
        <f>N152*VLOOKUP('Données projet'!$B$9,Paramètres!$A$1:$I$89,3,0)*VLOOKUP('Données projet'!$B$9,Paramètres!$A$1:$I$89,5,0)</f>
        <v>406.11495600000046</v>
      </c>
      <c r="P152" s="13">
        <f t="shared" si="141"/>
        <v>93.015281926133852</v>
      </c>
      <c r="Q152" s="20">
        <f t="shared" si="108"/>
        <v>869.31849772135058</v>
      </c>
      <c r="R152" s="59">
        <f t="shared" si="109"/>
        <v>1158.1918551430574</v>
      </c>
      <c r="S152" s="59">
        <f ca="1">AVERAGE(OFFSET($R$3,0,0,'Données projet'!$E$9+1,1))-AVERAGE(OFFSET($H$3,0,0,'Données projet'!$E$9+1,1))</f>
        <v>612.09138396952153</v>
      </c>
      <c r="T152" s="59">
        <f t="shared" si="142"/>
        <v>282.284310393542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62.775308934482787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62.775308934482787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455.12883000000056</v>
      </c>
      <c r="AK152" s="13">
        <f t="shared" si="143"/>
        <v>102.86782883411858</v>
      </c>
      <c r="AL152" s="20">
        <f t="shared" si="112"/>
        <v>971.84418080275736</v>
      </c>
      <c r="AM152" s="59">
        <f t="shared" si="113"/>
        <v>1260.7175382244641</v>
      </c>
      <c r="AN152" s="59">
        <f ca="1">AVERAGE(OFFSET($AM$3,0,0,'Données projet'!$E$10+1,1))-AVERAGE(OFFSET($H$3,0,0,'Données projet'!$E$10+1,1))</f>
        <v>676.7112666359476</v>
      </c>
      <c r="AO152" s="59">
        <f t="shared" si="144"/>
        <v>309.67876644201385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70.351639323127273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70.351639323127273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448.12684800000056</v>
      </c>
      <c r="BF152" s="13">
        <f t="shared" si="145"/>
        <v>101.46820008905938</v>
      </c>
      <c r="BG152" s="20">
        <f t="shared" si="115"/>
        <v>957.21137542177928</v>
      </c>
      <c r="BH152" s="59">
        <f t="shared" si="116"/>
        <v>1246.0847328434861</v>
      </c>
      <c r="BI152" s="59">
        <f ca="1">AVERAGE(OFFSET($BH$3,0,0,'Données projet'!$E$11+1,1))-AVERAGE(OFFSET($H$3,0,0,'Données projet'!$E$11+1,1))</f>
        <v>667.4887768032404</v>
      </c>
      <c r="BJ152" s="59">
        <f t="shared" si="146"/>
        <v>305.76944302827178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69.26930641046377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69.26930641046377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427.12090200000046</v>
      </c>
      <c r="CA152" s="13">
        <f t="shared" si="147"/>
        <v>97.253843513278113</v>
      </c>
      <c r="CB152" s="20">
        <f t="shared" si="118"/>
        <v>913.28601510229339</v>
      </c>
      <c r="CC152" s="59">
        <f t="shared" si="119"/>
        <v>1202.1593725240002</v>
      </c>
      <c r="CD152" s="59">
        <f ca="1">AVERAGE(OFFSET($CC$3,0,0,'Données projet'!$E$12+1,1))-AVERAGE(OFFSET($H$3,0,0,'Données projet'!$E$12+1,1))</f>
        <v>639.80378676828764</v>
      </c>
      <c r="CE152" s="59">
        <f t="shared" si="148"/>
        <v>294.03328334345281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66.022307672473261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66.022307672473261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-1.7053025658242404E-13</v>
      </c>
      <c r="CU152" s="17">
        <f>CT152*VLOOKUP('Données projet'!$B$13,Paramètres!$A$1:$I$89,3,0)*VLOOKUP('Données projet'!$B$13,Paramètres!$A$1:$I$89,5,0)</f>
        <v>-1.4897523215040567E-13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340.64710509454375</v>
      </c>
      <c r="CZ152" s="59">
        <f t="shared" si="150"/>
        <v>329.6409514360613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24.881231934765719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24.881231934765719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8.3249999999999993</v>
      </c>
      <c r="DO152" s="12">
        <f>IF('Données projet'!$A$166&gt;35,DO151+DN152-DW151,IF(A152&lt;'Données projet'!$A$166,$DL$205^A152,IF(A152='Données projet'!$A$166,'Données projet'!$B$166,DO151+DN152-DW151)))</f>
        <v>448.84500000000054</v>
      </c>
      <c r="DP152" s="17">
        <f>DO152*VLOOKUP('Données projet'!$B$14,Paramètres!$A$1:$I$89,3,0)*VLOOKUP('Données projet'!$B$14,Paramètres!$A$1:$I$89,5,0)</f>
        <v>434.12288400000057</v>
      </c>
      <c r="DQ152" s="13">
        <f t="shared" si="151"/>
        <v>98.661253398584833</v>
      </c>
      <c r="DR152" s="20">
        <f t="shared" si="124"/>
        <v>927.93237263586946</v>
      </c>
      <c r="DS152" s="59">
        <f t="shared" si="125"/>
        <v>1216.8057300575763</v>
      </c>
      <c r="DT152" s="59">
        <f ca="1">AVERAGE(OFFSET($DS$3,0,0,'Données projet'!$E$14+1,1))-AVERAGE(OFFSET($H$3,0,0,'Données projet'!$E$14+1,1))</f>
        <v>649.03508893149228</v>
      </c>
      <c r="DU152" s="59">
        <f t="shared" si="152"/>
        <v>297.94672581383213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67.104640585136764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67.104640585136764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8.3249999999999993</v>
      </c>
      <c r="EJ152" s="12">
        <f>IF('Données projet'!$A$192&gt;35,EJ151+EI152-ER151,IF(A152&lt;'Données projet'!$A$192,$EG$205^A152,IF(A152='Données projet'!$A$192,'Données projet'!$B$192,EJ151+EI152-ER151)))</f>
        <v>448.84500000000054</v>
      </c>
      <c r="EK152" s="17">
        <f>EJ152*VLOOKUP('Données projet'!$B$15,Paramètres!$A$1:$I$89,3,0)*VLOOKUP('Données projet'!$B$15,Paramètres!$A$1:$I$89,5,0)</f>
        <v>483.13675800000055</v>
      </c>
      <c r="EL152" s="13">
        <f t="shared" si="153"/>
        <v>108.4417177198124</v>
      </c>
      <c r="EM152" s="20">
        <f t="shared" si="127"/>
        <v>1030.3325118786743</v>
      </c>
      <c r="EN152" s="59">
        <f t="shared" si="128"/>
        <v>1319.205869300381</v>
      </c>
      <c r="EO152" s="59">
        <f ca="1">AVERAGE(OFFSET($EN$3,0,0,'Données projet'!$E$15+1,1))-AVERAGE(OFFSET($H$3,0,0,'Données projet'!$E$15+1,1))</f>
        <v>713.57333631602273</v>
      </c>
      <c r="EP152" s="59">
        <f t="shared" si="154"/>
        <v>325.30302392555359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74.680970973781243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74.680970973781243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5.6843418860808015E-14</v>
      </c>
      <c r="FF152" s="17">
        <f>FE152*VLOOKUP('Données projet'!$B$16,Paramètres!$A$1:$I$89,3,0)*VLOOKUP('Données projet'!$B$16,Paramètres!$A$1:$I$89,5,0)</f>
        <v>4.4337866711430253E-14</v>
      </c>
      <c r="FG152" s="13">
        <f t="shared" si="155"/>
        <v>7.3222115536967035E-13</v>
      </c>
      <c r="FH152" s="20">
        <f t="shared" si="130"/>
        <v>1.3525069634579169E-12</v>
      </c>
      <c r="FI152" s="59">
        <f t="shared" si="131"/>
        <v>288.87335742170814</v>
      </c>
      <c r="FJ152" s="59">
        <f ca="1">AVERAGE(OFFSET($FI$3,0,0,'Données projet'!$E$16+1,1))-AVERAGE(OFFSET($H$3,0,0,'Données projet'!$E$16+1,1))</f>
        <v>302.04287561738482</v>
      </c>
      <c r="FK152" s="59">
        <f t="shared" si="156"/>
        <v>296.09828774694802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21.163953313041468</v>
      </c>
      <c r="FR152" s="21">
        <f>EXP(-LN(2)/25)*FR151+(1-EXP(-LN(2)/25))/(LN(2)/25)*Calculateur!FM152*Calculateur!FO152*VLOOKUP('Données projet'!$B$16,Paramètres!$A$1:$I$89,3,0)*0.475*44/12</f>
        <v>5.5393295921362125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26.70328290517768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-2.8421709430404007E-14</v>
      </c>
      <c r="GA152" s="17">
        <f>FZ152*VLOOKUP('Données projet'!$B$17,Paramètres!$A$1:$I$89,3,0)*VLOOKUP('Données projet'!$B$17,Paramètres!$A$1:$I$89,5,0)</f>
        <v>-2.3942448024172337E-14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385.41819366740276</v>
      </c>
      <c r="GF152" s="59">
        <f t="shared" si="158"/>
        <v>262.4625391252718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82.647705354077729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82.647705354077729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68.783642933192752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3.3000000000000003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12.100000000000001</v>
      </c>
      <c r="H153" s="67">
        <f t="shared" si="110"/>
        <v>208.26666666666665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8.3249999999999993</v>
      </c>
      <c r="N153" s="13">
        <f>IF('Données projet'!$A$36&gt;35,N152+M153-V152,IF(A153&lt;'Données projet'!$A$36,$K$205^A153,IF(A153='Données projet'!$A$36,'Données projet'!$B$36,N152+M153-V152)))</f>
        <v>457.17000000000053</v>
      </c>
      <c r="O153" s="13">
        <f>N153*VLOOKUP('Données projet'!$B$9,Paramètres!$A$1:$I$89,3,0)*VLOOKUP('Données projet'!$B$9,Paramètres!$A$1:$I$89,5,0)</f>
        <v>413.64741600000042</v>
      </c>
      <c r="P153" s="13">
        <f t="shared" si="141"/>
        <v>94.538043857309361</v>
      </c>
      <c r="Q153" s="20">
        <f t="shared" si="108"/>
        <v>885.0896759181478</v>
      </c>
      <c r="R153" s="59">
        <f t="shared" si="109"/>
        <v>1174.040403950909</v>
      </c>
      <c r="S153" s="59">
        <f ca="1">AVERAGE(OFFSET($R$3,0,0,'Données projet'!$E$9+1,1))-AVERAGE(OFFSET($H$3,0,0,'Données projet'!$E$9+1,1))</f>
        <v>612.09138396952153</v>
      </c>
      <c r="T153" s="59">
        <f t="shared" si="142"/>
        <v>282.284310393542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61.544323415435287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61.544323415435287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463.57038000000057</v>
      </c>
      <c r="AK153" s="13">
        <f t="shared" si="143"/>
        <v>104.55188773764013</v>
      </c>
      <c r="AL153" s="20">
        <f t="shared" si="112"/>
        <v>989.47961630972395</v>
      </c>
      <c r="AM153" s="59">
        <f t="shared" si="113"/>
        <v>1278.4303443424851</v>
      </c>
      <c r="AN153" s="59">
        <f ca="1">AVERAGE(OFFSET($AM$3,0,0,'Données projet'!$E$10+1,1))-AVERAGE(OFFSET($H$3,0,0,'Données projet'!$E$10+1,1))</f>
        <v>676.7112666359476</v>
      </c>
      <c r="AO153" s="59">
        <f t="shared" si="144"/>
        <v>309.67876644201385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68.9720865862637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68.9720865862637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456.43852800000053</v>
      </c>
      <c r="BF153" s="13">
        <f t="shared" si="145"/>
        <v>103.12934553872023</v>
      </c>
      <c r="BG153" s="20">
        <f t="shared" si="115"/>
        <v>974.5807130799385</v>
      </c>
      <c r="BH153" s="59">
        <f t="shared" si="116"/>
        <v>1263.5314411126997</v>
      </c>
      <c r="BI153" s="59">
        <f ca="1">AVERAGE(OFFSET($BH$3,0,0,'Données projet'!$E$11+1,1))-AVERAGE(OFFSET($H$3,0,0,'Données projet'!$E$11+1,1))</f>
        <v>667.4887768032404</v>
      </c>
      <c r="BJ153" s="59">
        <f t="shared" si="146"/>
        <v>305.76944302827178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67.910977561859639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67.910977561859639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435.04297200000053</v>
      </c>
      <c r="CA153" s="13">
        <f t="shared" si="147"/>
        <v>98.84599533495539</v>
      </c>
      <c r="CB153" s="20">
        <f t="shared" si="118"/>
        <v>929.85661810838155</v>
      </c>
      <c r="CC153" s="59">
        <f t="shared" si="119"/>
        <v>1218.8073461411427</v>
      </c>
      <c r="CD153" s="59">
        <f ca="1">AVERAGE(OFFSET($CC$3,0,0,'Données projet'!$E$12+1,1))-AVERAGE(OFFSET($H$3,0,0,'Données projet'!$E$12+1,1))</f>
        <v>639.80378676828764</v>
      </c>
      <c r="CE153" s="59">
        <f t="shared" si="148"/>
        <v>294.03328334345281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64.727650488647441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64.727650488647441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-1.7053025658242404E-13</v>
      </c>
      <c r="CU153" s="17">
        <f>CT153*VLOOKUP('Données projet'!$B$13,Paramètres!$A$1:$I$89,3,0)*VLOOKUP('Données projet'!$B$13,Paramètres!$A$1:$I$89,5,0)</f>
        <v>-1.4897523215040567E-13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340.64710509454375</v>
      </c>
      <c r="CZ153" s="59">
        <f t="shared" si="150"/>
        <v>329.6409514360613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24.393326152577931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24.393326152577931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8.3249999999999993</v>
      </c>
      <c r="DO153" s="12">
        <f>IF('Données projet'!$A$166&gt;35,DO152+DN153-DW152,IF(A153&lt;'Données projet'!$A$166,$DL$205^A153,IF(A153='Données projet'!$A$166,'Données projet'!$B$166,DO152+DN153-DW152)))</f>
        <v>457.17000000000053</v>
      </c>
      <c r="DP153" s="17">
        <f>DO153*VLOOKUP('Données projet'!$B$14,Paramètres!$A$1:$I$89,3,0)*VLOOKUP('Données projet'!$B$14,Paramètres!$A$1:$I$89,5,0)</f>
        <v>442.17482400000057</v>
      </c>
      <c r="DQ153" s="13">
        <f t="shared" si="151"/>
        <v>100.27644605990184</v>
      </c>
      <c r="DR153" s="20">
        <f t="shared" si="124"/>
        <v>944.76929535432998</v>
      </c>
      <c r="DS153" s="59">
        <f t="shared" si="125"/>
        <v>1233.7200233870913</v>
      </c>
      <c r="DT153" s="59">
        <f ca="1">AVERAGE(OFFSET($DS$3,0,0,'Données projet'!$E$14+1,1))-AVERAGE(OFFSET($H$3,0,0,'Données projet'!$E$14+1,1))</f>
        <v>649.03508893149228</v>
      </c>
      <c r="DU153" s="59">
        <f t="shared" si="152"/>
        <v>297.94672581383213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65.788759513051502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65.788759513051502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8.3249999999999993</v>
      </c>
      <c r="EJ153" s="12">
        <f>IF('Données projet'!$A$192&gt;35,EJ152+EI153-ER152,IF(A153&lt;'Données projet'!$A$192,$EG$205^A153,IF(A153='Données projet'!$A$192,'Données projet'!$B$192,EJ152+EI153-ER152)))</f>
        <v>457.17000000000053</v>
      </c>
      <c r="EK153" s="17">
        <f>EJ153*VLOOKUP('Données projet'!$B$15,Paramètres!$A$1:$I$89,3,0)*VLOOKUP('Données projet'!$B$15,Paramètres!$A$1:$I$89,5,0)</f>
        <v>492.09778800000055</v>
      </c>
      <c r="EL153" s="13">
        <f t="shared" si="153"/>
        <v>110.21702728266624</v>
      </c>
      <c r="EM153" s="20">
        <f t="shared" si="127"/>
        <v>1049.0316366173113</v>
      </c>
      <c r="EN153" s="59">
        <f t="shared" si="128"/>
        <v>1337.9823646500724</v>
      </c>
      <c r="EO153" s="59">
        <f ca="1">AVERAGE(OFFSET($EN$3,0,0,'Données projet'!$E$15+1,1))-AVERAGE(OFFSET($H$3,0,0,'Données projet'!$E$15+1,1))</f>
        <v>713.57333631602273</v>
      </c>
      <c r="EP153" s="59">
        <f t="shared" si="154"/>
        <v>325.30302392555359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73.216522683879916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73.216522683879916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5.6843418860808015E-14</v>
      </c>
      <c r="FF153" s="17">
        <f>FE153*VLOOKUP('Données projet'!$B$16,Paramètres!$A$1:$I$89,3,0)*VLOOKUP('Données projet'!$B$16,Paramètres!$A$1:$I$89,5,0)</f>
        <v>4.4337866711430253E-14</v>
      </c>
      <c r="FG153" s="13">
        <f t="shared" si="155"/>
        <v>7.3222115536967035E-13</v>
      </c>
      <c r="FH153" s="20">
        <f t="shared" si="130"/>
        <v>1.3525069634579169E-12</v>
      </c>
      <c r="FI153" s="59">
        <f t="shared" si="131"/>
        <v>288.95072803276253</v>
      </c>
      <c r="FJ153" s="59">
        <f ca="1">AVERAGE(OFFSET($FI$3,0,0,'Données projet'!$E$16+1,1))-AVERAGE(OFFSET($H$3,0,0,'Données projet'!$E$16+1,1))</f>
        <v>302.04287561738482</v>
      </c>
      <c r="FK153" s="59">
        <f t="shared" si="156"/>
        <v>296.09828774694802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20.748941097309615</v>
      </c>
      <c r="FR153" s="21">
        <f>EXP(-LN(2)/25)*FR152+(1-EXP(-LN(2)/25))/(LN(2)/25)*Calculateur!FM153*Calculateur!FO153*VLOOKUP('Données projet'!$B$16,Paramètres!$A$1:$I$89,3,0)*0.475*44/12</f>
        <v>5.3878563331385649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26.13679743044818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-2.8421709430404007E-14</v>
      </c>
      <c r="GA153" s="17">
        <f>FZ153*VLOOKUP('Données projet'!$B$17,Paramètres!$A$1:$I$89,3,0)*VLOOKUP('Données projet'!$B$17,Paramètres!$A$1:$I$89,5,0)</f>
        <v>-2.3942448024172337E-14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385.41819366740276</v>
      </c>
      <c r="GF153" s="59">
        <f t="shared" si="158"/>
        <v>262.4625391252718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81.027034262206939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81.027034262206939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68.804744008934861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3.3000000000000003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12.100000000000001</v>
      </c>
      <c r="H154" s="67">
        <f t="shared" si="110"/>
        <v>208.26666666666665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8.3249999999999993</v>
      </c>
      <c r="N154" s="13">
        <f>IF('Données projet'!$A$36&gt;35,N153+M154-V153,IF(A154&lt;'Données projet'!$A$36,$K$205^A154,IF(A154='Données projet'!$A$36,'Données projet'!$B$36,N153+M154-V153)))</f>
        <v>465.49500000000052</v>
      </c>
      <c r="O154" s="13">
        <f>N154*VLOOKUP('Données projet'!$B$9,Paramètres!$A$1:$I$89,3,0)*VLOOKUP('Données projet'!$B$9,Paramètres!$A$1:$I$89,5,0)</f>
        <v>421.17987600000043</v>
      </c>
      <c r="P154" s="13">
        <f t="shared" si="141"/>
        <v>96.057581330707137</v>
      </c>
      <c r="Q154" s="20">
        <f t="shared" ref="Q154:Q203" si="162">(O154+P154)*0.475*44/12</f>
        <v>900.85523818431557</v>
      </c>
      <c r="R154" s="59">
        <f t="shared" si="109"/>
        <v>1189.881994621004</v>
      </c>
      <c r="S154" s="59">
        <f ca="1">AVERAGE(OFFSET($R$3,0,0,'Données projet'!$E$9+1,1))-AVERAGE(OFFSET($H$3,0,0,'Données projet'!$E$9+1,1))</f>
        <v>612.09138396952153</v>
      </c>
      <c r="T154" s="59">
        <f t="shared" si="142"/>
        <v>282.284310393542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60.33747677158928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60.33747677158928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472.01193000000058</v>
      </c>
      <c r="AK154" s="13">
        <f t="shared" ref="AK154:AK203" si="164">EXP(-1.0587+0.8836*LN(AJ154)+0.284)</f>
        <v>106.23238063605056</v>
      </c>
      <c r="AL154" s="20">
        <f t="shared" ref="AL154:AL203" si="165">(AJ154+AK154)*0.475*44/12</f>
        <v>1007.108841024456</v>
      </c>
      <c r="AM154" s="59">
        <f t="shared" si="113"/>
        <v>1296.1355974611445</v>
      </c>
      <c r="AN154" s="59">
        <f ca="1">AVERAGE(OFFSET($AM$3,0,0,'Données projet'!$E$10+1,1))-AVERAGE(OFFSET($H$3,0,0,'Données projet'!$E$10+1,1))</f>
        <v>676.7112666359476</v>
      </c>
      <c r="AO154" s="59">
        <f t="shared" si="144"/>
        <v>309.67876644201385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67.619586037125941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67.619586037125941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464.75020800000061</v>
      </c>
      <c r="BF154" s="13">
        <f t="shared" ref="BF154:BF203" si="167">EXP(-1.0587+0.8836*LN(BE154)+0.284)</f>
        <v>104.78697350264987</v>
      </c>
      <c r="BG154" s="20">
        <f t="shared" ref="BG154:BG203" si="168">(BE154+BF154)*0.475*44/12</f>
        <v>991.94392445044957</v>
      </c>
      <c r="BH154" s="59">
        <f t="shared" si="116"/>
        <v>1280.9706808871381</v>
      </c>
      <c r="BI154" s="59">
        <f ca="1">AVERAGE(OFFSET($BH$3,0,0,'Données projet'!$E$11+1,1))-AVERAGE(OFFSET($H$3,0,0,'Données projet'!$E$11+1,1))</f>
        <v>667.4887768032404</v>
      </c>
      <c r="BJ154" s="59">
        <f t="shared" si="146"/>
        <v>305.76944302827178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66.579284713477847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66.579284713477847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442.96504200000049</v>
      </c>
      <c r="CA154" s="13">
        <f t="shared" ref="CA154:CA203" si="170">EXP(-1.0587+0.8836*LN(BZ154)+0.284)</f>
        <v>100.43477576533398</v>
      </c>
      <c r="CB154" s="20">
        <f t="shared" ref="CB154:CB203" si="171">(BZ154+CA154)*0.475*44/12</f>
        <v>946.42134927462405</v>
      </c>
      <c r="CC154" s="59">
        <f t="shared" si="119"/>
        <v>1235.4481057113126</v>
      </c>
      <c r="CD154" s="59">
        <f ca="1">AVERAGE(OFFSET($CC$3,0,0,'Données projet'!$E$12+1,1))-AVERAGE(OFFSET($H$3,0,0,'Données projet'!$E$12+1,1))</f>
        <v>639.80378676828764</v>
      </c>
      <c r="CE154" s="59">
        <f t="shared" si="148"/>
        <v>294.03328334345281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63.458380742533542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63.458380742533542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-1.7053025658242404E-13</v>
      </c>
      <c r="CU154" s="17">
        <f>CT154*VLOOKUP('Données projet'!$B$13,Paramètres!$A$1:$I$89,3,0)*VLOOKUP('Données projet'!$B$13,Paramètres!$A$1:$I$89,5,0)</f>
        <v>-1.4897523215040567E-13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340.64710509454375</v>
      </c>
      <c r="CZ154" s="59">
        <f t="shared" si="150"/>
        <v>329.6409514360613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23.914987905185704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23.914987905185704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8.3249999999999993</v>
      </c>
      <c r="DO154" s="12">
        <f>IF('Données projet'!$A$166&gt;35,DO153+DN154-DW153,IF(A154&lt;'Données projet'!$A$166,$DL$205^A154,IF(A154='Données projet'!$A$166,'Données projet'!$B$166,DO153+DN154-DW153)))</f>
        <v>465.49500000000052</v>
      </c>
      <c r="DP154" s="17">
        <f>DO154*VLOOKUP('Données projet'!$B$14,Paramètres!$A$1:$I$89,3,0)*VLOOKUP('Données projet'!$B$14,Paramètres!$A$1:$I$89,5,0)</f>
        <v>450.22676400000051</v>
      </c>
      <c r="DQ154" s="13">
        <f t="shared" ref="DQ154:DQ203" si="176">EXP(-1.0587+0.8836*LN(DP154)+0.284)</f>
        <v>101.88821854080018</v>
      </c>
      <c r="DR154" s="20">
        <f t="shared" ref="DR154:DR203" si="177">(DP154+DQ154)*0.475*44/12</f>
        <v>961.6002612585612</v>
      </c>
      <c r="DS154" s="59">
        <f t="shared" si="125"/>
        <v>1250.6270176952496</v>
      </c>
      <c r="DT154" s="59">
        <f ca="1">AVERAGE(OFFSET($DS$3,0,0,'Données projet'!$E$14+1,1))-AVERAGE(OFFSET($H$3,0,0,'Données projet'!$E$14+1,1))</f>
        <v>649.03508893149228</v>
      </c>
      <c r="DU154" s="59">
        <f t="shared" si="152"/>
        <v>297.94672581383213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64.49868206618163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64.49868206618163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8.3249999999999993</v>
      </c>
      <c r="EJ154" s="12">
        <f>IF('Données projet'!$A$192&gt;35,EJ153+EI154-ER153,IF(A154&lt;'Données projet'!$A$192,$EG$205^A154,IF(A154='Données projet'!$A$192,'Données projet'!$B$192,EJ153+EI154-ER153)))</f>
        <v>465.49500000000052</v>
      </c>
      <c r="EK154" s="17">
        <f>EJ154*VLOOKUP('Données projet'!$B$15,Paramètres!$A$1:$I$89,3,0)*VLOOKUP('Données projet'!$B$15,Paramètres!$A$1:$I$89,5,0)</f>
        <v>501.05881800000054</v>
      </c>
      <c r="EL154" s="13">
        <f t="shared" ref="EL154:EL203" si="179">EXP(-1.0587+0.8836*LN(EK154)+0.284)</f>
        <v>111.9885776165752</v>
      </c>
      <c r="EM154" s="20">
        <f t="shared" ref="EM154:EM203" si="180">(EK154+EL154)*0.475*44/12</f>
        <v>1067.7242140322026</v>
      </c>
      <c r="EN154" s="59">
        <f t="shared" si="128"/>
        <v>1356.750970468891</v>
      </c>
      <c r="EO154" s="59">
        <f ca="1">AVERAGE(OFFSET($EN$3,0,0,'Données projet'!$E$15+1,1))-AVERAGE(OFFSET($H$3,0,0,'Données projet'!$E$15+1,1))</f>
        <v>713.57333631602273</v>
      </c>
      <c r="EP154" s="59">
        <f t="shared" si="154"/>
        <v>325.30302392555359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71.780791331718291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71.780791331718291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5.6843418860808015E-14</v>
      </c>
      <c r="FF154" s="17">
        <f>FE154*VLOOKUP('Données projet'!$B$16,Paramètres!$A$1:$I$89,3,0)*VLOOKUP('Données projet'!$B$16,Paramètres!$A$1:$I$89,5,0)</f>
        <v>4.4337866711430253E-14</v>
      </c>
      <c r="FG154" s="13">
        <f t="shared" ref="FG154:FG203" si="182">EXP(-1.0587+0.8836*LN(FF154)+0.284)</f>
        <v>7.3222115536967035E-13</v>
      </c>
      <c r="FH154" s="20">
        <f t="shared" ref="FH154:FH203" si="183">(FF154+FG154)*0.475*44/12</f>
        <v>1.3525069634579169E-12</v>
      </c>
      <c r="FI154" s="59">
        <f t="shared" si="131"/>
        <v>289.02675643668982</v>
      </c>
      <c r="FJ154" s="59">
        <f ca="1">AVERAGE(OFFSET($FI$3,0,0,'Données projet'!$E$16+1,1))-AVERAGE(OFFSET($H$3,0,0,'Données projet'!$E$16+1,1))</f>
        <v>302.04287561738482</v>
      </c>
      <c r="FK154" s="59">
        <f t="shared" si="156"/>
        <v>296.09828774694802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20.342067017995806</v>
      </c>
      <c r="FR154" s="21">
        <f>EXP(-LN(2)/25)*FR153+(1-EXP(-LN(2)/25))/(LN(2)/25)*Calculateur!FM154*Calculateur!FO154*VLOOKUP('Données projet'!$B$16,Paramètres!$A$1:$I$89,3,0)*0.475*44/12</f>
        <v>5.2405251183738404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25.582592136369648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-2.8421709430404007E-14</v>
      </c>
      <c r="GA154" s="17">
        <f>FZ154*VLOOKUP('Données projet'!$B$17,Paramètres!$A$1:$I$89,3,0)*VLOOKUP('Données projet'!$B$17,Paramètres!$A$1:$I$89,5,0)</f>
        <v>-2.3942448024172337E-14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385.41819366740276</v>
      </c>
      <c r="GF154" s="59">
        <f t="shared" si="158"/>
        <v>262.4625391252718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79.438143541935986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79.438143541935986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68.825479028187758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3.3000000000000003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12.100000000000001</v>
      </c>
      <c r="H155" s="67">
        <f t="shared" si="110"/>
        <v>208.26666666666665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8.3249999999999993</v>
      </c>
      <c r="N155" s="13">
        <f>IF('Données projet'!$A$36&gt;35,N154+M155-V154,IF(A155&lt;'Données projet'!$A$36,$K$205^A155,IF(A155='Données projet'!$A$36,'Données projet'!$B$36,N154+M155-V154)))</f>
        <v>473.8200000000005</v>
      </c>
      <c r="O155" s="13">
        <f>N155*VLOOKUP('Données projet'!$B$9,Paramètres!$A$1:$I$89,3,0)*VLOOKUP('Données projet'!$B$9,Paramètres!$A$1:$I$89,5,0)</f>
        <v>428.71233600000051</v>
      </c>
      <c r="P155" s="13">
        <f t="shared" si="141"/>
        <v>97.57395866550209</v>
      </c>
      <c r="Q155" s="20">
        <f t="shared" si="162"/>
        <v>916.61529654241701</v>
      </c>
      <c r="R155" s="59">
        <f t="shared" si="109"/>
        <v>1205.7167624601987</v>
      </c>
      <c r="S155" s="59">
        <f ca="1">AVERAGE(OFFSET($R$3,0,0,'Données projet'!$E$9+1,1))-AVERAGE(OFFSET($H$3,0,0,'Données projet'!$E$9+1,1))</f>
        <v>612.09138396952153</v>
      </c>
      <c r="T155" s="59">
        <f t="shared" si="142"/>
        <v>282.284310393542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59.154295654325324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59.154295654325324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480.45348000000058</v>
      </c>
      <c r="AK155" s="13">
        <f t="shared" si="164"/>
        <v>107.90937866146631</v>
      </c>
      <c r="AL155" s="20">
        <f t="shared" si="165"/>
        <v>1024.7319788353882</v>
      </c>
      <c r="AM155" s="59">
        <f t="shared" si="113"/>
        <v>1313.8334447531699</v>
      </c>
      <c r="AN155" s="59">
        <f ca="1">AVERAGE(OFFSET($AM$3,0,0,'Données projet'!$E$10+1,1))-AVERAGE(OFFSET($H$3,0,0,'Données projet'!$E$10+1,1))</f>
        <v>676.7112666359476</v>
      </c>
      <c r="AO155" s="59">
        <f t="shared" si="144"/>
        <v>309.67876644201385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66.293607198812893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66.293607198812893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473.06188800000052</v>
      </c>
      <c r="BF155" s="13">
        <f t="shared" si="167"/>
        <v>106.4411541451346</v>
      </c>
      <c r="BG155" s="20">
        <f t="shared" si="168"/>
        <v>1009.3011317361103</v>
      </c>
      <c r="BH155" s="59">
        <f t="shared" si="116"/>
        <v>1298.4025976538919</v>
      </c>
      <c r="BI155" s="59">
        <f ca="1">AVERAGE(OFFSET($BH$3,0,0,'Données projet'!$E$11+1,1))-AVERAGE(OFFSET($H$3,0,0,'Données projet'!$E$11+1,1))</f>
        <v>667.4887768032404</v>
      </c>
      <c r="BJ155" s="59">
        <f t="shared" si="146"/>
        <v>305.76944302827178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65.273705549600379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65.273705549600379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450.88711200000051</v>
      </c>
      <c r="CA155" s="13">
        <f t="shared" si="170"/>
        <v>102.02025205451328</v>
      </c>
      <c r="CB155" s="20">
        <f t="shared" si="171"/>
        <v>962.98032572827799</v>
      </c>
      <c r="CC155" s="59">
        <f t="shared" si="119"/>
        <v>1252.0817916460596</v>
      </c>
      <c r="CD155" s="59">
        <f ca="1">AVERAGE(OFFSET($CC$3,0,0,'Données projet'!$E$12+1,1))-AVERAGE(OFFSET($H$3,0,0,'Données projet'!$E$12+1,1))</f>
        <v>639.80378676828764</v>
      </c>
      <c r="CE155" s="59">
        <f t="shared" si="148"/>
        <v>294.03328334345281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62.21400060196283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62.21400060196283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-1.7053025658242404E-13</v>
      </c>
      <c r="CU155" s="17">
        <f>CT155*VLOOKUP('Données projet'!$B$13,Paramètres!$A$1:$I$89,3,0)*VLOOKUP('Données projet'!$B$13,Paramètres!$A$1:$I$89,5,0)</f>
        <v>-1.4897523215040567E-13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340.64710509454375</v>
      </c>
      <c r="CZ155" s="59">
        <f t="shared" si="150"/>
        <v>329.6409514360613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23.446029579067318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23.446029579067318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8.3249999999999993</v>
      </c>
      <c r="DO155" s="12">
        <f>IF('Données projet'!$A$166&gt;35,DO154+DN155-DW154,IF(A155&lt;'Données projet'!$A$166,$DL$205^A155,IF(A155='Données projet'!$A$166,'Données projet'!$B$166,DO154+DN155-DW154)))</f>
        <v>473.8200000000005</v>
      </c>
      <c r="DP155" s="17">
        <f>DO155*VLOOKUP('Données projet'!$B$14,Paramètres!$A$1:$I$89,3,0)*VLOOKUP('Données projet'!$B$14,Paramètres!$A$1:$I$89,5,0)</f>
        <v>458.27870400000052</v>
      </c>
      <c r="DQ155" s="13">
        <f t="shared" si="176"/>
        <v>103.49663906458966</v>
      </c>
      <c r="DR155" s="20">
        <f t="shared" si="177"/>
        <v>978.42538917082777</v>
      </c>
      <c r="DS155" s="59">
        <f t="shared" si="125"/>
        <v>1267.5268550886094</v>
      </c>
      <c r="DT155" s="59">
        <f ca="1">AVERAGE(OFFSET($DS$3,0,0,'Données projet'!$E$14+1,1))-AVERAGE(OFFSET($H$3,0,0,'Données projet'!$E$14+1,1))</f>
        <v>649.03508893149228</v>
      </c>
      <c r="DU155" s="59">
        <f t="shared" si="152"/>
        <v>297.94672581383213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63.233902251175337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63.233902251175337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8.3249999999999993</v>
      </c>
      <c r="EJ155" s="12">
        <f>IF('Données projet'!$A$192&gt;35,EJ154+EI155-ER154,IF(A155&lt;'Données projet'!$A$192,$EG$205^A155,IF(A155='Données projet'!$A$192,'Données projet'!$B$192,EJ154+EI155-ER154)))</f>
        <v>473.8200000000005</v>
      </c>
      <c r="EK155" s="17">
        <f>EJ155*VLOOKUP('Données projet'!$B$15,Paramètres!$A$1:$I$89,3,0)*VLOOKUP('Données projet'!$B$15,Paramètres!$A$1:$I$89,5,0)</f>
        <v>510.01984800000048</v>
      </c>
      <c r="EL155" s="13">
        <f t="shared" si="179"/>
        <v>113.7564437079464</v>
      </c>
      <c r="EM155" s="20">
        <f t="shared" si="180"/>
        <v>1086.4103747246743</v>
      </c>
      <c r="EN155" s="59">
        <f t="shared" si="128"/>
        <v>1375.511840642456</v>
      </c>
      <c r="EO155" s="59">
        <f ca="1">AVERAGE(OFFSET($EN$3,0,0,'Données projet'!$E$15+1,1))-AVERAGE(OFFSET($H$3,0,0,'Données projet'!$E$15+1,1))</f>
        <v>713.57333631602273</v>
      </c>
      <c r="EP155" s="59">
        <f t="shared" si="154"/>
        <v>325.30302392555359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70.373213795662892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70.373213795662892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5.6843418860808015E-14</v>
      </c>
      <c r="FF155" s="17">
        <f>FE155*VLOOKUP('Données projet'!$B$16,Paramètres!$A$1:$I$89,3,0)*VLOOKUP('Données projet'!$B$16,Paramètres!$A$1:$I$89,5,0)</f>
        <v>4.4337866711430253E-14</v>
      </c>
      <c r="FG155" s="13">
        <f t="shared" si="182"/>
        <v>7.3222115536967035E-13</v>
      </c>
      <c r="FH155" s="20">
        <f t="shared" si="183"/>
        <v>1.3525069634579169E-12</v>
      </c>
      <c r="FI155" s="59">
        <f t="shared" si="131"/>
        <v>289.10146591778306</v>
      </c>
      <c r="FJ155" s="59">
        <f ca="1">AVERAGE(OFFSET($FI$3,0,0,'Données projet'!$E$16+1,1))-AVERAGE(OFFSET($H$3,0,0,'Données projet'!$E$16+1,1))</f>
        <v>302.04287561738482</v>
      </c>
      <c r="FK155" s="59">
        <f t="shared" si="156"/>
        <v>296.09828774694802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19.943171491208656</v>
      </c>
      <c r="FR155" s="21">
        <f>EXP(-LN(2)/25)*FR154+(1-EXP(-LN(2)/25))/(LN(2)/25)*Calculateur!FM155*Calculateur!FO155*VLOOKUP('Données projet'!$B$16,Paramètres!$A$1:$I$89,3,0)*0.475*44/12</f>
        <v>5.0972226834246692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25.040394174633324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-2.8421709430404007E-14</v>
      </c>
      <c r="GA155" s="17">
        <f>FZ155*VLOOKUP('Données projet'!$B$17,Paramètres!$A$1:$I$89,3,0)*VLOOKUP('Données projet'!$B$17,Paramètres!$A$1:$I$89,5,0)</f>
        <v>-2.3942448024172337E-14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385.41819366740276</v>
      </c>
      <c r="GF155" s="59">
        <f t="shared" si="158"/>
        <v>262.4625391252718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77.880409999561891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77.880409999561891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68.845854341213197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3.3000000000000003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12.100000000000001</v>
      </c>
      <c r="H156" s="67">
        <f t="shared" si="110"/>
        <v>208.26666666666665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8.3249999999999993</v>
      </c>
      <c r="N156" s="13">
        <f>IF('Données projet'!$A$36&gt;35,N155+M156-V155,IF(A156&lt;'Données projet'!$A$36,$K$205^A156,IF(A156='Données projet'!$A$36,'Données projet'!$B$36,N155+M156-V155)))</f>
        <v>482.14500000000049</v>
      </c>
      <c r="O156" s="13">
        <f>N156*VLOOKUP('Données projet'!$B$9,Paramètres!$A$1:$I$89,3,0)*VLOOKUP('Données projet'!$B$9,Paramètres!$A$1:$I$89,5,0)</f>
        <v>436.24479600000041</v>
      </c>
      <c r="P156" s="13">
        <f t="shared" si="141"/>
        <v>99.087237791231857</v>
      </c>
      <c r="Q156" s="20">
        <f t="shared" si="162"/>
        <v>932.36995885306271</v>
      </c>
      <c r="R156" s="59">
        <f t="shared" si="109"/>
        <v>1221.544838209466</v>
      </c>
      <c r="S156" s="59">
        <f ca="1">AVERAGE(OFFSET($R$3,0,0,'Données projet'!$E$9+1,1))-AVERAGE(OFFSET($H$3,0,0,'Données projet'!$E$9+1,1))</f>
        <v>612.09138396952153</v>
      </c>
      <c r="T156" s="59">
        <f t="shared" si="142"/>
        <v>282.284310393542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57.994315997101694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57.994315997101694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488.89503000000053</v>
      </c>
      <c r="AK156" s="13">
        <f t="shared" si="164"/>
        <v>109.582950303247</v>
      </c>
      <c r="AL156" s="20">
        <f t="shared" si="165"/>
        <v>1042.349149028156</v>
      </c>
      <c r="AM156" s="59">
        <f t="shared" si="113"/>
        <v>1331.5240283845594</v>
      </c>
      <c r="AN156" s="59">
        <f ca="1">AVERAGE(OFFSET($AM$3,0,0,'Données projet'!$E$10+1,1))-AVERAGE(OFFSET($H$3,0,0,'Données projet'!$E$10+1,1))</f>
        <v>676.7112666359476</v>
      </c>
      <c r="AO156" s="59">
        <f t="shared" si="144"/>
        <v>309.67876644201385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64.993629996751935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64.993629996751935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481.37356800000049</v>
      </c>
      <c r="BF156" s="13">
        <f t="shared" si="167"/>
        <v>108.09195502366209</v>
      </c>
      <c r="BG156" s="20">
        <f t="shared" si="168"/>
        <v>1026.6524525995455</v>
      </c>
      <c r="BH156" s="59">
        <f t="shared" si="116"/>
        <v>1315.8273319559489</v>
      </c>
      <c r="BI156" s="59">
        <f ca="1">AVERAGE(OFFSET($BH$3,0,0,'Données projet'!$E$11+1,1))-AVERAGE(OFFSET($H$3,0,0,'Données projet'!$E$11+1,1))</f>
        <v>667.4887768032404</v>
      </c>
      <c r="BJ156" s="59">
        <f t="shared" si="146"/>
        <v>305.76944302827178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63.993727996801894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63.993727996801894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458.80918200000048</v>
      </c>
      <c r="CA156" s="13">
        <f t="shared" si="170"/>
        <v>103.60248895406399</v>
      </c>
      <c r="CB156" s="20">
        <f t="shared" si="171"/>
        <v>979.53366024499553</v>
      </c>
      <c r="CC156" s="59">
        <f t="shared" si="119"/>
        <v>1268.708539601399</v>
      </c>
      <c r="CD156" s="59">
        <f ca="1">AVERAGE(OFFSET($CC$3,0,0,'Données projet'!$E$12+1,1))-AVERAGE(OFFSET($H$3,0,0,'Données projet'!$E$12+1,1))</f>
        <v>639.80378676828764</v>
      </c>
      <c r="CE156" s="59">
        <f t="shared" si="148"/>
        <v>294.03328334345281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60.994021996951773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60.994021996951773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-1.7053025658242404E-13</v>
      </c>
      <c r="CU156" s="17">
        <f>CT156*VLOOKUP('Données projet'!$B$13,Paramètres!$A$1:$I$89,3,0)*VLOOKUP('Données projet'!$B$13,Paramètres!$A$1:$I$89,5,0)</f>
        <v>-1.4897523215040567E-13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340.64710509454375</v>
      </c>
      <c r="CZ156" s="59">
        <f t="shared" si="150"/>
        <v>329.6409514360613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22.986267239687777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22.986267239687777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8.3249999999999993</v>
      </c>
      <c r="DO156" s="12">
        <f>IF('Données projet'!$A$166&gt;35,DO155+DN156-DW155,IF(A156&lt;'Données projet'!$A$166,$DL$205^A156,IF(A156='Données projet'!$A$166,'Données projet'!$B$166,DO155+DN156-DW155)))</f>
        <v>482.14500000000049</v>
      </c>
      <c r="DP156" s="17">
        <f>DO156*VLOOKUP('Données projet'!$B$14,Paramètres!$A$1:$I$89,3,0)*VLOOKUP('Données projet'!$B$14,Paramètres!$A$1:$I$89,5,0)</f>
        <v>466.33064400000052</v>
      </c>
      <c r="DQ156" s="13">
        <f t="shared" si="176"/>
        <v>105.10177331989394</v>
      </c>
      <c r="DR156" s="20">
        <f t="shared" si="177"/>
        <v>995.24479349881619</v>
      </c>
      <c r="DS156" s="59">
        <f t="shared" si="125"/>
        <v>1284.4196728552197</v>
      </c>
      <c r="DT156" s="59">
        <f ca="1">AVERAGE(OFFSET($DS$3,0,0,'Données projet'!$E$14+1,1))-AVERAGE(OFFSET($H$3,0,0,'Données projet'!$E$14+1,1))</f>
        <v>649.03508893149228</v>
      </c>
      <c r="DU156" s="59">
        <f t="shared" si="152"/>
        <v>297.94672581383213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61.993923996901799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61.993923996901799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8.3249999999999993</v>
      </c>
      <c r="EJ156" s="12">
        <f>IF('Données projet'!$A$192&gt;35,EJ155+EI156-ER155,IF(A156&lt;'Données projet'!$A$192,$EG$205^A156,IF(A156='Données projet'!$A$192,'Données projet'!$B$192,EJ155+EI156-ER155)))</f>
        <v>482.14500000000049</v>
      </c>
      <c r="EK156" s="17">
        <f>EJ156*VLOOKUP('Données projet'!$B$15,Paramètres!$A$1:$I$89,3,0)*VLOOKUP('Données projet'!$B$15,Paramètres!$A$1:$I$89,5,0)</f>
        <v>518.98087800000053</v>
      </c>
      <c r="EL156" s="13">
        <f t="shared" si="179"/>
        <v>115.52069775723253</v>
      </c>
      <c r="EM156" s="20">
        <f t="shared" si="180"/>
        <v>1105.0902444438475</v>
      </c>
      <c r="EN156" s="59">
        <f t="shared" si="128"/>
        <v>1394.2651238002509</v>
      </c>
      <c r="EO156" s="59">
        <f ca="1">AVERAGE(OFFSET($EN$3,0,0,'Données projet'!$E$15+1,1))-AVERAGE(OFFSET($H$3,0,0,'Données projet'!$E$15+1,1))</f>
        <v>713.57333631602273</v>
      </c>
      <c r="EP156" s="59">
        <f t="shared" si="154"/>
        <v>325.30302392555359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68.993237996552025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68.993237996552025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5.6843418860808015E-14</v>
      </c>
      <c r="FF156" s="17">
        <f>FE156*VLOOKUP('Données projet'!$B$16,Paramètres!$A$1:$I$89,3,0)*VLOOKUP('Données projet'!$B$16,Paramètres!$A$1:$I$89,5,0)</f>
        <v>4.4337866711430253E-14</v>
      </c>
      <c r="FG156" s="13">
        <f t="shared" si="182"/>
        <v>7.3222115536967035E-13</v>
      </c>
      <c r="FH156" s="20">
        <f t="shared" si="183"/>
        <v>1.3525069634579169E-12</v>
      </c>
      <c r="FI156" s="59">
        <f t="shared" si="131"/>
        <v>289.17487935640474</v>
      </c>
      <c r="FJ156" s="59">
        <f ca="1">AVERAGE(OFFSET($FI$3,0,0,'Données projet'!$E$16+1,1))-AVERAGE(OFFSET($H$3,0,0,'Données projet'!$E$16+1,1))</f>
        <v>302.04287561738482</v>
      </c>
      <c r="FK156" s="59">
        <f t="shared" si="156"/>
        <v>296.09828774694802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19.552098062399555</v>
      </c>
      <c r="FR156" s="21">
        <f>EXP(-LN(2)/25)*FR155+(1-EXP(-LN(2)/25))/(LN(2)/25)*Calculateur!FM156*Calculateur!FO156*VLOOKUP('Données projet'!$B$16,Paramètres!$A$1:$I$89,3,0)*0.475*44/12</f>
        <v>4.9578388610951309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24.509936923494685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-2.8421709430404007E-14</v>
      </c>
      <c r="GA156" s="17">
        <f>FZ156*VLOOKUP('Données projet'!$B$17,Paramètres!$A$1:$I$89,3,0)*VLOOKUP('Données projet'!$B$17,Paramètres!$A$1:$I$89,5,0)</f>
        <v>-2.3942448024172337E-14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385.41819366740276</v>
      </c>
      <c r="GF156" s="59">
        <f t="shared" si="158"/>
        <v>262.4625391252718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76.353222661830117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76.353222661830117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68.865876188110008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3.3000000000000003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12.100000000000001</v>
      </c>
      <c r="H157" s="67">
        <f t="shared" si="110"/>
        <v>208.26666666666665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490.47</v>
      </c>
      <c r="L157" s="12">
        <f>VLOOKUP(A157,'Données projet'!$A$35:$I$55,9,0)</f>
        <v>8.3249999999999993</v>
      </c>
      <c r="M157" s="12">
        <f t="array" ref="M157">INDEX(L:L,MIN(IF(ISNUMBER(L157:L353),ROW(L157:L353),"")))</f>
        <v>8.3249999999999993</v>
      </c>
      <c r="N157" s="13">
        <f>IF('Données projet'!$A$36&gt;35,N156+M157-V156,IF(A157&lt;'Données projet'!$A$36,$K$205^A157,IF(A157='Données projet'!$A$36,'Données projet'!$B$36,N156+M157-V156)))</f>
        <v>490.47000000000048</v>
      </c>
      <c r="O157" s="13">
        <f>N157*VLOOKUP('Données projet'!$B$9,Paramètres!$A$1:$I$89,3,0)*VLOOKUP('Données projet'!$B$9,Paramètres!$A$1:$I$89,5,0)</f>
        <v>443.77725600000048</v>
      </c>
      <c r="P157" s="13">
        <f t="shared" si="141"/>
        <v>100.59747837627934</v>
      </c>
      <c r="Q157" s="20">
        <f t="shared" si="162"/>
        <v>948.11932903868717</v>
      </c>
      <c r="R157" s="59">
        <f t="shared" si="109"/>
        <v>1237.3663482746799</v>
      </c>
      <c r="S157" s="59">
        <f ca="1">AVERAGE(OFFSET($R$3,0,0,'Données projet'!$E$9+1,1))-AVERAGE(OFFSET($H$3,0,0,'Données projet'!$E$9+1,1))</f>
        <v>612.09138396952153</v>
      </c>
      <c r="T157" s="59">
        <f t="shared" si="142"/>
        <v>282.284310393542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0.25800000000000001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71.083888549708462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71.083888549708462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497.33658000000054</v>
      </c>
      <c r="AK157" s="13">
        <f t="shared" si="164"/>
        <v>111.2531615500869</v>
      </c>
      <c r="AL157" s="20">
        <f t="shared" si="165"/>
        <v>1059.9604665330687</v>
      </c>
      <c r="AM157" s="59">
        <f t="shared" si="113"/>
        <v>1349.2074857690616</v>
      </c>
      <c r="AN157" s="59">
        <f ca="1">AVERAGE(OFFSET($AM$3,0,0,'Données projet'!$E$10+1,1))-AVERAGE(OFFSET($H$3,0,0,'Données projet'!$E$10+1,1))</f>
        <v>676.7112666359476</v>
      </c>
      <c r="AO157" s="59">
        <f t="shared" si="144"/>
        <v>309.67876644201385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79.662978547087107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79.662978547087107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489.68524800000046</v>
      </c>
      <c r="BF157" s="13">
        <f t="shared" si="167"/>
        <v>109.73944122907854</v>
      </c>
      <c r="BG157" s="20">
        <f t="shared" si="168"/>
        <v>1043.9980004073127</v>
      </c>
      <c r="BH157" s="59">
        <f t="shared" si="116"/>
        <v>1333.2450196433056</v>
      </c>
      <c r="BI157" s="59">
        <f ca="1">AVERAGE(OFFSET($BH$3,0,0,'Données projet'!$E$11+1,1))-AVERAGE(OFFSET($H$3,0,0,'Données projet'!$E$11+1,1))</f>
        <v>667.4887768032404</v>
      </c>
      <c r="BJ157" s="59">
        <f t="shared" si="146"/>
        <v>305.76944302827178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78.437394261747301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78.437394261747301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466.7312520000005</v>
      </c>
      <c r="CA157" s="13">
        <f t="shared" si="170"/>
        <v>105.18154885136397</v>
      </c>
      <c r="CB157" s="20">
        <f t="shared" si="171"/>
        <v>996.08146148279309</v>
      </c>
      <c r="CC157" s="59">
        <f t="shared" si="119"/>
        <v>1285.3284807187858</v>
      </c>
      <c r="CD157" s="59">
        <f ca="1">AVERAGE(OFFSET($CC$3,0,0,'Données projet'!$E$12+1,1))-AVERAGE(OFFSET($H$3,0,0,'Données projet'!$E$12+1,1))</f>
        <v>639.80378676828764</v>
      </c>
      <c r="CE157" s="59">
        <f t="shared" si="148"/>
        <v>294.03328334345281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0.25800000000000001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74.760641405727867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74.760641405727867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-1.7053025658242404E-13</v>
      </c>
      <c r="CU157" s="17">
        <f>CT157*VLOOKUP('Données projet'!$B$13,Paramètres!$A$1:$I$89,3,0)*VLOOKUP('Données projet'!$B$13,Paramètres!$A$1:$I$89,5,0)</f>
        <v>-1.4897523215040567E-13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340.64710509454375</v>
      </c>
      <c r="CZ157" s="59">
        <f t="shared" si="150"/>
        <v>329.6409514360613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22.535520559356133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22.535520559356133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>
        <f>VLOOKUP(A157,'Données projet'!$A$165:$I$185,2,0)</f>
        <v>490.47</v>
      </c>
      <c r="DM157" s="12">
        <f>VLOOKUP(A157,'Données projet'!$A$165:$I$185,9,0)</f>
        <v>8.3249999999999993</v>
      </c>
      <c r="DN157" s="12">
        <f t="array" ref="DN157">INDEX(DM:DM,MIN(IF(ISNUMBER(DM157:DM353),ROW(DM157:DM353),"")))</f>
        <v>8.3249999999999993</v>
      </c>
      <c r="DO157" s="12">
        <f>IF('Données projet'!$A$166&gt;35,DO156+DN157-DW156,IF(A157&lt;'Données projet'!$A$166,$DL$205^A157,IF(A157='Données projet'!$A$166,'Données projet'!$B$166,DO156+DN157-DW156)))</f>
        <v>490.47000000000048</v>
      </c>
      <c r="DP157" s="17">
        <f>DO157*VLOOKUP('Données projet'!$B$14,Paramètres!$A$1:$I$89,3,0)*VLOOKUP('Données projet'!$B$14,Paramètres!$A$1:$I$89,5,0)</f>
        <v>474.38258400000052</v>
      </c>
      <c r="DQ157" s="13">
        <f t="shared" si="176"/>
        <v>106.70368459693037</v>
      </c>
      <c r="DR157" s="20">
        <f t="shared" si="177"/>
        <v>1012.0585844729879</v>
      </c>
      <c r="DS157" s="59">
        <f t="shared" si="125"/>
        <v>1301.3056037089807</v>
      </c>
      <c r="DT157" s="59">
        <f ca="1">AVERAGE(OFFSET($DS$3,0,0,'Données projet'!$E$14+1,1))-AVERAGE(OFFSET($H$3,0,0,'Données projet'!$E$14+1,1))</f>
        <v>649.03508893149228</v>
      </c>
      <c r="DU157" s="59">
        <f t="shared" si="152"/>
        <v>297.94672581383213</v>
      </c>
      <c r="DV157" s="15">
        <f>IF(ISNA(VLOOKUP(A157,'Données projet'!$A$165:$I$185,3,0)),0,VLOOKUP(A157,'Données projet'!$A$165:$I$185,3,0))</f>
        <v>13</v>
      </c>
      <c r="DW157" s="15">
        <f>IF(ISNA(VLOOKUP(A157,'Données projet'!$A$165:$I$185,4,0)),0,VLOOKUP(A157,'Données projet'!$A$165:$I$185,4,0))</f>
        <v>55.13</v>
      </c>
      <c r="DX157" s="16">
        <f>IF(ISNA(VLOOKUP(A157,'Données projet'!$A$165:$I$185,5,0)),0%,VLOOKUP(A157,'Données projet'!$A$165:$I$185,5,0)*VLOOKUP('Données projet'!$B$14,Paramètres!$A$1:$I$89,7,0))</f>
        <v>0.25800000000000001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75.986225691067673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75.986225691067673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>
        <f>VLOOKUP(A157,'Données projet'!$A$191:$I$211,2,0)</f>
        <v>490.47</v>
      </c>
      <c r="EH157" s="12">
        <f>VLOOKUP(A157,'Données projet'!$A$191:$I$211,9,0)</f>
        <v>8.3249999999999993</v>
      </c>
      <c r="EI157" s="12">
        <f t="array" ref="EI157">INDEX(EH:EH,MIN(IF(ISNUMBER(EH157:EH353),ROW(EH157:EH353),"")))</f>
        <v>8.3249999999999993</v>
      </c>
      <c r="EJ157" s="12">
        <f>IF('Données projet'!$A$192&gt;35,EJ156+EI157-ER156,IF(A157&lt;'Données projet'!$A$192,$EG$205^A157,IF(A157='Données projet'!$A$192,'Données projet'!$B$192,EJ156+EI157-ER156)))</f>
        <v>490.47000000000048</v>
      </c>
      <c r="EK157" s="17">
        <f>EJ157*VLOOKUP('Données projet'!$B$15,Paramètres!$A$1:$I$89,3,0)*VLOOKUP('Données projet'!$B$15,Paramètres!$A$1:$I$89,5,0)</f>
        <v>527.94190800000047</v>
      </c>
      <c r="EL157" s="13">
        <f t="shared" si="179"/>
        <v>117.28140932872228</v>
      </c>
      <c r="EM157" s="20">
        <f t="shared" si="180"/>
        <v>1123.7639443475252</v>
      </c>
      <c r="EN157" s="59">
        <f t="shared" si="128"/>
        <v>1413.0109635835181</v>
      </c>
      <c r="EO157" s="59">
        <f ca="1">AVERAGE(OFFSET($EN$3,0,0,'Données projet'!$E$15+1,1))-AVERAGE(OFFSET($H$3,0,0,'Données projet'!$E$15+1,1))</f>
        <v>713.57333631602273</v>
      </c>
      <c r="EP157" s="59">
        <f t="shared" si="154"/>
        <v>325.30302392555359</v>
      </c>
      <c r="EQ157" s="15">
        <f>IF(ISNA(VLOOKUP(A157,'Données projet'!$A$191:$I$211,3,0)),0,VLOOKUP(A157,'Données projet'!$A$191:$I$211,3,0))</f>
        <v>13</v>
      </c>
      <c r="ER157" s="15">
        <f>IF(ISNA(VLOOKUP(A157,'Données projet'!$A$191:$I$211,4,0)),0,VLOOKUP(A157,'Données projet'!$A$191:$I$211,4,0))</f>
        <v>55.13</v>
      </c>
      <c r="ES157" s="16">
        <f>IF(ISNA(VLOOKUP(A157,'Données projet'!$A$191:$I$211,5,0)),0%,VLOOKUP(A157,'Données projet'!$A$191:$I$211,5,0)*VLOOKUP('Données projet'!$B$15,Paramètres!$A$1:$I$89,7,0))</f>
        <v>0.25800000000000001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84.56531568844629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84.56531568844629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5.6843418860808015E-14</v>
      </c>
      <c r="FF157" s="17">
        <f>FE157*VLOOKUP('Données projet'!$B$16,Paramètres!$A$1:$I$89,3,0)*VLOOKUP('Données projet'!$B$16,Paramètres!$A$1:$I$89,5,0)</f>
        <v>4.4337866711430253E-14</v>
      </c>
      <c r="FG157" s="13">
        <f t="shared" si="182"/>
        <v>7.3222115536967035E-13</v>
      </c>
      <c r="FH157" s="20">
        <f t="shared" si="183"/>
        <v>1.3525069634579169E-12</v>
      </c>
      <c r="FI157" s="59">
        <f t="shared" si="131"/>
        <v>289.24701923599417</v>
      </c>
      <c r="FJ157" s="59">
        <f ca="1">AVERAGE(OFFSET($FI$3,0,0,'Données projet'!$E$16+1,1))-AVERAGE(OFFSET($H$3,0,0,'Données projet'!$E$16+1,1))</f>
        <v>302.04287561738482</v>
      </c>
      <c r="FK157" s="59">
        <f t="shared" si="156"/>
        <v>296.09828774694802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19.168693344998161</v>
      </c>
      <c r="FR157" s="21">
        <f>EXP(-LN(2)/25)*FR156+(1-EXP(-LN(2)/25))/(LN(2)/25)*Calculateur!FM157*Calculateur!FO157*VLOOKUP('Données projet'!$B$16,Paramètres!$A$1:$I$89,3,0)*0.475*44/12</f>
        <v>4.8222664967170701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23.990959841715231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-2.8421709430404007E-14</v>
      </c>
      <c r="GA157" s="17">
        <f>FZ157*VLOOKUP('Données projet'!$B$17,Paramètres!$A$1:$I$89,3,0)*VLOOKUP('Données projet'!$B$17,Paramètres!$A$1:$I$89,5,0)</f>
        <v>-2.3942448024172337E-14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385.41819366740276</v>
      </c>
      <c r="GF157" s="59">
        <f t="shared" si="158"/>
        <v>262.4625391252718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74.855982536298967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74.855982536298967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68.885550700725304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3.3000000000000003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12.100000000000001</v>
      </c>
      <c r="H158" s="67">
        <f t="shared" si="110"/>
        <v>208.26666666666665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8.4429999999999943</v>
      </c>
      <c r="N158" s="13">
        <f>IF('Données projet'!$A$36&gt;35,N157+M158-V157,IF(A158&lt;'Données projet'!$A$36,$K$205^A158,IF(A158='Données projet'!$A$36,'Données projet'!$B$36,N157+M158-V157)))</f>
        <v>443.78300000000047</v>
      </c>
      <c r="O158" s="13">
        <f>N158*VLOOKUP('Données projet'!$B$9,Paramètres!$A$1:$I$89,3,0)*VLOOKUP('Données projet'!$B$9,Paramètres!$A$1:$I$89,5,0)</f>
        <v>401.53485840000047</v>
      </c>
      <c r="P158" s="13">
        <f t="shared" si="141"/>
        <v>92.087764815279797</v>
      </c>
      <c r="Q158" s="20">
        <f t="shared" si="162"/>
        <v>859.72606876661303</v>
      </c>
      <c r="R158" s="59">
        <f t="shared" si="109"/>
        <v>1149.0439764165649</v>
      </c>
      <c r="S158" s="59">
        <f ca="1">AVERAGE(OFFSET($R$3,0,0,'Données projet'!$E$9+1,1))-AVERAGE(OFFSET($H$3,0,0,'Données projet'!$E$9+1,1))</f>
        <v>612.09138396952153</v>
      </c>
      <c r="T158" s="59">
        <f t="shared" si="142"/>
        <v>282.284310393542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69.689976852139552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69.689976852139552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449.99596200000047</v>
      </c>
      <c r="AK158" s="13">
        <f t="shared" si="164"/>
        <v>101.84206543885381</v>
      </c>
      <c r="AL158" s="20">
        <f t="shared" si="165"/>
        <v>961.1178977893378</v>
      </c>
      <c r="AM158" s="59">
        <f t="shared" si="113"/>
        <v>1250.4358054392897</v>
      </c>
      <c r="AN158" s="59">
        <f ca="1">AVERAGE(OFFSET($AM$3,0,0,'Données projet'!$E$10+1,1))-AVERAGE(OFFSET($H$3,0,0,'Données projet'!$E$10+1,1))</f>
        <v>676.7112666359476</v>
      </c>
      <c r="AO158" s="59">
        <f t="shared" si="144"/>
        <v>309.67876644201385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78.100836127397812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78.100836127397812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443.07294720000044</v>
      </c>
      <c r="BF158" s="13">
        <f t="shared" si="167"/>
        <v>100.45639332095311</v>
      </c>
      <c r="BG158" s="20">
        <f t="shared" si="168"/>
        <v>946.64693474066087</v>
      </c>
      <c r="BH158" s="59">
        <f t="shared" si="116"/>
        <v>1235.9648423906128</v>
      </c>
      <c r="BI158" s="59">
        <f ca="1">AVERAGE(OFFSET($BH$3,0,0,'Données projet'!$E$11+1,1))-AVERAGE(OFFSET($H$3,0,0,'Données projet'!$E$11+1,1))</f>
        <v>667.4887768032404</v>
      </c>
      <c r="BJ158" s="59">
        <f t="shared" si="146"/>
        <v>305.76944302827178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76.899284802360924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76.899284802360924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422.30390280000046</v>
      </c>
      <c r="CA158" s="13">
        <f t="shared" si="170"/>
        <v>96.284060891681165</v>
      </c>
      <c r="CB158" s="20">
        <f t="shared" si="171"/>
        <v>903.20737009634547</v>
      </c>
      <c r="CC158" s="59">
        <f t="shared" si="119"/>
        <v>1192.5252777462974</v>
      </c>
      <c r="CD158" s="59">
        <f ca="1">AVERAGE(OFFSET($CC$3,0,0,'Données projet'!$E$12+1,1))-AVERAGE(OFFSET($H$3,0,0,'Données projet'!$E$12+1,1))</f>
        <v>639.80378676828764</v>
      </c>
      <c r="CE158" s="59">
        <f t="shared" si="148"/>
        <v>294.03328334345281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73.294630827250231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73.294630827250231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-1.7053025658242404E-13</v>
      </c>
      <c r="CU158" s="17">
        <f>CT158*VLOOKUP('Données projet'!$B$13,Paramètres!$A$1:$I$89,3,0)*VLOOKUP('Données projet'!$B$13,Paramètres!$A$1:$I$89,5,0)</f>
        <v>-1.4897523215040567E-13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340.64710509454375</v>
      </c>
      <c r="CZ158" s="59">
        <f t="shared" si="150"/>
        <v>329.6409514360613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22.093612746497463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22.093612746497463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8.4429999999999943</v>
      </c>
      <c r="DO158" s="12">
        <f>IF('Données projet'!$A$166&gt;35,DO157+DN158-DW157,IF(A158&lt;'Données projet'!$A$166,$DL$205^A158,IF(A158='Données projet'!$A$166,'Données projet'!$B$166,DO157+DN158-DW157)))</f>
        <v>443.78300000000047</v>
      </c>
      <c r="DP158" s="17">
        <f>DO158*VLOOKUP('Données projet'!$B$14,Paramètres!$A$1:$I$89,3,0)*VLOOKUP('Données projet'!$B$14,Paramètres!$A$1:$I$89,5,0)</f>
        <v>429.22691760000049</v>
      </c>
      <c r="DQ158" s="13">
        <f t="shared" si="176"/>
        <v>97.677436558915673</v>
      </c>
      <c r="DR158" s="20">
        <f t="shared" si="177"/>
        <v>917.69175016011229</v>
      </c>
      <c r="DS158" s="59">
        <f t="shared" si="125"/>
        <v>1207.0096578100643</v>
      </c>
      <c r="DT158" s="59">
        <f ca="1">AVERAGE(OFFSET($DS$3,0,0,'Données projet'!$E$14+1,1))-AVERAGE(OFFSET($H$3,0,0,'Données projet'!$E$14+1,1))</f>
        <v>649.03508893149228</v>
      </c>
      <c r="DU158" s="59">
        <f t="shared" si="152"/>
        <v>297.94672581383213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74.496182152287119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74.496182152287119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8.4429999999999943</v>
      </c>
      <c r="EJ158" s="12">
        <f>IF('Données projet'!$A$192&gt;35,EJ157+EI158-ER157,IF(A158&lt;'Données projet'!$A$192,$EG$205^A158,IF(A158='Données projet'!$A$192,'Données projet'!$B$192,EJ157+EI158-ER157)))</f>
        <v>443.78300000000047</v>
      </c>
      <c r="EK158" s="17">
        <f>EJ158*VLOOKUP('Données projet'!$B$15,Paramètres!$A$1:$I$89,3,0)*VLOOKUP('Données projet'!$B$15,Paramètres!$A$1:$I$89,5,0)</f>
        <v>477.68802120000049</v>
      </c>
      <c r="EL158" s="13">
        <f t="shared" si="179"/>
        <v>107.36037337904681</v>
      </c>
      <c r="EM158" s="20">
        <f t="shared" si="180"/>
        <v>1018.9592872251741</v>
      </c>
      <c r="EN158" s="59">
        <f t="shared" si="128"/>
        <v>1308.277194875126</v>
      </c>
      <c r="EO158" s="59">
        <f ca="1">AVERAGE(OFFSET($EN$3,0,0,'Données projet'!$E$15+1,1))-AVERAGE(OFFSET($H$3,0,0,'Données projet'!$E$15+1,1))</f>
        <v>713.57333631602273</v>
      </c>
      <c r="EP158" s="59">
        <f t="shared" si="154"/>
        <v>325.30302392555359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82.907041427545352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82.907041427545352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5.6843418860808015E-14</v>
      </c>
      <c r="FF158" s="17">
        <f>FE158*VLOOKUP('Données projet'!$B$16,Paramètres!$A$1:$I$89,3,0)*VLOOKUP('Données projet'!$B$16,Paramètres!$A$1:$I$89,5,0)</f>
        <v>4.4337866711430253E-14</v>
      </c>
      <c r="FG158" s="13">
        <f t="shared" si="182"/>
        <v>7.3222115536967035E-13</v>
      </c>
      <c r="FH158" s="20">
        <f t="shared" si="183"/>
        <v>1.3525069634579169E-12</v>
      </c>
      <c r="FI158" s="59">
        <f t="shared" si="131"/>
        <v>289.31790764995327</v>
      </c>
      <c r="FJ158" s="59">
        <f ca="1">AVERAGE(OFFSET($FI$3,0,0,'Données projet'!$E$16+1,1))-AVERAGE(OFFSET($H$3,0,0,'Données projet'!$E$16+1,1))</f>
        <v>302.04287561738482</v>
      </c>
      <c r="FK158" s="59">
        <f t="shared" si="156"/>
        <v>296.09828774694802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18.792806960251223</v>
      </c>
      <c r="FR158" s="21">
        <f>EXP(-LN(2)/25)*FR157+(1-EXP(-LN(2)/25))/(LN(2)/25)*Calculateur!FM158*Calculateur!FO158*VLOOKUP('Données projet'!$B$16,Paramètres!$A$1:$I$89,3,0)*0.475*44/12</f>
        <v>4.6904013657723684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23.483208326023593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-2.8421709430404007E-14</v>
      </c>
      <c r="GA158" s="17">
        <f>FZ158*VLOOKUP('Données projet'!$B$17,Paramètres!$A$1:$I$89,3,0)*VLOOKUP('Données projet'!$B$17,Paramètres!$A$1:$I$89,5,0)</f>
        <v>-2.3942448024172337E-14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385.41819366740276</v>
      </c>
      <c r="GF158" s="59">
        <f t="shared" si="158"/>
        <v>262.4625391252718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73.388102376403168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73.388102376403168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68.90488390453234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3.3000000000000003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12.100000000000001</v>
      </c>
      <c r="H159" s="67">
        <f t="shared" si="110"/>
        <v>208.26666666666665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8.4429999999999943</v>
      </c>
      <c r="N159" s="13">
        <f>IF('Données projet'!$A$36&gt;35,N158+M159-V158,IF(A159&lt;'Données projet'!$A$36,$K$205^A159,IF(A159='Données projet'!$A$36,'Données projet'!$B$36,N158+M159-V158)))</f>
        <v>452.22600000000045</v>
      </c>
      <c r="O159" s="13">
        <f>N159*VLOOKUP('Données projet'!$B$9,Paramètres!$A$1:$I$89,3,0)*VLOOKUP('Données projet'!$B$9,Paramètres!$A$1:$I$89,5,0)</f>
        <v>409.1740848000004</v>
      </c>
      <c r="P159" s="13">
        <f t="shared" si="141"/>
        <v>93.634108404325715</v>
      </c>
      <c r="Q159" s="20">
        <f t="shared" si="162"/>
        <v>875.72426983086791</v>
      </c>
      <c r="R159" s="59">
        <f t="shared" si="109"/>
        <v>1165.1118361392796</v>
      </c>
      <c r="S159" s="59">
        <f ca="1">AVERAGE(OFFSET($R$3,0,0,'Données projet'!$E$9+1,1))-AVERAGE(OFFSET($H$3,0,0,'Données projet'!$E$9+1,1))</f>
        <v>612.09138396952153</v>
      </c>
      <c r="T159" s="59">
        <f t="shared" si="142"/>
        <v>282.284310393542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68.323398912757781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68.323398912757781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458.55716400000051</v>
      </c>
      <c r="AK159" s="13">
        <f t="shared" si="164"/>
        <v>103.55220386280693</v>
      </c>
      <c r="AL159" s="20">
        <f t="shared" si="165"/>
        <v>979.00714902772279</v>
      </c>
      <c r="AM159" s="59">
        <f t="shared" si="113"/>
        <v>1268.3947153361344</v>
      </c>
      <c r="AN159" s="59">
        <f ca="1">AVERAGE(OFFSET($AM$3,0,0,'Données projet'!$E$10+1,1))-AVERAGE(OFFSET($H$3,0,0,'Données projet'!$E$10+1,1))</f>
        <v>676.7112666359476</v>
      </c>
      <c r="AO159" s="59">
        <f t="shared" si="144"/>
        <v>309.67876644201385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76.56932636774583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76.56932636774583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451.50243840000047</v>
      </c>
      <c r="BF159" s="13">
        <f t="shared" si="167"/>
        <v>102.14326345079209</v>
      </c>
      <c r="BG159" s="20">
        <f t="shared" si="168"/>
        <v>964.2662640567969</v>
      </c>
      <c r="BH159" s="59">
        <f t="shared" si="116"/>
        <v>1253.6538303652085</v>
      </c>
      <c r="BI159" s="59">
        <f ca="1">AVERAGE(OFFSET($BH$3,0,0,'Données projet'!$E$11+1,1))-AVERAGE(OFFSET($H$3,0,0,'Données projet'!$E$11+1,1))</f>
        <v>667.4887768032404</v>
      </c>
      <c r="BJ159" s="59">
        <f t="shared" si="146"/>
        <v>305.76944302827178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75.391336731318972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75.391336731318972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430.33826160000041</v>
      </c>
      <c r="CA159" s="13">
        <f t="shared" si="170"/>
        <v>97.900868950665071</v>
      </c>
      <c r="CB159" s="20">
        <f t="shared" si="171"/>
        <v>920.01648570907571</v>
      </c>
      <c r="CC159" s="59">
        <f t="shared" si="119"/>
        <v>1209.4040520174872</v>
      </c>
      <c r="CD159" s="59">
        <f ca="1">AVERAGE(OFFSET($CC$3,0,0,'Données projet'!$E$12+1,1))-AVERAGE(OFFSET($H$3,0,0,'Données projet'!$E$12+1,1))</f>
        <v>639.80378676828764</v>
      </c>
      <c r="CE159" s="59">
        <f t="shared" si="148"/>
        <v>294.03328334345281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71.85736782203837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71.85736782203837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-1.7053025658242404E-13</v>
      </c>
      <c r="CU159" s="17">
        <f>CT159*VLOOKUP('Données projet'!$B$13,Paramètres!$A$1:$I$89,3,0)*VLOOKUP('Données projet'!$B$13,Paramètres!$A$1:$I$89,5,0)</f>
        <v>-1.4897523215040567E-13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340.64710509454375</v>
      </c>
      <c r="CZ159" s="59">
        <f t="shared" si="150"/>
        <v>329.6409514360613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21.660370476311801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21.660370476311801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8.4429999999999943</v>
      </c>
      <c r="DO159" s="12">
        <f>IF('Données projet'!$A$166&gt;35,DO158+DN159-DW158,IF(A159&lt;'Données projet'!$A$166,$DL$205^A159,IF(A159='Données projet'!$A$166,'Données projet'!$B$166,DO158+DN159-DW158)))</f>
        <v>452.22600000000045</v>
      </c>
      <c r="DP159" s="17">
        <f>DO159*VLOOKUP('Données projet'!$B$14,Paramètres!$A$1:$I$89,3,0)*VLOOKUP('Données projet'!$B$14,Paramètres!$A$1:$I$89,5,0)</f>
        <v>437.39298720000045</v>
      </c>
      <c r="DQ159" s="13">
        <f t="shared" si="176"/>
        <v>99.317642270502773</v>
      </c>
      <c r="DR159" s="20">
        <f t="shared" si="177"/>
        <v>934.77101299445985</v>
      </c>
      <c r="DS159" s="59">
        <f t="shared" si="125"/>
        <v>1224.1585793028714</v>
      </c>
      <c r="DT159" s="59">
        <f ca="1">AVERAGE(OFFSET($DS$3,0,0,'Données projet'!$E$14+1,1))-AVERAGE(OFFSET($H$3,0,0,'Données projet'!$E$14+1,1))</f>
        <v>649.03508893149228</v>
      </c>
      <c r="DU159" s="59">
        <f t="shared" si="152"/>
        <v>297.94672581383213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73.035357458465228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73.035357458465228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8.4429999999999943</v>
      </c>
      <c r="EJ159" s="12">
        <f>IF('Données projet'!$A$192&gt;35,EJ158+EI159-ER158,IF(A159&lt;'Données projet'!$A$192,$EG$205^A159,IF(A159='Données projet'!$A$192,'Données projet'!$B$192,EJ158+EI159-ER158)))</f>
        <v>452.22600000000045</v>
      </c>
      <c r="EK159" s="17">
        <f>EJ159*VLOOKUP('Données projet'!$B$15,Paramètres!$A$1:$I$89,3,0)*VLOOKUP('Données projet'!$B$15,Paramètres!$A$1:$I$89,5,0)</f>
        <v>486.77606640000045</v>
      </c>
      <c r="EL159" s="13">
        <f t="shared" si="179"/>
        <v>109.16317558002628</v>
      </c>
      <c r="EM159" s="20">
        <f t="shared" si="180"/>
        <v>1037.9275131152133</v>
      </c>
      <c r="EN159" s="59">
        <f t="shared" si="128"/>
        <v>1327.3150794236249</v>
      </c>
      <c r="EO159" s="59">
        <f ca="1">AVERAGE(OFFSET($EN$3,0,0,'Données projet'!$E$15+1,1))-AVERAGE(OFFSET($H$3,0,0,'Données projet'!$E$15+1,1))</f>
        <v>713.57333631602273</v>
      </c>
      <c r="EP159" s="59">
        <f t="shared" si="154"/>
        <v>325.30302392555359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81.281284913453248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81.281284913453248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5.6843418860808015E-14</v>
      </c>
      <c r="FF159" s="17">
        <f>FE159*VLOOKUP('Données projet'!$B$16,Paramètres!$A$1:$I$89,3,0)*VLOOKUP('Données projet'!$B$16,Paramètres!$A$1:$I$89,5,0)</f>
        <v>4.4337866711430253E-14</v>
      </c>
      <c r="FG159" s="13">
        <f t="shared" si="182"/>
        <v>7.3222115536967035E-13</v>
      </c>
      <c r="FH159" s="20">
        <f t="shared" si="183"/>
        <v>1.3525069634579169E-12</v>
      </c>
      <c r="FI159" s="59">
        <f t="shared" si="131"/>
        <v>289.38756630841294</v>
      </c>
      <c r="FJ159" s="59">
        <f ca="1">AVERAGE(OFFSET($FI$3,0,0,'Données projet'!$E$16+1,1))-AVERAGE(OFFSET($H$3,0,0,'Données projet'!$E$16+1,1))</f>
        <v>302.04287561738482</v>
      </c>
      <c r="FK159" s="59">
        <f t="shared" si="156"/>
        <v>296.09828774694802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18.424291478241116</v>
      </c>
      <c r="FR159" s="21">
        <f>EXP(-LN(2)/25)*FR158+(1-EXP(-LN(2)/25))/(LN(2)/25)*Calculateur!FM159*Calculateur!FO159*VLOOKUP('Données projet'!$B$16,Paramètres!$A$1:$I$89,3,0)*0.475*44/12</f>
        <v>4.562142093767835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22.986433572008952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-2.8421709430404007E-14</v>
      </c>
      <c r="GA159" s="17">
        <f>FZ159*VLOOKUP('Données projet'!$B$17,Paramètres!$A$1:$I$89,3,0)*VLOOKUP('Données projet'!$B$17,Paramètres!$A$1:$I$89,5,0)</f>
        <v>-2.3942448024172337E-14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385.41819366740276</v>
      </c>
      <c r="GF159" s="59">
        <f t="shared" si="158"/>
        <v>262.4625391252718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71.949006451124433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71.949006451124433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68.92388172047589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3.3000000000000003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12.100000000000001</v>
      </c>
      <c r="H160" s="67">
        <f t="shared" si="110"/>
        <v>208.26666666666665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8.4429999999999943</v>
      </c>
      <c r="N160" s="13">
        <f>IF('Données projet'!$A$36&gt;35,N159+M160-V159,IF(A160&lt;'Données projet'!$A$36,$K$205^A160,IF(A160='Données projet'!$A$36,'Données projet'!$B$36,N159+M160-V159)))</f>
        <v>460.66900000000044</v>
      </c>
      <c r="O160" s="13">
        <f>N160*VLOOKUP('Données projet'!$B$9,Paramètres!$A$1:$I$89,3,0)*VLOOKUP('Données projet'!$B$9,Paramètres!$A$1:$I$89,5,0)</f>
        <v>416.81331120000038</v>
      </c>
      <c r="P160" s="13">
        <f t="shared" si="141"/>
        <v>95.177094964322421</v>
      </c>
      <c r="Q160" s="20">
        <f t="shared" si="162"/>
        <v>891.71662406952885</v>
      </c>
      <c r="R160" s="59">
        <f t="shared" si="109"/>
        <v>1181.1726406144094</v>
      </c>
      <c r="S160" s="59">
        <f ca="1">AVERAGE(OFFSET($R$3,0,0,'Données projet'!$E$9+1,1))-AVERAGE(OFFSET($H$3,0,0,'Données projet'!$E$9+1,1))</f>
        <v>612.09138396952153</v>
      </c>
      <c r="T160" s="59">
        <f t="shared" si="142"/>
        <v>282.284310393542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66.983618733237051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66.983618733237051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467.11836600000044</v>
      </c>
      <c r="AK160" s="13">
        <f t="shared" si="164"/>
        <v>105.25862966790358</v>
      </c>
      <c r="AL160" s="20">
        <f t="shared" si="165"/>
        <v>996.88993412159937</v>
      </c>
      <c r="AM160" s="59">
        <f t="shared" si="113"/>
        <v>1286.3459506664799</v>
      </c>
      <c r="AN160" s="59">
        <f ca="1">AVERAGE(OFFSET($AM$3,0,0,'Données projet'!$E$10+1,1))-AVERAGE(OFFSET($H$3,0,0,'Données projet'!$E$10+1,1))</f>
        <v>676.7112666359476</v>
      </c>
      <c r="AO160" s="59">
        <f t="shared" si="144"/>
        <v>309.67876644201385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75.067848580351907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75.067848580351907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459.9319296000005</v>
      </c>
      <c r="BF160" s="13">
        <f t="shared" si="167"/>
        <v>103.82647147599397</v>
      </c>
      <c r="BG160" s="20">
        <f t="shared" si="168"/>
        <v>981.87921520735699</v>
      </c>
      <c r="BH160" s="59">
        <f t="shared" si="116"/>
        <v>1271.3352317522374</v>
      </c>
      <c r="BI160" s="59">
        <f ca="1">AVERAGE(OFFSET($BH$3,0,0,'Données projet'!$E$11+1,1))-AVERAGE(OFFSET($H$3,0,0,'Données projet'!$E$11+1,1))</f>
        <v>667.4887768032404</v>
      </c>
      <c r="BJ160" s="59">
        <f t="shared" si="146"/>
        <v>305.76944302827178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73.91295860219266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73.91295860219266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438.37262040000041</v>
      </c>
      <c r="CA160" s="13">
        <f t="shared" si="170"/>
        <v>99.514167006012443</v>
      </c>
      <c r="CB160" s="20">
        <f t="shared" si="171"/>
        <v>936.81948806547246</v>
      </c>
      <c r="CC160" s="59">
        <f t="shared" si="119"/>
        <v>1226.275504610353</v>
      </c>
      <c r="CD160" s="59">
        <f ca="1">AVERAGE(OFFSET($CC$3,0,0,'Données projet'!$E$12+1,1))-AVERAGE(OFFSET($H$3,0,0,'Données projet'!$E$12+1,1))</f>
        <v>639.80378676828764</v>
      </c>
      <c r="CE160" s="59">
        <f t="shared" si="148"/>
        <v>294.03328334345281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70.448288667714849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70.448288667714849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-1.7053025658242404E-13</v>
      </c>
      <c r="CU160" s="17">
        <f>CT160*VLOOKUP('Données projet'!$B$13,Paramètres!$A$1:$I$89,3,0)*VLOOKUP('Données projet'!$B$13,Paramètres!$A$1:$I$89,5,0)</f>
        <v>-1.4897523215040567E-13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340.64710509454375</v>
      </c>
      <c r="CZ160" s="59">
        <f t="shared" si="150"/>
        <v>329.6409514360613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21.235623822792789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21.235623822792789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8.4429999999999943</v>
      </c>
      <c r="DO160" s="12">
        <f>IF('Données projet'!$A$166&gt;35,DO159+DN160-DW159,IF(A160&lt;'Données projet'!$A$166,$DL$205^A160,IF(A160='Données projet'!$A$166,'Données projet'!$B$166,DO159+DN160-DW159)))</f>
        <v>460.66900000000044</v>
      </c>
      <c r="DP160" s="17">
        <f>DO160*VLOOKUP('Données projet'!$B$14,Paramètres!$A$1:$I$89,3,0)*VLOOKUP('Données projet'!$B$14,Paramètres!$A$1:$I$89,5,0)</f>
        <v>445.55905680000046</v>
      </c>
      <c r="DQ160" s="13">
        <f t="shared" si="176"/>
        <v>100.95428718340372</v>
      </c>
      <c r="DR160" s="20">
        <f t="shared" si="177"/>
        <v>951.84407410442907</v>
      </c>
      <c r="DS160" s="59">
        <f t="shared" si="125"/>
        <v>1241.3000906493096</v>
      </c>
      <c r="DT160" s="59">
        <f ca="1">AVERAGE(OFFSET($DS$3,0,0,'Données projet'!$E$14+1,1))-AVERAGE(OFFSET($H$3,0,0,'Données projet'!$E$14+1,1))</f>
        <v>649.03508893149228</v>
      </c>
      <c r="DU160" s="59">
        <f t="shared" si="152"/>
        <v>297.94672581383213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71.60317864587411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71.60317864587411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8.4429999999999943</v>
      </c>
      <c r="EJ160" s="12">
        <f>IF('Données projet'!$A$192&gt;35,EJ159+EI160-ER159,IF(A160&lt;'Données projet'!$A$192,$EG$205^A160,IF(A160='Données projet'!$A$192,'Données projet'!$B$192,EJ159+EI160-ER159)))</f>
        <v>460.66900000000044</v>
      </c>
      <c r="EK160" s="17">
        <f>EJ160*VLOOKUP('Données projet'!$B$15,Paramètres!$A$1:$I$89,3,0)*VLOOKUP('Données projet'!$B$15,Paramètres!$A$1:$I$89,5,0)</f>
        <v>495.86411160000046</v>
      </c>
      <c r="EL160" s="13">
        <f t="shared" si="179"/>
        <v>110.96206399405607</v>
      </c>
      <c r="EM160" s="20">
        <f t="shared" si="180"/>
        <v>1056.8889224929817</v>
      </c>
      <c r="EN160" s="59">
        <f t="shared" si="128"/>
        <v>1346.3449390378621</v>
      </c>
      <c r="EO160" s="59">
        <f ca="1">AVERAGE(OFFSET($EN$3,0,0,'Données projet'!$E$15+1,1))-AVERAGE(OFFSET($H$3,0,0,'Données projet'!$E$15+1,1))</f>
        <v>713.57333631602273</v>
      </c>
      <c r="EP160" s="59">
        <f t="shared" si="154"/>
        <v>325.30302392555359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79.687408492988936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79.687408492988936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5.6843418860808015E-14</v>
      </c>
      <c r="FF160" s="17">
        <f>FE160*VLOOKUP('Données projet'!$B$16,Paramètres!$A$1:$I$89,3,0)*VLOOKUP('Données projet'!$B$16,Paramètres!$A$1:$I$89,5,0)</f>
        <v>4.4337866711430253E-14</v>
      </c>
      <c r="FG160" s="13">
        <f t="shared" si="182"/>
        <v>7.3222115536967035E-13</v>
      </c>
      <c r="FH160" s="20">
        <f t="shared" si="183"/>
        <v>1.3525069634579169E-12</v>
      </c>
      <c r="FI160" s="59">
        <f t="shared" si="131"/>
        <v>289.45601654488183</v>
      </c>
      <c r="FJ160" s="59">
        <f ca="1">AVERAGE(OFFSET($FI$3,0,0,'Données projet'!$E$16+1,1))-AVERAGE(OFFSET($H$3,0,0,'Données projet'!$E$16+1,1))</f>
        <v>302.04287561738482</v>
      </c>
      <c r="FK160" s="59">
        <f t="shared" si="156"/>
        <v>296.09828774694802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18.063002360060977</v>
      </c>
      <c r="FR160" s="21">
        <f>EXP(-LN(2)/25)*FR159+(1-EXP(-LN(2)/25))/(LN(2)/25)*Calculateur!FM160*Calculateur!FO160*VLOOKUP('Données projet'!$B$16,Paramètres!$A$1:$I$89,3,0)*0.475*44/12</f>
        <v>4.437390078301128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22.500392438362105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-2.8421709430404007E-14</v>
      </c>
      <c r="GA160" s="17">
        <f>FZ160*VLOOKUP('Données projet'!$B$17,Paramètres!$A$1:$I$89,3,0)*VLOOKUP('Données projet'!$B$17,Paramètres!$A$1:$I$89,5,0)</f>
        <v>-2.3942448024172337E-14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385.41819366740276</v>
      </c>
      <c r="GF160" s="59">
        <f t="shared" si="158"/>
        <v>262.4625391252718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70.538130319178578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70.538130319178578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68.942549966785592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3.3000000000000003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12.100000000000001</v>
      </c>
      <c r="H161" s="67">
        <f t="shared" si="110"/>
        <v>208.26666666666665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8.4429999999999943</v>
      </c>
      <c r="N161" s="13">
        <f>IF('Données projet'!$A$36&gt;35,N160+M161-V160,IF(A161&lt;'Données projet'!$A$36,$K$205^A161,IF(A161='Données projet'!$A$36,'Données projet'!$B$36,N160+M161-V160)))</f>
        <v>469.11200000000042</v>
      </c>
      <c r="O161" s="13">
        <f>N161*VLOOKUP('Données projet'!$B$9,Paramètres!$A$1:$I$89,3,0)*VLOOKUP('Données projet'!$B$9,Paramètres!$A$1:$I$89,5,0)</f>
        <v>424.45253760000043</v>
      </c>
      <c r="P161" s="13">
        <f t="shared" si="141"/>
        <v>96.716793118095666</v>
      </c>
      <c r="Q161" s="20">
        <f t="shared" si="162"/>
        <v>907.70325100068385</v>
      </c>
      <c r="R161" s="59">
        <f t="shared" si="109"/>
        <v>1197.2265303234624</v>
      </c>
      <c r="S161" s="59">
        <f ca="1">AVERAGE(OFFSET($R$3,0,0,'Données projet'!$E$9+1,1))-AVERAGE(OFFSET($H$3,0,0,'Données projet'!$E$9+1,1))</f>
        <v>612.09138396952153</v>
      </c>
      <c r="T161" s="59">
        <f t="shared" si="142"/>
        <v>282.284310393542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65.670110825851509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65.670110825851509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475.67956800000047</v>
      </c>
      <c r="AK161" s="13">
        <f t="shared" si="164"/>
        <v>106.96141874577063</v>
      </c>
      <c r="AL161" s="20">
        <f t="shared" si="165"/>
        <v>1014.7663852488846</v>
      </c>
      <c r="AM161" s="59">
        <f t="shared" si="113"/>
        <v>1304.289664571663</v>
      </c>
      <c r="AN161" s="59">
        <f ca="1">AVERAGE(OFFSET($AM$3,0,0,'Données projet'!$E$10+1,1))-AVERAGE(OFFSET($H$3,0,0,'Données projet'!$E$10+1,1))</f>
        <v>676.7112666359476</v>
      </c>
      <c r="AO161" s="59">
        <f t="shared" si="144"/>
        <v>309.67876644201385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73.595813856557768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73.595813856557768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468.36142080000042</v>
      </c>
      <c r="BF161" s="13">
        <f t="shared" si="167"/>
        <v>105.50609225559745</v>
      </c>
      <c r="BG161" s="20">
        <f t="shared" si="168"/>
        <v>999.48591857183294</v>
      </c>
      <c r="BH161" s="59">
        <f t="shared" si="116"/>
        <v>1289.0091978946114</v>
      </c>
      <c r="BI161" s="59">
        <f ca="1">AVERAGE(OFFSET($BH$3,0,0,'Données projet'!$E$11+1,1))-AVERAGE(OFFSET($H$3,0,0,'Données projet'!$E$11+1,1))</f>
        <v>667.4887768032404</v>
      </c>
      <c r="BJ161" s="59">
        <f t="shared" si="146"/>
        <v>305.76944302827178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72.46357056645688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72.46357056645688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446.40697920000036</v>
      </c>
      <c r="CA161" s="13">
        <f t="shared" si="170"/>
        <v>101.12402680758419</v>
      </c>
      <c r="CB161" s="20">
        <f t="shared" si="171"/>
        <v>953.61650212987649</v>
      </c>
      <c r="CC161" s="59">
        <f t="shared" si="119"/>
        <v>1243.1397814526549</v>
      </c>
      <c r="CD161" s="59">
        <f ca="1">AVERAGE(OFFSET($CC$3,0,0,'Données projet'!$E$12+1,1))-AVERAGE(OFFSET($H$3,0,0,'Données projet'!$E$12+1,1))</f>
        <v>639.80378676828764</v>
      </c>
      <c r="CE161" s="59">
        <f t="shared" si="148"/>
        <v>294.03328334345281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69.066840696154188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69.066840696154188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-1.7053025658242404E-13</v>
      </c>
      <c r="CU161" s="17">
        <f>CT161*VLOOKUP('Données projet'!$B$13,Paramètres!$A$1:$I$89,3,0)*VLOOKUP('Données projet'!$B$13,Paramètres!$A$1:$I$89,5,0)</f>
        <v>-1.4897523215040567E-13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340.64710509454375</v>
      </c>
      <c r="CZ161" s="59">
        <f t="shared" si="150"/>
        <v>329.6409514360613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20.819206192079406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20.819206192079406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8.4429999999999943</v>
      </c>
      <c r="DO161" s="12">
        <f>IF('Données projet'!$A$166&gt;35,DO160+DN161-DW160,IF(A161&lt;'Données projet'!$A$166,$DL$205^A161,IF(A161='Données projet'!$A$166,'Données projet'!$B$166,DO160+DN161-DW160)))</f>
        <v>469.11200000000042</v>
      </c>
      <c r="DP161" s="17">
        <f>DO161*VLOOKUP('Données projet'!$B$14,Paramètres!$A$1:$I$89,3,0)*VLOOKUP('Données projet'!$B$14,Paramètres!$A$1:$I$89,5,0)</f>
        <v>453.72512640000042</v>
      </c>
      <c r="DQ161" s="13">
        <f t="shared" si="176"/>
        <v>102.5874440858081</v>
      </c>
      <c r="DR161" s="20">
        <f t="shared" si="177"/>
        <v>968.91106026278305</v>
      </c>
      <c r="DS161" s="59">
        <f t="shared" si="125"/>
        <v>1258.4343395855615</v>
      </c>
      <c r="DT161" s="59">
        <f ca="1">AVERAGE(OFFSET($DS$3,0,0,'Données projet'!$E$14+1,1))-AVERAGE(OFFSET($H$3,0,0,'Données projet'!$E$14+1,1))</f>
        <v>649.03508893149228</v>
      </c>
      <c r="DU161" s="59">
        <f t="shared" si="152"/>
        <v>297.94672581383213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70.199083986255076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70.199083986255076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8.4429999999999943</v>
      </c>
      <c r="EJ161" s="12">
        <f>IF('Données projet'!$A$192&gt;35,EJ160+EI161-ER160,IF(A161&lt;'Données projet'!$A$192,$EG$205^A161,IF(A161='Données projet'!$A$192,'Données projet'!$B$192,EJ160+EI161-ER160)))</f>
        <v>469.11200000000042</v>
      </c>
      <c r="EK161" s="17">
        <f>EJ161*VLOOKUP('Données projet'!$B$15,Paramètres!$A$1:$I$89,3,0)*VLOOKUP('Données projet'!$B$15,Paramètres!$A$1:$I$89,5,0)</f>
        <v>504.95215680000047</v>
      </c>
      <c r="EL161" s="13">
        <f t="shared" si="179"/>
        <v>112.75711862494767</v>
      </c>
      <c r="EM161" s="20">
        <f t="shared" si="180"/>
        <v>1075.8436546984512</v>
      </c>
      <c r="EN161" s="59">
        <f t="shared" si="128"/>
        <v>1365.3669340212298</v>
      </c>
      <c r="EO161" s="59">
        <f ca="1">AVERAGE(OFFSET($EN$3,0,0,'Données projet'!$E$15+1,1))-AVERAGE(OFFSET($H$3,0,0,'Données projet'!$E$15+1,1))</f>
        <v>713.57333631602273</v>
      </c>
      <c r="EP161" s="59">
        <f t="shared" si="154"/>
        <v>325.30302392555359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78.124787016961307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78.124787016961307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5.6843418860808015E-14</v>
      </c>
      <c r="FF161" s="17">
        <f>FE161*VLOOKUP('Données projet'!$B$16,Paramètres!$A$1:$I$89,3,0)*VLOOKUP('Données projet'!$B$16,Paramètres!$A$1:$I$89,5,0)</f>
        <v>4.4337866711430253E-14</v>
      </c>
      <c r="FG161" s="13">
        <f t="shared" si="182"/>
        <v>7.3222115536967035E-13</v>
      </c>
      <c r="FH161" s="20">
        <f t="shared" si="183"/>
        <v>1.3525069634579169E-12</v>
      </c>
      <c r="FI161" s="59">
        <f t="shared" si="131"/>
        <v>289.52327932277984</v>
      </c>
      <c r="FJ161" s="59">
        <f ca="1">AVERAGE(OFFSET($FI$3,0,0,'Données projet'!$E$16+1,1))-AVERAGE(OFFSET($H$3,0,0,'Données projet'!$E$16+1,1))</f>
        <v>302.04287561738482</v>
      </c>
      <c r="FK161" s="59">
        <f t="shared" si="156"/>
        <v>296.09828774694802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17.708797901123749</v>
      </c>
      <c r="FR161" s="21">
        <f>EXP(-LN(2)/25)*FR160+(1-EXP(-LN(2)/25))/(LN(2)/25)*Calculateur!FM161*Calculateur!FO161*VLOOKUP('Données projet'!$B$16,Paramètres!$A$1:$I$89,3,0)*0.475*44/12</f>
        <v>4.3160494132577814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22.024847314381532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-2.8421709430404007E-14</v>
      </c>
      <c r="GA161" s="17">
        <f>FZ161*VLOOKUP('Données projet'!$B$17,Paramètres!$A$1:$I$89,3,0)*VLOOKUP('Données projet'!$B$17,Paramètres!$A$1:$I$89,5,0)</f>
        <v>-2.3942448024172337E-14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385.41819366740276</v>
      </c>
      <c r="GF161" s="59">
        <f t="shared" si="158"/>
        <v>262.4625391252718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69.154920607630714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69.154920607630714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68.960894360757763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3.3000000000000003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12.100000000000001</v>
      </c>
      <c r="H162" s="67">
        <f t="shared" si="110"/>
        <v>208.26666666666665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8.4429999999999943</v>
      </c>
      <c r="N162" s="13">
        <f>IF('Données projet'!$A$36&gt;35,N161+M162-V161,IF(A162&lt;'Données projet'!$A$36,$K$205^A162,IF(A162='Données projet'!$A$36,'Données projet'!$B$36,N161+M162-V161)))</f>
        <v>477.5550000000004</v>
      </c>
      <c r="O162" s="13">
        <f>N162*VLOOKUP('Données projet'!$B$9,Paramètres!$A$1:$I$89,3,0)*VLOOKUP('Données projet'!$B$9,Paramètres!$A$1:$I$89,5,0)</f>
        <v>432.09176400000035</v>
      </c>
      <c r="P162" s="13">
        <f t="shared" si="141"/>
        <v>98.253268876899142</v>
      </c>
      <c r="Q162" s="20">
        <f t="shared" si="162"/>
        <v>923.68426559393322</v>
      </c>
      <c r="R162" s="59">
        <f t="shared" si="109"/>
        <v>1213.27364083579</v>
      </c>
      <c r="S162" s="59">
        <f ca="1">AVERAGE(OFFSET($R$3,0,0,'Données projet'!$E$9+1,1))-AVERAGE(OFFSET($H$3,0,0,'Données projet'!$E$9+1,1))</f>
        <v>612.09138396952153</v>
      </c>
      <c r="T162" s="59">
        <f t="shared" si="142"/>
        <v>282.284310393542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64.382360007369087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64.382360007369087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484.24077000000045</v>
      </c>
      <c r="AK162" s="13">
        <f t="shared" si="164"/>
        <v>108.66064409983538</v>
      </c>
      <c r="AL162" s="20">
        <f t="shared" si="165"/>
        <v>1032.6366295572141</v>
      </c>
      <c r="AM162" s="59">
        <f t="shared" si="113"/>
        <v>1322.226004799071</v>
      </c>
      <c r="AN162" s="59">
        <f ca="1">AVERAGE(OFFSET($AM$3,0,0,'Données projet'!$E$10+1,1))-AVERAGE(OFFSET($H$3,0,0,'Données projet'!$E$10+1,1))</f>
        <v>676.7112666359476</v>
      </c>
      <c r="AO162" s="59">
        <f t="shared" si="144"/>
        <v>309.67876644201385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72.152644835844697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72.152644835844697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476.79091200000045</v>
      </c>
      <c r="BF162" s="13">
        <f t="shared" si="167"/>
        <v>107.18219779973874</v>
      </c>
      <c r="BG162" s="20">
        <f t="shared" si="168"/>
        <v>1017.0864995678789</v>
      </c>
      <c r="BH162" s="59">
        <f t="shared" si="116"/>
        <v>1306.6758748097359</v>
      </c>
      <c r="BI162" s="59">
        <f ca="1">AVERAGE(OFFSET($BH$3,0,0,'Données projet'!$E$11+1,1))-AVERAGE(OFFSET($H$3,0,0,'Données projet'!$E$11+1,1))</f>
        <v>667.4887768032404</v>
      </c>
      <c r="BJ162" s="59">
        <f t="shared" si="146"/>
        <v>305.76944302827178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71.042604146062473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71.042604146062473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454.44133800000043</v>
      </c>
      <c r="CA162" s="13">
        <f t="shared" si="170"/>
        <v>102.73051737466415</v>
      </c>
      <c r="CB162" s="20">
        <f t="shared" si="171"/>
        <v>970.40764811087411</v>
      </c>
      <c r="CC162" s="59">
        <f t="shared" si="119"/>
        <v>1259.997023352731</v>
      </c>
      <c r="CD162" s="59">
        <f ca="1">AVERAGE(OFFSET($CC$3,0,0,'Données projet'!$E$12+1,1))-AVERAGE(OFFSET($H$3,0,0,'Données projet'!$E$12+1,1))</f>
        <v>639.80378676828764</v>
      </c>
      <c r="CE162" s="59">
        <f t="shared" si="148"/>
        <v>294.03328334345281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67.712482076715773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67.712482076715773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-1.7053025658242404E-13</v>
      </c>
      <c r="CU162" s="17">
        <f>CT162*VLOOKUP('Données projet'!$B$13,Paramètres!$A$1:$I$89,3,0)*VLOOKUP('Données projet'!$B$13,Paramètres!$A$1:$I$89,5,0)</f>
        <v>-1.4897523215040567E-13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340.64710509454375</v>
      </c>
      <c r="CZ162" s="59">
        <f t="shared" si="150"/>
        <v>329.6409514360613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20.410954257114636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20.410954257114636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8.4429999999999943</v>
      </c>
      <c r="DO162" s="12">
        <f>IF('Données projet'!$A$166&gt;35,DO161+DN162-DW161,IF(A162&lt;'Données projet'!$A$166,$DL$205^A162,IF(A162='Données projet'!$A$166,'Données projet'!$B$166,DO161+DN162-DW161)))</f>
        <v>477.5550000000004</v>
      </c>
      <c r="DP162" s="17">
        <f>DO162*VLOOKUP('Données projet'!$B$14,Paramètres!$A$1:$I$89,3,0)*VLOOKUP('Données projet'!$B$14,Paramètres!$A$1:$I$89,5,0)</f>
        <v>461.89119600000043</v>
      </c>
      <c r="DQ162" s="13">
        <f t="shared" si="176"/>
        <v>104.21718299581295</v>
      </c>
      <c r="DR162" s="20">
        <f t="shared" si="177"/>
        <v>985.97209341770815</v>
      </c>
      <c r="DS162" s="59">
        <f t="shared" si="125"/>
        <v>1275.561468659565</v>
      </c>
      <c r="DT162" s="59">
        <f ca="1">AVERAGE(OFFSET($DS$3,0,0,'Données projet'!$E$14+1,1))-AVERAGE(OFFSET($H$3,0,0,'Données projet'!$E$14+1,1))</f>
        <v>649.03508893149228</v>
      </c>
      <c r="DU162" s="59">
        <f t="shared" si="152"/>
        <v>297.94672581383213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68.822522766497997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68.822522766497997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8.4429999999999943</v>
      </c>
      <c r="EJ162" s="12">
        <f>IF('Données projet'!$A$192&gt;35,EJ161+EI162-ER161,IF(A162&lt;'Données projet'!$A$192,$EG$205^A162,IF(A162='Données projet'!$A$192,'Données projet'!$B$192,EJ161+EI162-ER161)))</f>
        <v>477.5550000000004</v>
      </c>
      <c r="EK162" s="17">
        <f>EJ162*VLOOKUP('Données projet'!$B$15,Paramètres!$A$1:$I$89,3,0)*VLOOKUP('Données projet'!$B$15,Paramètres!$A$1:$I$89,5,0)</f>
        <v>514.04020200000048</v>
      </c>
      <c r="EL162" s="13">
        <f t="shared" si="179"/>
        <v>114.54841643181564</v>
      </c>
      <c r="EM162" s="20">
        <f t="shared" si="180"/>
        <v>1094.7918437687465</v>
      </c>
      <c r="EN162" s="59">
        <f t="shared" si="128"/>
        <v>1384.3812190106034</v>
      </c>
      <c r="EO162" s="59">
        <f ca="1">AVERAGE(OFFSET($EN$3,0,0,'Données projet'!$E$15+1,1))-AVERAGE(OFFSET($H$3,0,0,'Données projet'!$E$15+1,1))</f>
        <v>713.57333631602273</v>
      </c>
      <c r="EP162" s="59">
        <f t="shared" si="154"/>
        <v>325.30302392555359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76.592807594973593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76.592807594973593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5.6843418860808015E-14</v>
      </c>
      <c r="FF162" s="17">
        <f>FE162*VLOOKUP('Données projet'!$B$16,Paramètres!$A$1:$I$89,3,0)*VLOOKUP('Données projet'!$B$16,Paramètres!$A$1:$I$89,5,0)</f>
        <v>4.4337866711430253E-14</v>
      </c>
      <c r="FG162" s="13">
        <f t="shared" si="182"/>
        <v>7.3222115536967035E-13</v>
      </c>
      <c r="FH162" s="20">
        <f t="shared" si="183"/>
        <v>1.3525069634579169E-12</v>
      </c>
      <c r="FI162" s="59">
        <f t="shared" si="131"/>
        <v>289.58937524185825</v>
      </c>
      <c r="FJ162" s="59">
        <f ca="1">AVERAGE(OFFSET($FI$3,0,0,'Données projet'!$E$16+1,1))-AVERAGE(OFFSET($H$3,0,0,'Données projet'!$E$16+1,1))</f>
        <v>302.04287561738482</v>
      </c>
      <c r="FK162" s="59">
        <f t="shared" si="156"/>
        <v>296.09828774694802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17.361539175582891</v>
      </c>
      <c r="FR162" s="21">
        <f>EXP(-LN(2)/25)*FR161+(1-EXP(-LN(2)/25))/(LN(2)/25)*Calculateur!FM162*Calculateur!FO162*VLOOKUP('Données projet'!$B$16,Paramètres!$A$1:$I$89,3,0)*0.475*44/12</f>
        <v>4.1980268150810733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21.559565990663963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-2.8421709430404007E-14</v>
      </c>
      <c r="GA162" s="17">
        <f>FZ162*VLOOKUP('Données projet'!$B$17,Paramètres!$A$1:$I$89,3,0)*VLOOKUP('Données projet'!$B$17,Paramètres!$A$1:$I$89,5,0)</f>
        <v>-2.3942448024172337E-14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385.41819366740276</v>
      </c>
      <c r="GF162" s="59">
        <f t="shared" si="158"/>
        <v>262.4625391252718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67.798834794851686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67.798834794851686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68.978920520506421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3.3000000000000003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12.100000000000001</v>
      </c>
      <c r="H163" s="67">
        <f t="shared" si="110"/>
        <v>208.26666666666665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8.4429999999999943</v>
      </c>
      <c r="N163" s="13">
        <f>IF('Données projet'!$A$36&gt;35,N162+M163-V162,IF(A163&lt;'Données projet'!$A$36,$K$205^A163,IF(A163='Données projet'!$A$36,'Données projet'!$B$36,N162+M163-V162)))</f>
        <v>485.99800000000039</v>
      </c>
      <c r="O163" s="13">
        <f>N163*VLOOKUP('Données projet'!$B$9,Paramètres!$A$1:$I$89,3,0)*VLOOKUP('Données projet'!$B$9,Paramètres!$A$1:$I$89,5,0)</f>
        <v>439.73099040000034</v>
      </c>
      <c r="P163" s="13">
        <f t="shared" si="141"/>
        <v>99.786585784186272</v>
      </c>
      <c r="Q163" s="20">
        <f t="shared" si="162"/>
        <v>939.65977852079175</v>
      </c>
      <c r="R163" s="59">
        <f t="shared" si="109"/>
        <v>1229.3141030652994</v>
      </c>
      <c r="S163" s="59">
        <f ca="1">AVERAGE(OFFSET($R$3,0,0,'Données projet'!$E$9+1,1))-AVERAGE(OFFSET($H$3,0,0,'Données projet'!$E$9+1,1))</f>
        <v>612.09138396952153</v>
      </c>
      <c r="T163" s="59">
        <f t="shared" si="142"/>
        <v>282.284310393542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63.119861196986655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63.119861196986655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492.80197200000038</v>
      </c>
      <c r="AK163" s="13">
        <f t="shared" si="164"/>
        <v>110.35637600432534</v>
      </c>
      <c r="AL163" s="20">
        <f t="shared" si="165"/>
        <v>1050.5007894408673</v>
      </c>
      <c r="AM163" s="59">
        <f t="shared" si="113"/>
        <v>1340.155113985375</v>
      </c>
      <c r="AN163" s="59">
        <f ca="1">AVERAGE(OFFSET($AM$3,0,0,'Données projet'!$E$10+1,1))-AVERAGE(OFFSET($H$3,0,0,'Données projet'!$E$10+1,1))</f>
        <v>676.7112666359476</v>
      </c>
      <c r="AO163" s="59">
        <f t="shared" si="144"/>
        <v>309.67876644201385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70.737775479381625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70.737775479381625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485.22040320000036</v>
      </c>
      <c r="BF163" s="13">
        <f t="shared" si="167"/>
        <v>108.85485742648815</v>
      </c>
      <c r="BG163" s="20">
        <f t="shared" si="168"/>
        <v>1034.6810789244676</v>
      </c>
      <c r="BH163" s="59">
        <f t="shared" si="116"/>
        <v>1324.3354034689751</v>
      </c>
      <c r="BI163" s="59">
        <f ca="1">AVERAGE(OFFSET($BH$3,0,0,'Données projet'!$E$11+1,1))-AVERAGE(OFFSET($H$3,0,0,'Données projet'!$E$11+1,1))</f>
        <v>667.4887768032404</v>
      </c>
      <c r="BJ163" s="59">
        <f t="shared" si="146"/>
        <v>305.76944302827178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69.649502010468069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69.649502010468069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462.47569680000038</v>
      </c>
      <c r="CA163" s="13">
        <f t="shared" si="170"/>
        <v>104.33370514628203</v>
      </c>
      <c r="CB163" s="20">
        <f t="shared" si="171"/>
        <v>987.19304172310842</v>
      </c>
      <c r="CC163" s="59">
        <f t="shared" si="119"/>
        <v>1276.8473662676161</v>
      </c>
      <c r="CD163" s="59">
        <f ca="1">AVERAGE(OFFSET($CC$3,0,0,'Données projet'!$E$12+1,1))-AVERAGE(OFFSET($H$3,0,0,'Données projet'!$E$12+1,1))</f>
        <v>639.80378676828764</v>
      </c>
      <c r="CE163" s="59">
        <f t="shared" si="148"/>
        <v>294.03328334345281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66.384681603727358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66.384681603727358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-1.7053025658242404E-13</v>
      </c>
      <c r="CU163" s="17">
        <f>CT163*VLOOKUP('Données projet'!$B$13,Paramètres!$A$1:$I$89,3,0)*VLOOKUP('Données projet'!$B$13,Paramètres!$A$1:$I$89,5,0)</f>
        <v>-1.4897523215040567E-13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340.64710509454375</v>
      </c>
      <c r="CZ163" s="59">
        <f t="shared" si="150"/>
        <v>329.6409514360613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20.010707893585433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20.010707893585433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8.4429999999999943</v>
      </c>
      <c r="DO163" s="12">
        <f>IF('Données projet'!$A$166&gt;35,DO162+DN163-DW162,IF(A163&lt;'Données projet'!$A$166,$DL$205^A163,IF(A163='Données projet'!$A$166,'Données projet'!$B$166,DO162+DN163-DW162)))</f>
        <v>485.99800000000039</v>
      </c>
      <c r="DP163" s="17">
        <f>DO163*VLOOKUP('Données projet'!$B$14,Paramètres!$A$1:$I$89,3,0)*VLOOKUP('Données projet'!$B$14,Paramètres!$A$1:$I$89,5,0)</f>
        <v>470.05726560000039</v>
      </c>
      <c r="DQ163" s="13">
        <f t="shared" si="176"/>
        <v>105.843571313921</v>
      </c>
      <c r="DR163" s="20">
        <f t="shared" si="177"/>
        <v>1003.0272909584129</v>
      </c>
      <c r="DS163" s="59">
        <f t="shared" si="125"/>
        <v>1292.6816155029205</v>
      </c>
      <c r="DT163" s="59">
        <f ca="1">AVERAGE(OFFSET($DS$3,0,0,'Données projet'!$E$14+1,1))-AVERAGE(OFFSET($H$3,0,0,'Données projet'!$E$14+1,1))</f>
        <v>649.03508893149228</v>
      </c>
      <c r="DU163" s="59">
        <f t="shared" si="152"/>
        <v>297.94672581383213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67.472955072640914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67.472955072640914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8.4429999999999943</v>
      </c>
      <c r="EJ163" s="12">
        <f>IF('Données projet'!$A$192&gt;35,EJ162+EI163-ER162,IF(A163&lt;'Données projet'!$A$192,$EG$205^A163,IF(A163='Données projet'!$A$192,'Données projet'!$B$192,EJ162+EI163-ER162)))</f>
        <v>485.99800000000039</v>
      </c>
      <c r="EK163" s="17">
        <f>EJ163*VLOOKUP('Données projet'!$B$15,Paramètres!$A$1:$I$89,3,0)*VLOOKUP('Données projet'!$B$15,Paramètres!$A$1:$I$89,5,0)</f>
        <v>523.12824720000037</v>
      </c>
      <c r="EL163" s="13">
        <f t="shared" si="179"/>
        <v>116.33603149669382</v>
      </c>
      <c r="EM163" s="20">
        <f t="shared" si="180"/>
        <v>1113.7336187300759</v>
      </c>
      <c r="EN163" s="59">
        <f t="shared" si="128"/>
        <v>1403.3879432745834</v>
      </c>
      <c r="EO163" s="59">
        <f ca="1">AVERAGE(OFFSET($EN$3,0,0,'Données projet'!$E$15+1,1))-AVERAGE(OFFSET($H$3,0,0,'Données projet'!$E$15+1,1))</f>
        <v>713.57333631602273</v>
      </c>
      <c r="EP163" s="59">
        <f t="shared" si="154"/>
        <v>325.30302392555359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75.090869355035878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75.090869355035878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5.6843418860808015E-14</v>
      </c>
      <c r="FF163" s="17">
        <f>FE163*VLOOKUP('Données projet'!$B$16,Paramètres!$A$1:$I$89,3,0)*VLOOKUP('Données projet'!$B$16,Paramètres!$A$1:$I$89,5,0)</f>
        <v>4.4337866711430253E-14</v>
      </c>
      <c r="FG163" s="13">
        <f t="shared" si="182"/>
        <v>7.3222115536967035E-13</v>
      </c>
      <c r="FH163" s="20">
        <f t="shared" si="183"/>
        <v>1.3525069634579169E-12</v>
      </c>
      <c r="FI163" s="59">
        <f t="shared" si="131"/>
        <v>289.654324544509</v>
      </c>
      <c r="FJ163" s="59">
        <f ca="1">AVERAGE(OFFSET($FI$3,0,0,'Données projet'!$E$16+1,1))-AVERAGE(OFFSET($H$3,0,0,'Données projet'!$E$16+1,1))</f>
        <v>302.04287561738482</v>
      </c>
      <c r="FK163" s="59">
        <f t="shared" si="156"/>
        <v>296.09828774694802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17.021089981842984</v>
      </c>
      <c r="FR163" s="21">
        <f>EXP(-LN(2)/25)*FR162+(1-EXP(-LN(2)/25))/(LN(2)/25)*Calculateur!FM163*Calculateur!FO163*VLOOKUP('Données projet'!$B$16,Paramètres!$A$1:$I$89,3,0)*0.475*44/12</f>
        <v>4.0832315510580459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21.104321532901029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-2.8421709430404007E-14</v>
      </c>
      <c r="GA163" s="17">
        <f>FZ163*VLOOKUP('Données projet'!$B$17,Paramètres!$A$1:$I$89,3,0)*VLOOKUP('Données projet'!$B$17,Paramètres!$A$1:$I$89,5,0)</f>
        <v>-2.3942448024172337E-14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385.41819366740276</v>
      </c>
      <c r="GF163" s="59">
        <f t="shared" si="158"/>
        <v>262.4625391252718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66.469340997730583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66.469340997730583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68.996633966683902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3.3000000000000003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12.100000000000001</v>
      </c>
      <c r="H164" s="67">
        <f t="shared" si="110"/>
        <v>208.26666666666665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8.4429999999999943</v>
      </c>
      <c r="N164" s="13">
        <f>IF('Données projet'!$A$36&gt;35,N163+M164-V163,IF(A164&lt;'Données projet'!$A$36,$K$205^A164,IF(A164='Données projet'!$A$36,'Données projet'!$B$36,N163+M164-V163)))</f>
        <v>494.44100000000037</v>
      </c>
      <c r="O164" s="13">
        <f>N164*VLOOKUP('Données projet'!$B$9,Paramètres!$A$1:$I$89,3,0)*VLOOKUP('Données projet'!$B$9,Paramètres!$A$1:$I$89,5,0)</f>
        <v>447.37021680000026</v>
      </c>
      <c r="P164" s="13">
        <f t="shared" si="141"/>
        <v>101.3168050491076</v>
      </c>
      <c r="Q164" s="20">
        <f t="shared" si="162"/>
        <v>955.62989638719603</v>
      </c>
      <c r="R164" s="59">
        <f t="shared" si="109"/>
        <v>1245.3480435091583</v>
      </c>
      <c r="S164" s="59">
        <f ca="1">AVERAGE(OFFSET($R$3,0,0,'Données projet'!$E$9+1,1))-AVERAGE(OFFSET($H$3,0,0,'Données projet'!$E$9+1,1))</f>
        <v>612.09138396952153</v>
      </c>
      <c r="T164" s="59">
        <f t="shared" si="142"/>
        <v>282.284310393542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61.882119218227587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61.882119218227587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501.36317400000041</v>
      </c>
      <c r="AK164" s="13">
        <f t="shared" si="164"/>
        <v>112.04868215190658</v>
      </c>
      <c r="AL164" s="20">
        <f t="shared" si="165"/>
        <v>1068.3589827979044</v>
      </c>
      <c r="AM164" s="59">
        <f t="shared" si="113"/>
        <v>1358.0771299198668</v>
      </c>
      <c r="AN164" s="59">
        <f ca="1">AVERAGE(OFFSET($AM$3,0,0,'Données projet'!$E$10+1,1))-AVERAGE(OFFSET($H$3,0,0,'Données projet'!$E$10+1,1))</f>
        <v>676.7112666359476</v>
      </c>
      <c r="AO164" s="59">
        <f t="shared" si="144"/>
        <v>309.67876644201385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69.3506508480137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69.3506508480137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493.64989440000039</v>
      </c>
      <c r="BF164" s="13">
        <f t="shared" si="167"/>
        <v>110.52413790747906</v>
      </c>
      <c r="BG164" s="20">
        <f t="shared" si="168"/>
        <v>1052.2697729355266</v>
      </c>
      <c r="BH164" s="59">
        <f t="shared" si="116"/>
        <v>1341.987920057489</v>
      </c>
      <c r="BI164" s="59">
        <f ca="1">AVERAGE(OFFSET($BH$3,0,0,'Données projet'!$E$11+1,1))-AVERAGE(OFFSET($H$3,0,0,'Données projet'!$E$11+1,1))</f>
        <v>667.4887768032404</v>
      </c>
      <c r="BJ164" s="59">
        <f t="shared" si="146"/>
        <v>305.76944302827178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68.283717758044261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68.283717758044261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470.51005560000038</v>
      </c>
      <c r="CA164" s="13">
        <f t="shared" si="170"/>
        <v>105.93365412079402</v>
      </c>
      <c r="CB164" s="20">
        <f t="shared" si="171"/>
        <v>1003.9727944303836</v>
      </c>
      <c r="CC164" s="59">
        <f t="shared" si="119"/>
        <v>1293.690941552346</v>
      </c>
      <c r="CD164" s="59">
        <f ca="1">AVERAGE(OFFSET($CC$3,0,0,'Données projet'!$E$12+1,1))-AVERAGE(OFFSET($H$3,0,0,'Données projet'!$E$12+1,1))</f>
        <v>639.80378676828764</v>
      </c>
      <c r="CE164" s="59">
        <f t="shared" si="148"/>
        <v>294.03328334345281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65.082918488135917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65.082918488135917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-1.7053025658242404E-13</v>
      </c>
      <c r="CU164" s="17">
        <f>CT164*VLOOKUP('Données projet'!$B$13,Paramètres!$A$1:$I$89,3,0)*VLOOKUP('Données projet'!$B$13,Paramètres!$A$1:$I$89,5,0)</f>
        <v>-1.4897523215040567E-13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340.64710509454375</v>
      </c>
      <c r="CZ164" s="59">
        <f t="shared" si="150"/>
        <v>329.6409514360613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19.618310117118863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19.618310117118863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8.4429999999999943</v>
      </c>
      <c r="DO164" s="12">
        <f>IF('Données projet'!$A$166&gt;35,DO163+DN164-DW163,IF(A164&lt;'Données projet'!$A$166,$DL$205^A164,IF(A164='Données projet'!$A$166,'Données projet'!$B$166,DO163+DN164-DW163)))</f>
        <v>494.44100000000037</v>
      </c>
      <c r="DP164" s="17">
        <f>DO164*VLOOKUP('Données projet'!$B$14,Paramètres!$A$1:$I$89,3,0)*VLOOKUP('Données projet'!$B$14,Paramètres!$A$1:$I$89,5,0)</f>
        <v>478.22333520000041</v>
      </c>
      <c r="DQ164" s="13">
        <f t="shared" si="176"/>
        <v>107.46667396464125</v>
      </c>
      <c r="DR164" s="20">
        <f t="shared" si="177"/>
        <v>1020.0767659617509</v>
      </c>
      <c r="DS164" s="59">
        <f t="shared" si="125"/>
        <v>1309.7949130837133</v>
      </c>
      <c r="DT164" s="59">
        <f ca="1">AVERAGE(OFFSET($DS$3,0,0,'Données projet'!$E$14+1,1))-AVERAGE(OFFSET($H$3,0,0,'Données projet'!$E$14+1,1))</f>
        <v>649.03508893149228</v>
      </c>
      <c r="DU164" s="59">
        <f t="shared" si="152"/>
        <v>297.94672581383213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66.149851578105356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66.149851578105356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8.4429999999999943</v>
      </c>
      <c r="EJ164" s="12">
        <f>IF('Données projet'!$A$192&gt;35,EJ163+EI164-ER163,IF(A164&lt;'Données projet'!$A$192,$EG$205^A164,IF(A164='Données projet'!$A$192,'Données projet'!$B$192,EJ163+EI164-ER163)))</f>
        <v>494.44100000000037</v>
      </c>
      <c r="EK164" s="17">
        <f>EJ164*VLOOKUP('Données projet'!$B$15,Paramètres!$A$1:$I$89,3,0)*VLOOKUP('Données projet'!$B$15,Paramètres!$A$1:$I$89,5,0)</f>
        <v>532.21629240000038</v>
      </c>
      <c r="EL164" s="13">
        <f t="shared" si="179"/>
        <v>118.12003518017247</v>
      </c>
      <c r="EM164" s="20">
        <f t="shared" si="180"/>
        <v>1132.6691038688009</v>
      </c>
      <c r="EN164" s="59">
        <f t="shared" si="128"/>
        <v>1422.3872509907633</v>
      </c>
      <c r="EO164" s="59">
        <f ca="1">AVERAGE(OFFSET($EN$3,0,0,'Données projet'!$E$15+1,1))-AVERAGE(OFFSET($H$3,0,0,'Données projet'!$E$15+1,1))</f>
        <v>713.57333631602273</v>
      </c>
      <c r="EP164" s="59">
        <f t="shared" si="154"/>
        <v>325.30302392555359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73.618383207891469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73.618383207891469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5.6843418860808015E-14</v>
      </c>
      <c r="FF164" s="17">
        <f>FE164*VLOOKUP('Données projet'!$B$16,Paramètres!$A$1:$I$89,3,0)*VLOOKUP('Données projet'!$B$16,Paramètres!$A$1:$I$89,5,0)</f>
        <v>4.4337866711430253E-14</v>
      </c>
      <c r="FG164" s="13">
        <f t="shared" si="182"/>
        <v>7.3222115536967035E-13</v>
      </c>
      <c r="FH164" s="20">
        <f t="shared" si="183"/>
        <v>1.3525069634579169E-12</v>
      </c>
      <c r="FI164" s="59">
        <f t="shared" si="131"/>
        <v>289.71814712196368</v>
      </c>
      <c r="FJ164" s="59">
        <f ca="1">AVERAGE(OFFSET($FI$3,0,0,'Données projet'!$E$16+1,1))-AVERAGE(OFFSET($H$3,0,0,'Données projet'!$E$16+1,1))</f>
        <v>302.04287561738482</v>
      </c>
      <c r="FK164" s="59">
        <f t="shared" si="156"/>
        <v>296.09828774694802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16.687316789138809</v>
      </c>
      <c r="FR164" s="21">
        <f>EXP(-LN(2)/25)*FR163+(1-EXP(-LN(2)/25))/(LN(2)/25)*Calculateur!FM164*Calculateur!FO164*VLOOKUP('Données projet'!$B$16,Paramètres!$A$1:$I$89,3,0)*0.475*44/12</f>
        <v>3.9715753695665486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20.658892158705356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-2.8421709430404007E-14</v>
      </c>
      <c r="GA164" s="17">
        <f>FZ164*VLOOKUP('Données projet'!$B$17,Paramètres!$A$1:$I$89,3,0)*VLOOKUP('Données projet'!$B$17,Paramètres!$A$1:$I$89,5,0)</f>
        <v>-2.3942448024172337E-14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385.41819366740276</v>
      </c>
      <c r="GF164" s="59">
        <f t="shared" si="158"/>
        <v>262.4625391252718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65.16591776305988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65.16591776305988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69.014040124171544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3.3000000000000003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12.100000000000001</v>
      </c>
      <c r="H165" s="67">
        <f t="shared" si="110"/>
        <v>208.26666666666665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8.4429999999999943</v>
      </c>
      <c r="N165" s="13">
        <f>IF('Données projet'!$A$36&gt;35,N164+M165-V164,IF(A165&lt;'Données projet'!$A$36,$K$205^A165,IF(A165='Données projet'!$A$36,'Données projet'!$B$36,N164+M165-V164)))</f>
        <v>502.88400000000036</v>
      </c>
      <c r="O165" s="13">
        <f>N165*VLOOKUP('Données projet'!$B$9,Paramètres!$A$1:$I$89,3,0)*VLOOKUP('Données projet'!$B$9,Paramètres!$A$1:$I$89,5,0)</f>
        <v>455.00944320000031</v>
      </c>
      <c r="P165" s="13">
        <f t="shared" si="141"/>
        <v>102.84398567063174</v>
      </c>
      <c r="Q165" s="20">
        <f t="shared" si="162"/>
        <v>971.59472194968396</v>
      </c>
      <c r="R165" s="59">
        <f t="shared" si="109"/>
        <v>1261.3755844700681</v>
      </c>
      <c r="S165" s="59">
        <f ca="1">AVERAGE(OFFSET($R$3,0,0,'Données projet'!$E$9+1,1))-AVERAGE(OFFSET($H$3,0,0,'Données projet'!$E$9+1,1))</f>
        <v>612.09138396952153</v>
      </c>
      <c r="T165" s="59">
        <f t="shared" si="142"/>
        <v>282.284310393542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60.66864860472392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60.66864860472392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509.92437600000034</v>
      </c>
      <c r="AK165" s="13">
        <f t="shared" si="164"/>
        <v>113.73762779095213</v>
      </c>
      <c r="AL165" s="20">
        <f t="shared" si="165"/>
        <v>1086.211323269242</v>
      </c>
      <c r="AM165" s="59">
        <f t="shared" si="113"/>
        <v>1375.9921857896261</v>
      </c>
      <c r="AN165" s="59">
        <f ca="1">AVERAGE(OFFSET($AM$3,0,0,'Données projet'!$E$10+1,1))-AVERAGE(OFFSET($H$3,0,0,'Données projet'!$E$10+1,1))</f>
        <v>676.7112666359476</v>
      </c>
      <c r="AO165" s="59">
        <f t="shared" si="144"/>
        <v>309.67876644201385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67.990726884604413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67.990726884604413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502.07938560000036</v>
      </c>
      <c r="BF165" s="13">
        <f t="shared" si="167"/>
        <v>112.19010360330981</v>
      </c>
      <c r="BG165" s="20">
        <f t="shared" si="168"/>
        <v>1069.8526936957651</v>
      </c>
      <c r="BH165" s="59">
        <f t="shared" si="116"/>
        <v>1359.6335562161491</v>
      </c>
      <c r="BI165" s="59">
        <f ca="1">AVERAGE(OFFSET($BH$3,0,0,'Données projet'!$E$11+1,1))-AVERAGE(OFFSET($H$3,0,0,'Données projet'!$E$11+1,1))</f>
        <v>667.4887768032404</v>
      </c>
      <c r="BJ165" s="59">
        <f t="shared" si="146"/>
        <v>305.76944302827178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66.944715701764352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66.944715701764352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478.54441440000033</v>
      </c>
      <c r="CA165" s="13">
        <f t="shared" si="170"/>
        <v>107.53042598566002</v>
      </c>
      <c r="CB165" s="20">
        <f t="shared" si="171"/>
        <v>1020.7470136716917</v>
      </c>
      <c r="CC165" s="59">
        <f t="shared" si="119"/>
        <v>1310.5278761920758</v>
      </c>
      <c r="CD165" s="59">
        <f ca="1">AVERAGE(OFFSET($CC$3,0,0,'Données projet'!$E$12+1,1))-AVERAGE(OFFSET($H$3,0,0,'Données projet'!$E$12+1,1))</f>
        <v>639.80378676828764</v>
      </c>
      <c r="CE165" s="59">
        <f t="shared" si="148"/>
        <v>294.03328334345281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63.806682153244132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63.806682153244132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-1.7053025658242404E-13</v>
      </c>
      <c r="CU165" s="17">
        <f>CT165*VLOOKUP('Données projet'!$B$13,Paramètres!$A$1:$I$89,3,0)*VLOOKUP('Données projet'!$B$13,Paramètres!$A$1:$I$89,5,0)</f>
        <v>-1.4897523215040567E-13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340.64710509454375</v>
      </c>
      <c r="CZ165" s="59">
        <f t="shared" si="150"/>
        <v>329.6409514360613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19.233607021709791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19.233607021709791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8.4429999999999943</v>
      </c>
      <c r="DO165" s="12">
        <f>IF('Données projet'!$A$166&gt;35,DO164+DN165-DW164,IF(A165&lt;'Données projet'!$A$166,$DL$205^A165,IF(A165='Données projet'!$A$166,'Données projet'!$B$166,DO164+DN165-DW164)))</f>
        <v>502.88400000000036</v>
      </c>
      <c r="DP165" s="17">
        <f>DO165*VLOOKUP('Données projet'!$B$14,Paramètres!$A$1:$I$89,3,0)*VLOOKUP('Données projet'!$B$14,Paramètres!$A$1:$I$89,5,0)</f>
        <v>486.38940480000036</v>
      </c>
      <c r="DQ165" s="13">
        <f t="shared" si="176"/>
        <v>109.08655352814421</v>
      </c>
      <c r="DR165" s="20">
        <f t="shared" si="177"/>
        <v>1037.1206274215183</v>
      </c>
      <c r="DS165" s="59">
        <f t="shared" si="125"/>
        <v>1326.9014899419024</v>
      </c>
      <c r="DT165" s="59">
        <f ca="1">AVERAGE(OFFSET($DS$3,0,0,'Données projet'!$E$14+1,1))-AVERAGE(OFFSET($H$3,0,0,'Données projet'!$E$14+1,1))</f>
        <v>649.03508893149228</v>
      </c>
      <c r="DU165" s="59">
        <f t="shared" si="152"/>
        <v>297.94672581383213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64.852693336084201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64.852693336084201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8.4429999999999943</v>
      </c>
      <c r="EJ165" s="12">
        <f>IF('Données projet'!$A$192&gt;35,EJ164+EI165-ER164,IF(A165&lt;'Données projet'!$A$192,$EG$205^A165,IF(A165='Données projet'!$A$192,'Données projet'!$B$192,EJ164+EI165-ER164)))</f>
        <v>502.88400000000036</v>
      </c>
      <c r="EK165" s="17">
        <f>EJ165*VLOOKUP('Données projet'!$B$15,Paramètres!$A$1:$I$89,3,0)*VLOOKUP('Données projet'!$B$15,Paramètres!$A$1:$I$89,5,0)</f>
        <v>541.30433760000039</v>
      </c>
      <c r="EL165" s="13">
        <f t="shared" si="179"/>
        <v>119.90049626610461</v>
      </c>
      <c r="EM165" s="20">
        <f t="shared" si="180"/>
        <v>1151.598418983466</v>
      </c>
      <c r="EN165" s="59">
        <f t="shared" si="128"/>
        <v>1441.3792815038501</v>
      </c>
      <c r="EO165" s="59">
        <f ca="1">AVERAGE(OFFSET($EN$3,0,0,'Données projet'!$E$15+1,1))-AVERAGE(OFFSET($H$3,0,0,'Données projet'!$E$15+1,1))</f>
        <v>713.57333631602273</v>
      </c>
      <c r="EP165" s="59">
        <f t="shared" si="154"/>
        <v>325.30302392555359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72.174771615964687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72.174771615964687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5.6843418860808015E-14</v>
      </c>
      <c r="FF165" s="17">
        <f>FE165*VLOOKUP('Données projet'!$B$16,Paramètres!$A$1:$I$89,3,0)*VLOOKUP('Données projet'!$B$16,Paramètres!$A$1:$I$89,5,0)</f>
        <v>4.4337866711430253E-14</v>
      </c>
      <c r="FG165" s="13">
        <f t="shared" si="182"/>
        <v>7.3222115536967035E-13</v>
      </c>
      <c r="FH165" s="20">
        <f t="shared" si="183"/>
        <v>1.3525069634579169E-12</v>
      </c>
      <c r="FI165" s="59">
        <f t="shared" si="131"/>
        <v>289.78086252038543</v>
      </c>
      <c r="FJ165" s="59">
        <f ca="1">AVERAGE(OFFSET($FI$3,0,0,'Données projet'!$E$16+1,1))-AVERAGE(OFFSET($H$3,0,0,'Données projet'!$E$16+1,1))</f>
        <v>302.04287561738482</v>
      </c>
      <c r="FK165" s="59">
        <f t="shared" si="156"/>
        <v>296.09828774694802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16.360088685162019</v>
      </c>
      <c r="FR165" s="21">
        <f>EXP(-LN(2)/25)*FR164+(1-EXP(-LN(2)/25))/(LN(2)/25)*Calculateur!FM165*Calculateur!FO165*VLOOKUP('Données projet'!$B$16,Paramètres!$A$1:$I$89,3,0)*0.475*44/12</f>
        <v>3.8629724322296797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20.223061117391698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-2.8421709430404007E-14</v>
      </c>
      <c r="GA165" s="17">
        <f>FZ165*VLOOKUP('Données projet'!$B$17,Paramètres!$A$1:$I$89,3,0)*VLOOKUP('Données projet'!$B$17,Paramètres!$A$1:$I$89,5,0)</f>
        <v>-2.3942448024172337E-14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385.41819366740276</v>
      </c>
      <c r="GF165" s="59">
        <f t="shared" si="158"/>
        <v>262.4625391252718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63.888053863011393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63.888053863011393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69.031144323741103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3.3000000000000003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12.100000000000001</v>
      </c>
      <c r="H166" s="67">
        <f t="shared" si="110"/>
        <v>208.26666666666665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8.4429999999999943</v>
      </c>
      <c r="N166" s="13">
        <f>IF('Données projet'!$A$36&gt;35,N165+M166-V165,IF(A166&lt;'Données projet'!$A$36,$K$205^A166,IF(A166='Données projet'!$A$36,'Données projet'!$B$36,N165+M166-V165)))</f>
        <v>511.32700000000034</v>
      </c>
      <c r="O166" s="13">
        <f>N166*VLOOKUP('Données projet'!$B$9,Paramètres!$A$1:$I$89,3,0)*VLOOKUP('Données projet'!$B$9,Paramètres!$A$1:$I$89,5,0)</f>
        <v>462.64866960000029</v>
      </c>
      <c r="P166" s="13">
        <f t="shared" si="141"/>
        <v>104.36818455309495</v>
      </c>
      <c r="Q166" s="20">
        <f t="shared" si="162"/>
        <v>987.5543543166408</v>
      </c>
      <c r="R166" s="59">
        <f t="shared" si="109"/>
        <v>1277.3968442634946</v>
      </c>
      <c r="S166" s="59">
        <f ca="1">AVERAGE(OFFSET($R$3,0,0,'Données projet'!$E$9+1,1))-AVERAGE(OFFSET($H$3,0,0,'Données projet'!$E$9+1,1))</f>
        <v>612.09138396952153</v>
      </c>
      <c r="T166" s="59">
        <f t="shared" si="142"/>
        <v>282.284310393542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59.478973409807068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59.478973409807068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518.48557800000037</v>
      </c>
      <c r="AK166" s="13">
        <f t="shared" si="164"/>
        <v>115.42327585333055</v>
      </c>
      <c r="AL166" s="20">
        <f t="shared" si="165"/>
        <v>1104.0579204612179</v>
      </c>
      <c r="AM166" s="59">
        <f t="shared" si="113"/>
        <v>1393.9004104080718</v>
      </c>
      <c r="AN166" s="59">
        <f ca="1">AVERAGE(OFFSET($AM$3,0,0,'Données projet'!$E$10+1,1))-AVERAGE(OFFSET($H$3,0,0,'Données projet'!$E$10+1,1))</f>
        <v>676.7112666359476</v>
      </c>
      <c r="AO166" s="59">
        <f t="shared" si="144"/>
        <v>309.67876644201385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66.657470200645875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66.657470200645875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510.50887680000039</v>
      </c>
      <c r="BF166" s="13">
        <f t="shared" si="167"/>
        <v>113.85281658959215</v>
      </c>
      <c r="BG166" s="20">
        <f t="shared" si="168"/>
        <v>1087.4299493202068</v>
      </c>
      <c r="BH166" s="59">
        <f t="shared" si="116"/>
        <v>1377.2724392670607</v>
      </c>
      <c r="BI166" s="59">
        <f ca="1">AVERAGE(OFFSET($BH$3,0,0,'Données projet'!$E$11+1,1))-AVERAGE(OFFSET($H$3,0,0,'Données projet'!$E$11+1,1))</f>
        <v>667.4887768032404</v>
      </c>
      <c r="BJ166" s="59">
        <f t="shared" si="146"/>
        <v>305.76944302827178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65.631970659097476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65.631970659097476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486.57877320000034</v>
      </c>
      <c r="CA166" s="13">
        <f t="shared" si="170"/>
        <v>109.12408023825806</v>
      </c>
      <c r="CB166" s="20">
        <f t="shared" si="171"/>
        <v>1037.5158030716334</v>
      </c>
      <c r="CC166" s="59">
        <f t="shared" si="119"/>
        <v>1327.3582930184873</v>
      </c>
      <c r="CD166" s="59">
        <f ca="1">AVERAGE(OFFSET($CC$3,0,0,'Données projet'!$E$12+1,1))-AVERAGE(OFFSET($H$3,0,0,'Données projet'!$E$12+1,1))</f>
        <v>639.80378676828764</v>
      </c>
      <c r="CE166" s="59">
        <f t="shared" si="148"/>
        <v>294.03328334345281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62.555472034452272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62.555472034452272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-1.7053025658242404E-13</v>
      </c>
      <c r="CU166" s="17">
        <f>CT166*VLOOKUP('Données projet'!$B$13,Paramètres!$A$1:$I$89,3,0)*VLOOKUP('Données projet'!$B$13,Paramètres!$A$1:$I$89,5,0)</f>
        <v>-1.4897523215040567E-13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340.64710509454375</v>
      </c>
      <c r="CZ166" s="59">
        <f t="shared" si="150"/>
        <v>329.6409514360613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18.85644771935597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18.85644771935597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8.4429999999999943</v>
      </c>
      <c r="DO166" s="12">
        <f>IF('Données projet'!$A$166&gt;35,DO165+DN166-DW165,IF(A166&lt;'Données projet'!$A$166,$DL$205^A166,IF(A166='Données projet'!$A$166,'Données projet'!$B$166,DO165+DN166-DW165)))</f>
        <v>511.32700000000034</v>
      </c>
      <c r="DP166" s="17">
        <f>DO166*VLOOKUP('Données projet'!$B$14,Paramètres!$A$1:$I$89,3,0)*VLOOKUP('Données projet'!$B$14,Paramètres!$A$1:$I$89,5,0)</f>
        <v>494.55547440000038</v>
      </c>
      <c r="DQ166" s="13">
        <f t="shared" si="176"/>
        <v>110.7032703628248</v>
      </c>
      <c r="DR166" s="20">
        <f t="shared" si="177"/>
        <v>1054.1589804619205</v>
      </c>
      <c r="DS166" s="59">
        <f t="shared" si="125"/>
        <v>1344.0014704087744</v>
      </c>
      <c r="DT166" s="59">
        <f ca="1">AVERAGE(OFFSET($DS$3,0,0,'Données projet'!$E$14+1,1))-AVERAGE(OFFSET($H$3,0,0,'Données projet'!$E$14+1,1))</f>
        <v>649.03508893149228</v>
      </c>
      <c r="DU166" s="59">
        <f t="shared" si="152"/>
        <v>297.94672581383213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63.580971576000671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63.580971576000671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8.4429999999999943</v>
      </c>
      <c r="EJ166" s="12">
        <f>IF('Données projet'!$A$192&gt;35,EJ165+EI166-ER165,IF(A166&lt;'Données projet'!$A$192,$EG$205^A166,IF(A166='Données projet'!$A$192,'Données projet'!$B$192,EJ165+EI166-ER165)))</f>
        <v>511.32700000000034</v>
      </c>
      <c r="EK166" s="17">
        <f>EJ166*VLOOKUP('Données projet'!$B$15,Paramètres!$A$1:$I$89,3,0)*VLOOKUP('Données projet'!$B$15,Paramètres!$A$1:$I$89,5,0)</f>
        <v>550.39238280000041</v>
      </c>
      <c r="EL166" s="13">
        <f t="shared" si="179"/>
        <v>121.67748109631978</v>
      </c>
      <c r="EM166" s="20">
        <f t="shared" si="180"/>
        <v>1170.5216796194243</v>
      </c>
      <c r="EN166" s="59">
        <f t="shared" si="128"/>
        <v>1460.3641695662782</v>
      </c>
      <c r="EO166" s="59">
        <f ca="1">AVERAGE(OFFSET($EN$3,0,0,'Données projet'!$E$15+1,1))-AVERAGE(OFFSET($H$3,0,0,'Données projet'!$E$15+1,1))</f>
        <v>713.57333631602273</v>
      </c>
      <c r="EP166" s="59">
        <f t="shared" si="154"/>
        <v>325.30302392555359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70.759468366839471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70.759468366839471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5.6843418860808015E-14</v>
      </c>
      <c r="FF166" s="17">
        <f>FE166*VLOOKUP('Données projet'!$B$16,Paramètres!$A$1:$I$89,3,0)*VLOOKUP('Données projet'!$B$16,Paramètres!$A$1:$I$89,5,0)</f>
        <v>4.4337866711430253E-14</v>
      </c>
      <c r="FG166" s="13">
        <f t="shared" si="182"/>
        <v>7.3222115536967035E-13</v>
      </c>
      <c r="FH166" s="20">
        <f t="shared" si="183"/>
        <v>1.3525069634579169E-12</v>
      </c>
      <c r="FI166" s="59">
        <f t="shared" si="131"/>
        <v>289.84248994685521</v>
      </c>
      <c r="FJ166" s="59">
        <f ca="1">AVERAGE(OFFSET($FI$3,0,0,'Données projet'!$E$16+1,1))-AVERAGE(OFFSET($H$3,0,0,'Données projet'!$E$16+1,1))</f>
        <v>302.04287561738482</v>
      </c>
      <c r="FK166" s="59">
        <f t="shared" si="156"/>
        <v>296.09828774694802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16.039277324714778</v>
      </c>
      <c r="FR166" s="21">
        <f>EXP(-LN(2)/25)*FR165+(1-EXP(-LN(2)/25))/(LN(2)/25)*Calculateur!FM166*Calculateur!FO166*VLOOKUP('Données projet'!$B$16,Paramètres!$A$1:$I$89,3,0)*0.475*44/12</f>
        <v>3.7573392479254677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19.796616572640247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-2.8421709430404007E-14</v>
      </c>
      <c r="GA166" s="17">
        <f>FZ166*VLOOKUP('Données projet'!$B$17,Paramètres!$A$1:$I$89,3,0)*VLOOKUP('Données projet'!$B$17,Paramètres!$A$1:$I$89,5,0)</f>
        <v>-2.3942448024172337E-14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385.41819366740276</v>
      </c>
      <c r="GF166" s="59">
        <f t="shared" si="158"/>
        <v>262.4625391252718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62.635248094622838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62.635248094622838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69.047951803687411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3.3000000000000003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12.100000000000001</v>
      </c>
      <c r="H167" s="67">
        <f t="shared" si="110"/>
        <v>208.26666666666665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519.77</v>
      </c>
      <c r="L167" s="12">
        <f>VLOOKUP(A167,'Données projet'!$A$35:$I$55,9,0)</f>
        <v>8.4429999999999943</v>
      </c>
      <c r="M167" s="12">
        <f t="array" ref="M167">INDEX(L:L,MIN(IF(ISNUMBER(L167:L363),ROW(L167:L363),"")))</f>
        <v>8.4429999999999943</v>
      </c>
      <c r="N167" s="13">
        <f>IF('Données projet'!$A$36&gt;35,N166+M167-V166,IF(A167&lt;'Données projet'!$A$36,$K$205^A167,IF(A167='Données projet'!$A$36,'Données projet'!$B$36,N166+M167-V166)))</f>
        <v>519.77000000000032</v>
      </c>
      <c r="O167" s="13">
        <f>N167*VLOOKUP('Données projet'!$B$9,Paramètres!$A$1:$I$89,3,0)*VLOOKUP('Données projet'!$B$9,Paramètres!$A$1:$I$89,5,0)</f>
        <v>470.28789600000022</v>
      </c>
      <c r="P167" s="13">
        <f t="shared" si="141"/>
        <v>105.88945661390174</v>
      </c>
      <c r="Q167" s="20">
        <f t="shared" si="162"/>
        <v>1003.5088891358791</v>
      </c>
      <c r="R167" s="59">
        <f t="shared" si="109"/>
        <v>1293.4119374111317</v>
      </c>
      <c r="S167" s="59">
        <f ca="1">AVERAGE(OFFSET($R$3,0,0,'Données projet'!$E$9+1,1))-AVERAGE(OFFSET($H$3,0,0,'Données projet'!$E$9+1,1))</f>
        <v>612.09138396952153</v>
      </c>
      <c r="T167" s="59">
        <f t="shared" si="142"/>
        <v>282.284310393542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0.25800000000000001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73.687796339175065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73.687796339175065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527.04678000000035</v>
      </c>
      <c r="AK167" s="13">
        <f t="shared" si="164"/>
        <v>117.10568707351568</v>
      </c>
      <c r="AL167" s="20">
        <f t="shared" si="165"/>
        <v>1121.8988801530404</v>
      </c>
      <c r="AM167" s="59">
        <f t="shared" si="113"/>
        <v>1411.801928428293</v>
      </c>
      <c r="AN167" s="59">
        <f ca="1">AVERAGE(OFFSET($AM$3,0,0,'Données projet'!$E$10+1,1))-AVERAGE(OFFSET($H$3,0,0,'Données projet'!$E$10+1,1))</f>
        <v>676.7112666359476</v>
      </c>
      <c r="AO167" s="59">
        <f t="shared" si="144"/>
        <v>309.67876644201385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82.581151069765184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82.581151069765184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518.93836800000042</v>
      </c>
      <c r="BF167" s="13">
        <f t="shared" si="167"/>
        <v>115.51233677444105</v>
      </c>
      <c r="BG167" s="20">
        <f t="shared" si="168"/>
        <v>1105.0016441488187</v>
      </c>
      <c r="BH167" s="59">
        <f t="shared" si="116"/>
        <v>1394.9046924240713</v>
      </c>
      <c r="BI167" s="59">
        <f ca="1">AVERAGE(OFFSET($BH$3,0,0,'Données projet'!$E$11+1,1))-AVERAGE(OFFSET($H$3,0,0,'Données projet'!$E$11+1,1))</f>
        <v>667.4887768032404</v>
      </c>
      <c r="BJ167" s="59">
        <f t="shared" si="146"/>
        <v>305.76944302827178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81.310671822538026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81.310671822538026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494.61313200000029</v>
      </c>
      <c r="CA167" s="13">
        <f t="shared" si="170"/>
        <v>110.71467429849332</v>
      </c>
      <c r="CB167" s="20">
        <f t="shared" si="171"/>
        <v>1054.2792626365431</v>
      </c>
      <c r="CC167" s="59">
        <f t="shared" si="119"/>
        <v>1344.1823109117956</v>
      </c>
      <c r="CD167" s="59">
        <f ca="1">AVERAGE(OFFSET($CC$3,0,0,'Données projet'!$E$12+1,1))-AVERAGE(OFFSET($H$3,0,0,'Données projet'!$E$12+1,1))</f>
        <v>639.80378676828764</v>
      </c>
      <c r="CE167" s="59">
        <f t="shared" si="148"/>
        <v>294.03328334345281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0.25800000000000001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77.499234080856539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77.499234080856539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-1.7053025658242404E-13</v>
      </c>
      <c r="CU167" s="17">
        <f>CT167*VLOOKUP('Données projet'!$B$13,Paramètres!$A$1:$I$89,3,0)*VLOOKUP('Données projet'!$B$13,Paramètres!$A$1:$I$89,5,0)</f>
        <v>-1.4897523215040567E-13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340.64710509454375</v>
      </c>
      <c r="CZ167" s="59">
        <f t="shared" si="150"/>
        <v>329.6409514360613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18.486684280876847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18.486684280876847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>
        <f>VLOOKUP(A167,'Données projet'!$A$165:$I$185,2,0)</f>
        <v>519.77</v>
      </c>
      <c r="DM167" s="12">
        <f>VLOOKUP(A167,'Données projet'!$A$165:$I$185,9,0)</f>
        <v>8.4429999999999943</v>
      </c>
      <c r="DN167" s="12">
        <f t="array" ref="DN167">INDEX(DM:DM,MIN(IF(ISNUMBER(DM167:DM363),ROW(DM167:DM363),"")))</f>
        <v>8.4429999999999943</v>
      </c>
      <c r="DO167" s="12">
        <f>IF('Données projet'!$A$166&gt;35,DO166+DN167-DW166,IF(A167&lt;'Données projet'!$A$166,$DL$205^A167,IF(A167='Données projet'!$A$166,'Données projet'!$B$166,DO166+DN167-DW166)))</f>
        <v>519.77000000000032</v>
      </c>
      <c r="DP167" s="17">
        <f>DO167*VLOOKUP('Données projet'!$B$14,Paramètres!$A$1:$I$89,3,0)*VLOOKUP('Données projet'!$B$14,Paramètres!$A$1:$I$89,5,0)</f>
        <v>502.72154400000034</v>
      </c>
      <c r="DQ167" s="13">
        <f t="shared" si="176"/>
        <v>112.31688271954096</v>
      </c>
      <c r="DR167" s="20">
        <f t="shared" si="177"/>
        <v>1071.1919265365345</v>
      </c>
      <c r="DS167" s="59">
        <f t="shared" si="125"/>
        <v>1361.0949748117871</v>
      </c>
      <c r="DT167" s="59">
        <f ca="1">AVERAGE(OFFSET($DS$3,0,0,'Données projet'!$E$14+1,1))-AVERAGE(OFFSET($H$3,0,0,'Données projet'!$E$14+1,1))</f>
        <v>649.03508893149228</v>
      </c>
      <c r="DU167" s="59">
        <f t="shared" si="152"/>
        <v>297.94672581383213</v>
      </c>
      <c r="DV167" s="15">
        <f>IF(ISNA(VLOOKUP(A167,'Données projet'!$A$165:$I$185,3,0)),0,VLOOKUP(A167,'Données projet'!$A$165:$I$185,3,0))</f>
        <v>14</v>
      </c>
      <c r="DW167" s="15">
        <f>IF(ISNA(VLOOKUP(A167,'Données projet'!$A$165:$I$185,4,0)),0,VLOOKUP(A167,'Données projet'!$A$165:$I$185,4,0))</f>
        <v>59.58</v>
      </c>
      <c r="DX167" s="16">
        <f>IF(ISNA(VLOOKUP(A167,'Données projet'!$A$165:$I$185,5,0)),0%,VLOOKUP(A167,'Données projet'!$A$165:$I$185,5,0)*VLOOKUP('Données projet'!$B$14,Paramètres!$A$1:$I$89,7,0))</f>
        <v>0.25800000000000001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78.769713328083697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78.769713328083697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>
        <f>VLOOKUP(A167,'Données projet'!$A$191:$I$211,2,0)</f>
        <v>519.77</v>
      </c>
      <c r="EH167" s="12">
        <f>VLOOKUP(A167,'Données projet'!$A$191:$I$211,9,0)</f>
        <v>8.4429999999999943</v>
      </c>
      <c r="EI167" s="12">
        <f t="array" ref="EI167">INDEX(EH:EH,MIN(IF(ISNUMBER(EH167:EH363),ROW(EH167:EH363),"")))</f>
        <v>8.4429999999999943</v>
      </c>
      <c r="EJ167" s="12">
        <f>IF('Données projet'!$A$192&gt;35,EJ166+EI167-ER166,IF(A167&lt;'Données projet'!$A$192,$EG$205^A167,IF(A167='Données projet'!$A$192,'Données projet'!$B$192,EJ166+EI167-ER166)))</f>
        <v>519.77000000000032</v>
      </c>
      <c r="EK167" s="17">
        <f>EJ167*VLOOKUP('Données projet'!$B$15,Paramètres!$A$1:$I$89,3,0)*VLOOKUP('Données projet'!$B$15,Paramètres!$A$1:$I$89,5,0)</f>
        <v>559.4804280000003</v>
      </c>
      <c r="EL167" s="13">
        <f t="shared" si="179"/>
        <v>123.45105369618628</v>
      </c>
      <c r="EM167" s="20">
        <f t="shared" si="180"/>
        <v>1189.4389972875249</v>
      </c>
      <c r="EN167" s="59">
        <f t="shared" si="128"/>
        <v>1479.3420455627775</v>
      </c>
      <c r="EO167" s="59">
        <f ca="1">AVERAGE(OFFSET($EN$3,0,0,'Données projet'!$E$15+1,1))-AVERAGE(OFFSET($H$3,0,0,'Données projet'!$E$15+1,1))</f>
        <v>713.57333631602273</v>
      </c>
      <c r="EP167" s="59">
        <f t="shared" si="154"/>
        <v>325.30302392555359</v>
      </c>
      <c r="EQ167" s="15">
        <f>IF(ISNA(VLOOKUP(A167,'Données projet'!$A$191:$I$211,3,0)),0,VLOOKUP(A167,'Données projet'!$A$191:$I$211,3,0))</f>
        <v>14</v>
      </c>
      <c r="ER167" s="15">
        <f>IF(ISNA(VLOOKUP(A167,'Données projet'!$A$191:$I$211,4,0)),0,VLOOKUP(A167,'Données projet'!$A$191:$I$211,4,0))</f>
        <v>59.58</v>
      </c>
      <c r="ES167" s="16">
        <f>IF(ISNA(VLOOKUP(A167,'Données projet'!$A$191:$I$211,5,0)),0%,VLOOKUP(A167,'Données projet'!$A$191:$I$211,5,0)*VLOOKUP('Données projet'!$B$15,Paramètres!$A$1:$I$89,7,0))</f>
        <v>0.25800000000000001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87.663068058673801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87.663068058673801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5.6843418860808015E-14</v>
      </c>
      <c r="FF167" s="17">
        <f>FE167*VLOOKUP('Données projet'!$B$16,Paramètres!$A$1:$I$89,3,0)*VLOOKUP('Données projet'!$B$16,Paramètres!$A$1:$I$89,5,0)</f>
        <v>4.4337866711430253E-14</v>
      </c>
      <c r="FG167" s="13">
        <f t="shared" si="182"/>
        <v>7.3222115536967035E-13</v>
      </c>
      <c r="FH167" s="20">
        <f t="shared" si="183"/>
        <v>1.3525069634579169E-12</v>
      </c>
      <c r="FI167" s="59">
        <f t="shared" si="131"/>
        <v>289.90304827525398</v>
      </c>
      <c r="FJ167" s="59">
        <f ca="1">AVERAGE(OFFSET($FI$3,0,0,'Données projet'!$E$16+1,1))-AVERAGE(OFFSET($H$3,0,0,'Données projet'!$E$16+1,1))</f>
        <v>302.04287561738482</v>
      </c>
      <c r="FK167" s="59">
        <f t="shared" si="156"/>
        <v>296.09828774694802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15.724756879370299</v>
      </c>
      <c r="FR167" s="21">
        <f>EXP(-LN(2)/25)*FR166+(1-EXP(-LN(2)/25))/(LN(2)/25)*Calculateur!FM167*Calculateur!FO167*VLOOKUP('Données projet'!$B$16,Paramètres!$A$1:$I$89,3,0)*0.475*44/12</f>
        <v>3.6545946086010623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19.379351487971363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-2.8421709430404007E-14</v>
      </c>
      <c r="GA167" s="17">
        <f>FZ167*VLOOKUP('Données projet'!$B$17,Paramètres!$A$1:$I$89,3,0)*VLOOKUP('Données projet'!$B$17,Paramètres!$A$1:$I$89,5,0)</f>
        <v>-2.3942448024172337E-14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385.41819366740276</v>
      </c>
      <c r="GF167" s="59">
        <f t="shared" si="158"/>
        <v>262.4625391252718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61.407009083216316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61.407009083216316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69.064467711432528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3.3000000000000003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12.100000000000001</v>
      </c>
      <c r="H168" s="67">
        <f t="shared" si="110"/>
        <v>208.26666666666665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8.5459999999999976</v>
      </c>
      <c r="N168" s="13">
        <f>IF('Données projet'!$A$36&gt;35,N167+M168-V167,IF(A168&lt;'Données projet'!$A$36,$K$205^A168,IF(A168='Données projet'!$A$36,'Données projet'!$B$36,N167+M168-V167)))</f>
        <v>468.73600000000039</v>
      </c>
      <c r="O168" s="13">
        <f>N168*VLOOKUP('Données projet'!$B$9,Paramètres!$A$1:$I$89,3,0)*VLOOKUP('Données projet'!$B$9,Paramètres!$A$1:$I$89,5,0)</f>
        <v>424.11233280000033</v>
      </c>
      <c r="P168" s="13">
        <f t="shared" si="141"/>
        <v>96.648293340367189</v>
      </c>
      <c r="Q168" s="20">
        <f t="shared" si="162"/>
        <v>906.99142386114011</v>
      </c>
      <c r="R168" s="59">
        <f t="shared" si="109"/>
        <v>1196.9539799131819</v>
      </c>
      <c r="S168" s="59">
        <f ca="1">AVERAGE(OFFSET($R$3,0,0,'Données projet'!$E$9+1,1))-AVERAGE(OFFSET($H$3,0,0,'Données projet'!$E$9+1,1))</f>
        <v>612.09138396952153</v>
      </c>
      <c r="T168" s="59">
        <f t="shared" si="142"/>
        <v>282.284310393542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72.242823598081642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72.242823598081642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475.29830400000037</v>
      </c>
      <c r="AK168" s="13">
        <f t="shared" si="164"/>
        <v>106.88566320039537</v>
      </c>
      <c r="AL168" s="20">
        <f t="shared" si="165"/>
        <v>1013.9704095406892</v>
      </c>
      <c r="AM168" s="59">
        <f t="shared" si="113"/>
        <v>1303.9329655927309</v>
      </c>
      <c r="AN168" s="59">
        <f ca="1">AVERAGE(OFFSET($AM$3,0,0,'Données projet'!$E$10+1,1))-AVERAGE(OFFSET($H$3,0,0,'Données projet'!$E$10+1,1))</f>
        <v>676.7112666359476</v>
      </c>
      <c r="AO168" s="59">
        <f t="shared" si="144"/>
        <v>309.67876644201385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80.961785066815665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80.961785066815665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467.98602240000048</v>
      </c>
      <c r="BF168" s="13">
        <f t="shared" si="167"/>
        <v>105.43136744684914</v>
      </c>
      <c r="BG168" s="20">
        <f t="shared" si="168"/>
        <v>998.70195398326302</v>
      </c>
      <c r="BH168" s="59">
        <f t="shared" si="116"/>
        <v>1288.6645100353048</v>
      </c>
      <c r="BI168" s="59">
        <f ca="1">AVERAGE(OFFSET($BH$3,0,0,'Données projet'!$E$11+1,1))-AVERAGE(OFFSET($H$3,0,0,'Données projet'!$E$11+1,1))</f>
        <v>667.4887768032404</v>
      </c>
      <c r="BJ168" s="59">
        <f t="shared" si="146"/>
        <v>305.76944302827178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79.716219142710813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79.716219142710813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446.04917760000041</v>
      </c>
      <c r="CA168" s="13">
        <f t="shared" si="170"/>
        <v>101.05240560162805</v>
      </c>
      <c r="CB168" s="20">
        <f t="shared" si="171"/>
        <v>952.8685907428362</v>
      </c>
      <c r="CC168" s="59">
        <f t="shared" si="119"/>
        <v>1242.8311467948779</v>
      </c>
      <c r="CD168" s="59">
        <f ca="1">AVERAGE(OFFSET($CC$3,0,0,'Données projet'!$E$12+1,1))-AVERAGE(OFFSET($H$3,0,0,'Données projet'!$E$12+1,1))</f>
        <v>639.80378676828764</v>
      </c>
      <c r="CE168" s="59">
        <f t="shared" si="148"/>
        <v>294.03328334345281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75.979521370396213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75.979521370396213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-1.7053025658242404E-13</v>
      </c>
      <c r="CU168" s="17">
        <f>CT168*VLOOKUP('Données projet'!$B$13,Paramètres!$A$1:$I$89,3,0)*VLOOKUP('Données projet'!$B$13,Paramètres!$A$1:$I$89,5,0)</f>
        <v>-1.4897523215040567E-13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340.64710509454375</v>
      </c>
      <c r="CZ168" s="59">
        <f t="shared" si="150"/>
        <v>329.6409514360613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18.124171677892875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18.124171677892875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8.5459999999999976</v>
      </c>
      <c r="DO168" s="12">
        <f>IF('Données projet'!$A$166&gt;35,DO167+DN168-DW167,IF(A168&lt;'Données projet'!$A$166,$DL$205^A168,IF(A168='Données projet'!$A$166,'Données projet'!$B$166,DO167+DN168-DW167)))</f>
        <v>468.73600000000039</v>
      </c>
      <c r="DP168" s="17">
        <f>DO168*VLOOKUP('Données projet'!$B$14,Paramètres!$A$1:$I$89,3,0)*VLOOKUP('Données projet'!$B$14,Paramètres!$A$1:$I$89,5,0)</f>
        <v>453.36145920000041</v>
      </c>
      <c r="DQ168" s="13">
        <f t="shared" si="176"/>
        <v>102.51478641291534</v>
      </c>
      <c r="DR168" s="20">
        <f t="shared" si="177"/>
        <v>968.15112777582817</v>
      </c>
      <c r="DS168" s="59">
        <f t="shared" si="125"/>
        <v>1258.1136838278699</v>
      </c>
      <c r="DT168" s="59">
        <f ca="1">AVERAGE(OFFSET($DS$3,0,0,'Données projet'!$E$14+1,1))-AVERAGE(OFFSET($H$3,0,0,'Données projet'!$E$14+1,1))</f>
        <v>649.03508893149228</v>
      </c>
      <c r="DU168" s="59">
        <f t="shared" si="152"/>
        <v>297.94672581383213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77.22508729450108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77.22508729450108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8.5459999999999976</v>
      </c>
      <c r="EJ168" s="12">
        <f>IF('Données projet'!$A$192&gt;35,EJ167+EI168-ER167,IF(A168&lt;'Données projet'!$A$192,$EG$205^A168,IF(A168='Données projet'!$A$192,'Données projet'!$B$192,EJ167+EI168-ER167)))</f>
        <v>468.73600000000039</v>
      </c>
      <c r="EK168" s="17">
        <f>EJ168*VLOOKUP('Données projet'!$B$15,Paramètres!$A$1:$I$89,3,0)*VLOOKUP('Données projet'!$B$15,Paramètres!$A$1:$I$89,5,0)</f>
        <v>504.54743040000039</v>
      </c>
      <c r="EL168" s="13">
        <f t="shared" si="179"/>
        <v>112.67725826860105</v>
      </c>
      <c r="EM168" s="20">
        <f t="shared" si="180"/>
        <v>1074.999666097814</v>
      </c>
      <c r="EN168" s="59">
        <f t="shared" si="128"/>
        <v>1364.9622221498557</v>
      </c>
      <c r="EO168" s="59">
        <f ca="1">AVERAGE(OFFSET($EN$3,0,0,'Données projet'!$E$15+1,1))-AVERAGE(OFFSET($H$3,0,0,'Données projet'!$E$15+1,1))</f>
        <v>713.57333631602273</v>
      </c>
      <c r="EP168" s="59">
        <f t="shared" si="154"/>
        <v>325.30302392555359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85.944048763235074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85.944048763235074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5.6843418860808015E-14</v>
      </c>
      <c r="FF168" s="17">
        <f>FE168*VLOOKUP('Données projet'!$B$16,Paramètres!$A$1:$I$89,3,0)*VLOOKUP('Données projet'!$B$16,Paramètres!$A$1:$I$89,5,0)</f>
        <v>4.4337866711430253E-14</v>
      </c>
      <c r="FG168" s="13">
        <f t="shared" si="182"/>
        <v>7.3222115536967035E-13</v>
      </c>
      <c r="FH168" s="20">
        <f t="shared" si="183"/>
        <v>1.3525069634579169E-12</v>
      </c>
      <c r="FI168" s="59">
        <f t="shared" si="131"/>
        <v>289.96255605204311</v>
      </c>
      <c r="FJ168" s="59">
        <f ca="1">AVERAGE(OFFSET($FI$3,0,0,'Données projet'!$E$16+1,1))-AVERAGE(OFFSET($H$3,0,0,'Données projet'!$E$16+1,1))</f>
        <v>302.04287561738482</v>
      </c>
      <c r="FK168" s="59">
        <f t="shared" si="156"/>
        <v>296.09828774694802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15.416403988120496</v>
      </c>
      <c r="FR168" s="21">
        <f>EXP(-LN(2)/25)*FR167+(1-EXP(-LN(2)/25))/(LN(2)/25)*Calculateur!FM168*Calculateur!FO168*VLOOKUP('Données projet'!$B$16,Paramètres!$A$1:$I$89,3,0)*0.475*44/12</f>
        <v>3.5546595268420886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18.971063514962584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-2.8421709430404007E-14</v>
      </c>
      <c r="GA168" s="17">
        <f>FZ168*VLOOKUP('Données projet'!$B$17,Paramètres!$A$1:$I$89,3,0)*VLOOKUP('Données projet'!$B$17,Paramètres!$A$1:$I$89,5,0)</f>
        <v>-2.3942448024172337E-14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385.41819366740276</v>
      </c>
      <c r="GF168" s="59">
        <f t="shared" si="158"/>
        <v>262.4625391252718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60.202855089671651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60.202855089671651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69.080697105102303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3.3000000000000003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12.100000000000001</v>
      </c>
      <c r="H169" s="67">
        <f t="shared" si="110"/>
        <v>208.26666666666665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8.5459999999999976</v>
      </c>
      <c r="N169" s="13">
        <f>IF('Données projet'!$A$36&gt;35,N168+M169-V168,IF(A169&lt;'Données projet'!$A$36,$K$205^A169,IF(A169='Données projet'!$A$36,'Données projet'!$B$36,N168+M169-V168)))</f>
        <v>477.28200000000038</v>
      </c>
      <c r="O169" s="13">
        <f>N169*VLOOKUP('Données projet'!$B$9,Paramètres!$A$1:$I$89,3,0)*VLOOKUP('Données projet'!$B$9,Paramètres!$A$1:$I$89,5,0)</f>
        <v>431.84475360000033</v>
      </c>
      <c r="P169" s="13">
        <f t="shared" si="141"/>
        <v>98.203637489221336</v>
      </c>
      <c r="Q169" s="20">
        <f t="shared" si="162"/>
        <v>923.16761448039449</v>
      </c>
      <c r="R169" s="59">
        <f t="shared" si="109"/>
        <v>1213.1886459823377</v>
      </c>
      <c r="S169" s="59">
        <f ca="1">AVERAGE(OFFSET($R$3,0,0,'Données projet'!$E$9+1,1))-AVERAGE(OFFSET($H$3,0,0,'Données projet'!$E$9+1,1))</f>
        <v>612.09138396952153</v>
      </c>
      <c r="T169" s="59">
        <f t="shared" si="142"/>
        <v>282.284310393542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70.826185891094724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70.826185891094724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483.96394800000041</v>
      </c>
      <c r="AK169" s="13">
        <f t="shared" si="164"/>
        <v>108.6057555590847</v>
      </c>
      <c r="AL169" s="20">
        <f t="shared" si="165"/>
        <v>1032.0589003654065</v>
      </c>
      <c r="AM169" s="59">
        <f t="shared" si="113"/>
        <v>1322.0799318673498</v>
      </c>
      <c r="AN169" s="59">
        <f ca="1">AVERAGE(OFFSET($AM$3,0,0,'Données projet'!$E$10+1,1))-AVERAGE(OFFSET($H$3,0,0,'Données projet'!$E$10+1,1))</f>
        <v>676.7112666359476</v>
      </c>
      <c r="AO169" s="59">
        <f t="shared" si="144"/>
        <v>309.67876644201385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79.374173843468256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79.374173843468256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476.51834880000041</v>
      </c>
      <c r="BF169" s="13">
        <f t="shared" si="167"/>
        <v>107.12805607731094</v>
      </c>
      <c r="BG169" s="20">
        <f t="shared" si="168"/>
        <v>1016.5174884946508</v>
      </c>
      <c r="BH169" s="59">
        <f t="shared" si="116"/>
        <v>1306.538519996594</v>
      </c>
      <c r="BI169" s="59">
        <f ca="1">AVERAGE(OFFSET($BH$3,0,0,'Données projet'!$E$11+1,1))-AVERAGE(OFFSET($H$3,0,0,'Données projet'!$E$11+1,1))</f>
        <v>667.4887768032404</v>
      </c>
      <c r="BJ169" s="59">
        <f t="shared" si="146"/>
        <v>305.76944302827178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78.153032707414894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78.153032707414894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454.1815512000004</v>
      </c>
      <c r="CA169" s="13">
        <f t="shared" si="170"/>
        <v>102.67862436191818</v>
      </c>
      <c r="CB169" s="20">
        <f t="shared" si="171"/>
        <v>969.8648057703416</v>
      </c>
      <c r="CC169" s="59">
        <f t="shared" si="119"/>
        <v>1259.8858372722848</v>
      </c>
      <c r="CD169" s="59">
        <f ca="1">AVERAGE(OFFSET($CC$3,0,0,'Données projet'!$E$12+1,1))-AVERAGE(OFFSET($H$3,0,0,'Données projet'!$E$12+1,1))</f>
        <v>639.80378676828764</v>
      </c>
      <c r="CE169" s="59">
        <f t="shared" si="148"/>
        <v>294.03328334345281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74.489609299254795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74.489609299254795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-1.7053025658242404E-13</v>
      </c>
      <c r="CU169" s="17">
        <f>CT169*VLOOKUP('Données projet'!$B$13,Paramètres!$A$1:$I$89,3,0)*VLOOKUP('Données projet'!$B$13,Paramètres!$A$1:$I$89,5,0)</f>
        <v>-1.4897523215040567E-13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340.64710509454375</v>
      </c>
      <c r="CZ169" s="59">
        <f t="shared" si="150"/>
        <v>329.6409514360613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17.768767725942563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17.768767725942563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8.5459999999999976</v>
      </c>
      <c r="DO169" s="12">
        <f>IF('Données projet'!$A$166&gt;35,DO168+DN169-DW168,IF(A169&lt;'Données projet'!$A$166,$DL$205^A169,IF(A169='Données projet'!$A$166,'Données projet'!$B$166,DO168+DN169-DW168)))</f>
        <v>477.28200000000038</v>
      </c>
      <c r="DP169" s="17">
        <f>DO169*VLOOKUP('Données projet'!$B$14,Paramètres!$A$1:$I$89,3,0)*VLOOKUP('Données projet'!$B$14,Paramètres!$A$1:$I$89,5,0)</f>
        <v>461.6271504000004</v>
      </c>
      <c r="DQ169" s="13">
        <f t="shared" si="176"/>
        <v>104.16453901285873</v>
      </c>
      <c r="DR169" s="20">
        <f t="shared" si="177"/>
        <v>985.42052572739613</v>
      </c>
      <c r="DS169" s="59">
        <f t="shared" si="125"/>
        <v>1275.4415572293394</v>
      </c>
      <c r="DT169" s="59">
        <f ca="1">AVERAGE(OFFSET($DS$3,0,0,'Données projet'!$E$14+1,1))-AVERAGE(OFFSET($H$3,0,0,'Données projet'!$E$14+1,1))</f>
        <v>649.03508893149228</v>
      </c>
      <c r="DU169" s="59">
        <f t="shared" si="152"/>
        <v>297.94672581383213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75.710750435308157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75.710750435308157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8.5459999999999976</v>
      </c>
      <c r="EJ169" s="12">
        <f>IF('Données projet'!$A$192&gt;35,EJ168+EI169-ER168,IF(A169&lt;'Données projet'!$A$192,$EG$205^A169,IF(A169='Données projet'!$A$192,'Données projet'!$B$192,EJ168+EI169-ER168)))</f>
        <v>477.28200000000038</v>
      </c>
      <c r="EK169" s="17">
        <f>EJ169*VLOOKUP('Données projet'!$B$15,Paramètres!$A$1:$I$89,3,0)*VLOOKUP('Données projet'!$B$15,Paramètres!$A$1:$I$89,5,0)</f>
        <v>513.74634480000043</v>
      </c>
      <c r="EL169" s="13">
        <f t="shared" si="179"/>
        <v>114.49055375784276</v>
      </c>
      <c r="EM169" s="20">
        <f t="shared" si="180"/>
        <v>1094.1792649882436</v>
      </c>
      <c r="EN169" s="59">
        <f t="shared" si="128"/>
        <v>1384.2002964901869</v>
      </c>
      <c r="EO169" s="59">
        <f ca="1">AVERAGE(OFFSET($EN$3,0,0,'Données projet'!$E$15+1,1))-AVERAGE(OFFSET($H$3,0,0,'Données projet'!$E$15+1,1))</f>
        <v>713.57333631602273</v>
      </c>
      <c r="EP169" s="59">
        <f t="shared" si="154"/>
        <v>325.30302392555359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84.25873838768166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84.25873838768166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5.6843418860808015E-14</v>
      </c>
      <c r="FF169" s="17">
        <f>FE169*VLOOKUP('Données projet'!$B$16,Paramètres!$A$1:$I$89,3,0)*VLOOKUP('Données projet'!$B$16,Paramètres!$A$1:$I$89,5,0)</f>
        <v>4.4337866711430253E-14</v>
      </c>
      <c r="FG169" s="13">
        <f t="shared" si="182"/>
        <v>7.3222115536967035E-13</v>
      </c>
      <c r="FH169" s="20">
        <f t="shared" si="183"/>
        <v>1.3525069634579169E-12</v>
      </c>
      <c r="FI169" s="59">
        <f t="shared" si="131"/>
        <v>290.02103150194461</v>
      </c>
      <c r="FJ169" s="59">
        <f ca="1">AVERAGE(OFFSET($FI$3,0,0,'Données projet'!$E$16+1,1))-AVERAGE(OFFSET($H$3,0,0,'Données projet'!$E$16+1,1))</f>
        <v>302.04287561738482</v>
      </c>
      <c r="FK169" s="59">
        <f t="shared" si="156"/>
        <v>296.09828774694802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15.114097708991409</v>
      </c>
      <c r="FR169" s="21">
        <f>EXP(-LN(2)/25)*FR168+(1-EXP(-LN(2)/25))/(LN(2)/25)*Calculateur!FM169*Calculateur!FO169*VLOOKUP('Données projet'!$B$16,Paramètres!$A$1:$I$89,3,0)*0.475*44/12</f>
        <v>3.4574571751491714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18.571554884140582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-2.8421709430404007E-14</v>
      </c>
      <c r="GA169" s="17">
        <f>FZ169*VLOOKUP('Données projet'!$B$17,Paramètres!$A$1:$I$89,3,0)*VLOOKUP('Données projet'!$B$17,Paramètres!$A$1:$I$89,5,0)</f>
        <v>-2.3942448024172337E-14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385.41819366740276</v>
      </c>
      <c r="GF169" s="59">
        <f t="shared" si="158"/>
        <v>262.4625391252718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59.022313821478981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59.022313821478981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69.096644955075419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3.3000000000000003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12.100000000000001</v>
      </c>
      <c r="H170" s="67">
        <f t="shared" si="110"/>
        <v>208.26666666666665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8.5459999999999976</v>
      </c>
      <c r="N170" s="13">
        <f>IF('Données projet'!$A$36&gt;35,N169+M170-V169,IF(A170&lt;'Données projet'!$A$36,$K$205^A170,IF(A170='Données projet'!$A$36,'Données projet'!$B$36,N169+M170-V169)))</f>
        <v>485.82800000000037</v>
      </c>
      <c r="O170" s="13">
        <f>N170*VLOOKUP('Données projet'!$B$9,Paramètres!$A$1:$I$89,3,0)*VLOOKUP('Données projet'!$B$9,Paramètres!$A$1:$I$89,5,0)</f>
        <v>439.57717440000033</v>
      </c>
      <c r="P170" s="13">
        <f t="shared" si="141"/>
        <v>99.755743172047673</v>
      </c>
      <c r="Q170" s="20">
        <f t="shared" si="162"/>
        <v>939.33816477131688</v>
      </c>
      <c r="R170" s="59">
        <f t="shared" si="109"/>
        <v>1229.4166573048371</v>
      </c>
      <c r="S170" s="59">
        <f ca="1">AVERAGE(OFFSET($R$3,0,0,'Données projet'!$E$9+1,1))-AVERAGE(OFFSET($H$3,0,0,'Données projet'!$E$9+1,1))</f>
        <v>612.09138396952153</v>
      </c>
      <c r="T170" s="59">
        <f t="shared" si="142"/>
        <v>282.284310393542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69.43732758547813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69.43732758547813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492.6295920000004</v>
      </c>
      <c r="AK170" s="13">
        <f t="shared" si="164"/>
        <v>110.3222664206035</v>
      </c>
      <c r="AL170" s="20">
        <f t="shared" si="165"/>
        <v>1050.1411534158851</v>
      </c>
      <c r="AM170" s="59">
        <f t="shared" si="113"/>
        <v>1340.2196459494055</v>
      </c>
      <c r="AN170" s="59">
        <f ca="1">AVERAGE(OFFSET($AM$3,0,0,'Données projet'!$E$10+1,1))-AVERAGE(OFFSET($H$3,0,0,'Données projet'!$E$10+1,1))</f>
        <v>676.7112666359476</v>
      </c>
      <c r="AO170" s="59">
        <f t="shared" si="144"/>
        <v>309.67876644201385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77.817694707863453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77.817694707863453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485.05067520000046</v>
      </c>
      <c r="BF170" s="13">
        <f t="shared" si="167"/>
        <v>108.82121194076858</v>
      </c>
      <c r="BG170" s="20">
        <f t="shared" si="168"/>
        <v>1034.3268701035061</v>
      </c>
      <c r="BH170" s="59">
        <f t="shared" si="116"/>
        <v>1324.4053626370264</v>
      </c>
      <c r="BI170" s="59">
        <f ca="1">AVERAGE(OFFSET($BH$3,0,0,'Données projet'!$E$11+1,1))-AVERAGE(OFFSET($H$3,0,0,'Données projet'!$E$11+1,1))</f>
        <v>667.4887768032404</v>
      </c>
      <c r="BJ170" s="59">
        <f t="shared" si="146"/>
        <v>305.76944302827178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76.620499404665551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76.620499404665551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462.31392480000034</v>
      </c>
      <c r="CA170" s="13">
        <f t="shared" si="170"/>
        <v>104.30145708432539</v>
      </c>
      <c r="CB170" s="20">
        <f t="shared" si="171"/>
        <v>986.85512344853396</v>
      </c>
      <c r="CC170" s="59">
        <f t="shared" si="119"/>
        <v>1276.9336159820543</v>
      </c>
      <c r="CD170" s="59">
        <f ca="1">AVERAGE(OFFSET($CC$3,0,0,'Données projet'!$E$12+1,1))-AVERAGE(OFFSET($H$3,0,0,'Données projet'!$E$12+1,1))</f>
        <v>639.80378676828764</v>
      </c>
      <c r="CE170" s="59">
        <f t="shared" si="148"/>
        <v>294.03328334345281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73.028913495071833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73.028913495071833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-1.7053025658242404E-13</v>
      </c>
      <c r="CU170" s="17">
        <f>CT170*VLOOKUP('Données projet'!$B$13,Paramètres!$A$1:$I$89,3,0)*VLOOKUP('Données projet'!$B$13,Paramètres!$A$1:$I$89,5,0)</f>
        <v>-1.4897523215040567E-13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340.64710509454375</v>
      </c>
      <c r="CZ170" s="59">
        <f t="shared" si="150"/>
        <v>329.6409514360613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17.420333028714992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17.420333028714992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8.5459999999999976</v>
      </c>
      <c r="DO170" s="12">
        <f>IF('Données projet'!$A$166&gt;35,DO169+DN170-DW169,IF(A170&lt;'Données projet'!$A$166,$DL$205^A170,IF(A170='Données projet'!$A$166,'Données projet'!$B$166,DO169+DN170-DW169)))</f>
        <v>485.82800000000037</v>
      </c>
      <c r="DP170" s="17">
        <f>DO170*VLOOKUP('Données projet'!$B$14,Paramètres!$A$1:$I$89,3,0)*VLOOKUP('Données projet'!$B$14,Paramètres!$A$1:$I$89,5,0)</f>
        <v>469.89284160000039</v>
      </c>
      <c r="DQ170" s="13">
        <f t="shared" si="176"/>
        <v>105.81085657384101</v>
      </c>
      <c r="DR170" s="20">
        <f t="shared" si="177"/>
        <v>1002.6839409861069</v>
      </c>
      <c r="DS170" s="59">
        <f t="shared" si="125"/>
        <v>1292.7624335196272</v>
      </c>
      <c r="DT170" s="59">
        <f ca="1">AVERAGE(OFFSET($DS$3,0,0,'Données projet'!$E$14+1,1))-AVERAGE(OFFSET($H$3,0,0,'Données projet'!$E$14+1,1))</f>
        <v>649.03508893149228</v>
      </c>
      <c r="DU170" s="59">
        <f t="shared" si="152"/>
        <v>297.94672581383213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74.226108798269735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74.226108798269735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8.5459999999999976</v>
      </c>
      <c r="EJ170" s="12">
        <f>IF('Données projet'!$A$192&gt;35,EJ169+EI170-ER169,IF(A170&lt;'Données projet'!$A$192,$EG$205^A170,IF(A170='Données projet'!$A$192,'Données projet'!$B$192,EJ169+EI170-ER169)))</f>
        <v>485.82800000000037</v>
      </c>
      <c r="EK170" s="17">
        <f>EJ170*VLOOKUP('Données projet'!$B$15,Paramètres!$A$1:$I$89,3,0)*VLOOKUP('Données projet'!$B$15,Paramètres!$A$1:$I$89,5,0)</f>
        <v>522.94525920000035</v>
      </c>
      <c r="EL170" s="13">
        <f t="shared" si="179"/>
        <v>116.30007368664351</v>
      </c>
      <c r="EM170" s="20">
        <f t="shared" si="180"/>
        <v>1113.3522881109047</v>
      </c>
      <c r="EN170" s="59">
        <f t="shared" si="128"/>
        <v>1403.4307806444251</v>
      </c>
      <c r="EO170" s="59">
        <f ca="1">AVERAGE(OFFSET($EN$3,0,0,'Données projet'!$E$15+1,1))-AVERAGE(OFFSET($H$3,0,0,'Données projet'!$E$15+1,1))</f>
        <v>713.57333631602273</v>
      </c>
      <c r="EP170" s="59">
        <f t="shared" si="154"/>
        <v>325.30302392555359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82.606475920655029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82.606475920655029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5.6843418860808015E-14</v>
      </c>
      <c r="FF170" s="17">
        <f>FE170*VLOOKUP('Données projet'!$B$16,Paramètres!$A$1:$I$89,3,0)*VLOOKUP('Données projet'!$B$16,Paramètres!$A$1:$I$89,5,0)</f>
        <v>4.4337866711430253E-14</v>
      </c>
      <c r="FG170" s="13">
        <f t="shared" si="182"/>
        <v>7.3222115536967035E-13</v>
      </c>
      <c r="FH170" s="20">
        <f t="shared" si="183"/>
        <v>1.3525069634579169E-12</v>
      </c>
      <c r="FI170" s="59">
        <f t="shared" si="131"/>
        <v>290.07849253352168</v>
      </c>
      <c r="FJ170" s="59">
        <f ca="1">AVERAGE(OFFSET($FI$3,0,0,'Données projet'!$E$16+1,1))-AVERAGE(OFFSET($H$3,0,0,'Données projet'!$E$16+1,1))</f>
        <v>302.04287561738482</v>
      </c>
      <c r="FK170" s="59">
        <f t="shared" si="156"/>
        <v>296.09828774694802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14.81771947160742</v>
      </c>
      <c r="FR170" s="21">
        <f>EXP(-LN(2)/25)*FR169+(1-EXP(-LN(2)/25))/(LN(2)/25)*Calculateur!FM170*Calculateur!FO170*VLOOKUP('Données projet'!$B$16,Paramètres!$A$1:$I$89,3,0)*0.475*44/12</f>
        <v>3.3629128268749464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18.180632298482365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-2.8421709430404007E-14</v>
      </c>
      <c r="GA170" s="17">
        <f>FZ170*VLOOKUP('Données projet'!$B$17,Paramètres!$A$1:$I$89,3,0)*VLOOKUP('Données projet'!$B$17,Paramètres!$A$1:$I$89,5,0)</f>
        <v>-2.3942448024172337E-14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385.41819366740276</v>
      </c>
      <c r="GF170" s="59">
        <f t="shared" si="158"/>
        <v>262.4625391252718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57.864922247496501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57.864922247496501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69.112316145505531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3.3000000000000003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12.100000000000001</v>
      </c>
      <c r="H171" s="67">
        <f t="shared" si="110"/>
        <v>208.26666666666665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8.5459999999999976</v>
      </c>
      <c r="N171" s="13">
        <f>IF('Données projet'!$A$36&gt;35,N170+M171-V170,IF(A171&lt;'Données projet'!$A$36,$K$205^A171,IF(A171='Données projet'!$A$36,'Données projet'!$B$36,N170+M171-V170)))</f>
        <v>494.37400000000036</v>
      </c>
      <c r="O171" s="13">
        <f>N171*VLOOKUP('Données projet'!$B$9,Paramètres!$A$1:$I$89,3,0)*VLOOKUP('Données projet'!$B$9,Paramètres!$A$1:$I$89,5,0)</f>
        <v>447.30959520000027</v>
      </c>
      <c r="P171" s="13">
        <f t="shared" si="141"/>
        <v>101.30467392781068</v>
      </c>
      <c r="Q171" s="20">
        <f t="shared" si="162"/>
        <v>955.50318539760417</v>
      </c>
      <c r="R171" s="59">
        <f t="shared" si="109"/>
        <v>1245.6381421422673</v>
      </c>
      <c r="S171" s="59">
        <f ca="1">AVERAGE(OFFSET($R$3,0,0,'Données projet'!$E$9+1,1))-AVERAGE(OFFSET($H$3,0,0,'Données projet'!$E$9+1,1))</f>
        <v>612.09138396952153</v>
      </c>
      <c r="T171" s="59">
        <f t="shared" si="142"/>
        <v>282.284310393542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68.075703944114764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68.075703944114764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501.29523600000039</v>
      </c>
      <c r="AK171" s="13">
        <f t="shared" si="164"/>
        <v>112.03526605421492</v>
      </c>
      <c r="AL171" s="20">
        <f t="shared" si="165"/>
        <v>1068.2172910777583</v>
      </c>
      <c r="AM171" s="59">
        <f t="shared" si="113"/>
        <v>1358.3522478224215</v>
      </c>
      <c r="AN171" s="59">
        <f ca="1">AVERAGE(OFFSET($AM$3,0,0,'Données projet'!$E$10+1,1))-AVERAGE(OFFSET($H$3,0,0,'Données projet'!$E$10+1,1))</f>
        <v>676.7112666359476</v>
      </c>
      <c r="AO171" s="59">
        <f t="shared" si="144"/>
        <v>309.67876644201385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76.291737178749329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76.291737178749329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493.58300160000039</v>
      </c>
      <c r="BF171" s="13">
        <f t="shared" si="167"/>
        <v>110.51090435039498</v>
      </c>
      <c r="BG171" s="20">
        <f t="shared" si="168"/>
        <v>1052.1302195302717</v>
      </c>
      <c r="BH171" s="59">
        <f t="shared" si="116"/>
        <v>1342.2651762749349</v>
      </c>
      <c r="BI171" s="59">
        <f ca="1">AVERAGE(OFFSET($BH$3,0,0,'Données projet'!$E$11+1,1))-AVERAGE(OFFSET($H$3,0,0,'Données projet'!$E$11+1,1))</f>
        <v>667.4887768032404</v>
      </c>
      <c r="BJ171" s="59">
        <f t="shared" si="146"/>
        <v>305.76944302827178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75.11801814523011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75.11801814523011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470.44629840000033</v>
      </c>
      <c r="CA171" s="13">
        <f t="shared" si="170"/>
        <v>105.92097020318585</v>
      </c>
      <c r="CB171" s="20">
        <f t="shared" si="171"/>
        <v>1003.8396594838824</v>
      </c>
      <c r="CC171" s="59">
        <f t="shared" si="119"/>
        <v>1293.9746162285455</v>
      </c>
      <c r="CD171" s="59">
        <f ca="1">AVERAGE(OFFSET($CC$3,0,0,'Données projet'!$E$12+1,1))-AVERAGE(OFFSET($H$3,0,0,'Données projet'!$E$12+1,1))</f>
        <v>639.80378676828764</v>
      </c>
      <c r="CE171" s="59">
        <f t="shared" si="148"/>
        <v>294.03328334345281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71.596861044672423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71.596861044672423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-1.7053025658242404E-13</v>
      </c>
      <c r="CU171" s="17">
        <f>CT171*VLOOKUP('Données projet'!$B$13,Paramètres!$A$1:$I$89,3,0)*VLOOKUP('Données projet'!$B$13,Paramètres!$A$1:$I$89,5,0)</f>
        <v>-1.4897523215040567E-13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340.64710509454375</v>
      </c>
      <c r="CZ171" s="59">
        <f t="shared" si="150"/>
        <v>329.6409514360613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17.078730923375872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17.078730923375872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8.5459999999999976</v>
      </c>
      <c r="DO171" s="12">
        <f>IF('Données projet'!$A$166&gt;35,DO170+DN171-DW170,IF(A171&lt;'Données projet'!$A$166,$DL$205^A171,IF(A171='Données projet'!$A$166,'Données projet'!$B$166,DO170+DN171-DW170)))</f>
        <v>494.37400000000036</v>
      </c>
      <c r="DP171" s="17">
        <f>DO171*VLOOKUP('Données projet'!$B$14,Paramètres!$A$1:$I$89,3,0)*VLOOKUP('Données projet'!$B$14,Paramètres!$A$1:$I$89,5,0)</f>
        <v>478.15853280000039</v>
      </c>
      <c r="DQ171" s="13">
        <f t="shared" si="176"/>
        <v>107.45380649160349</v>
      </c>
      <c r="DR171" s="20">
        <f t="shared" si="177"/>
        <v>1019.9414909328767</v>
      </c>
      <c r="DS171" s="59">
        <f t="shared" si="125"/>
        <v>1310.0764476775398</v>
      </c>
      <c r="DT171" s="59">
        <f ca="1">AVERAGE(OFFSET($DS$3,0,0,'Données projet'!$E$14+1,1))-AVERAGE(OFFSET($H$3,0,0,'Données projet'!$E$14+1,1))</f>
        <v>649.03508893149228</v>
      </c>
      <c r="DU171" s="59">
        <f t="shared" si="152"/>
        <v>297.94672581383213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72.770580078191657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72.770580078191657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8.5459999999999976</v>
      </c>
      <c r="EJ171" s="12">
        <f>IF('Données projet'!$A$192&gt;35,EJ170+EI171-ER170,IF(A171&lt;'Données projet'!$A$192,$EG$205^A171,IF(A171='Données projet'!$A$192,'Données projet'!$B$192,EJ170+EI171-ER170)))</f>
        <v>494.37400000000036</v>
      </c>
      <c r="EK171" s="17">
        <f>EJ171*VLOOKUP('Données projet'!$B$15,Paramètres!$A$1:$I$89,3,0)*VLOOKUP('Données projet'!$B$15,Paramètres!$A$1:$I$89,5,0)</f>
        <v>532.14417360000039</v>
      </c>
      <c r="EL171" s="13">
        <f t="shared" si="179"/>
        <v>118.1058921318037</v>
      </c>
      <c r="EM171" s="20">
        <f t="shared" si="180"/>
        <v>1132.518864482892</v>
      </c>
      <c r="EN171" s="59">
        <f t="shared" si="128"/>
        <v>1422.6538212275552</v>
      </c>
      <c r="EO171" s="59">
        <f ca="1">AVERAGE(OFFSET($EN$3,0,0,'Données projet'!$E$15+1,1))-AVERAGE(OFFSET($H$3,0,0,'Données projet'!$E$15+1,1))</f>
        <v>713.57333631602273</v>
      </c>
      <c r="EP171" s="59">
        <f t="shared" si="154"/>
        <v>325.30302392555359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80.986613312826194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80.986613312826194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5.6843418860808015E-14</v>
      </c>
      <c r="FF171" s="17">
        <f>FE171*VLOOKUP('Données projet'!$B$16,Paramètres!$A$1:$I$89,3,0)*VLOOKUP('Données projet'!$B$16,Paramètres!$A$1:$I$89,5,0)</f>
        <v>4.4337866711430253E-14</v>
      </c>
      <c r="FG171" s="13">
        <f t="shared" si="182"/>
        <v>7.3222115536967035E-13</v>
      </c>
      <c r="FH171" s="20">
        <f t="shared" si="183"/>
        <v>1.3525069634579169E-12</v>
      </c>
      <c r="FI171" s="59">
        <f t="shared" si="131"/>
        <v>290.13495674466452</v>
      </c>
      <c r="FJ171" s="59">
        <f ca="1">AVERAGE(OFFSET($FI$3,0,0,'Données projet'!$E$16+1,1))-AVERAGE(OFFSET($H$3,0,0,'Données projet'!$E$16+1,1))</f>
        <v>302.04287561738482</v>
      </c>
      <c r="FK171" s="59">
        <f t="shared" si="156"/>
        <v>296.09828774694802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14.527153030685657</v>
      </c>
      <c r="FR171" s="21">
        <f>EXP(-LN(2)/25)*FR170+(1-EXP(-LN(2)/25))/(LN(2)/25)*Calculateur!FM171*Calculateur!FO171*VLOOKUP('Données projet'!$B$16,Paramètres!$A$1:$I$89,3,0)*0.475*44/12</f>
        <v>3.2709537987761514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17.798106829461808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-2.8421709430404007E-14</v>
      </c>
      <c r="GA171" s="17">
        <f>FZ171*VLOOKUP('Données projet'!$B$17,Paramètres!$A$1:$I$89,3,0)*VLOOKUP('Données projet'!$B$17,Paramètres!$A$1:$I$89,5,0)</f>
        <v>-2.3942448024172337E-14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385.41819366740276</v>
      </c>
      <c r="GF171" s="59">
        <f t="shared" si="158"/>
        <v>262.4625391252718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56.730226416340663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56.730226416340663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69.127715475817226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3.3000000000000003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12.100000000000001</v>
      </c>
      <c r="H172" s="67">
        <f t="shared" si="110"/>
        <v>208.26666666666665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8.5459999999999976</v>
      </c>
      <c r="N172" s="13">
        <f>IF('Données projet'!$A$36&gt;35,N171+M172-V171,IF(A172&lt;'Données projet'!$A$36,$K$205^A172,IF(A172='Données projet'!$A$36,'Données projet'!$B$36,N171+M172-V171)))</f>
        <v>502.92000000000036</v>
      </c>
      <c r="O172" s="13">
        <f>N172*VLOOKUP('Données projet'!$B$9,Paramètres!$A$1:$I$89,3,0)*VLOOKUP('Données projet'!$B$9,Paramètres!$A$1:$I$89,5,0)</f>
        <v>455.04201600000027</v>
      </c>
      <c r="P172" s="13">
        <f t="shared" si="141"/>
        <v>102.85049097288233</v>
      </c>
      <c r="Q172" s="20">
        <f t="shared" si="162"/>
        <v>971.66278297777069</v>
      </c>
      <c r="R172" s="59">
        <f t="shared" si="109"/>
        <v>1261.8532244057485</v>
      </c>
      <c r="S172" s="59">
        <f ca="1">AVERAGE(OFFSET($R$3,0,0,'Données projet'!$E$9+1,1))-AVERAGE(OFFSET($H$3,0,0,'Données projet'!$E$9+1,1))</f>
        <v>612.09138396952153</v>
      </c>
      <c r="T172" s="59">
        <f t="shared" si="142"/>
        <v>282.284310393542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66.740780911850109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66.740780911850109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509.96088000000043</v>
      </c>
      <c r="AK172" s="13">
        <f t="shared" si="164"/>
        <v>113.74482216057152</v>
      </c>
      <c r="AL172" s="20">
        <f t="shared" si="165"/>
        <v>1086.2874312629961</v>
      </c>
      <c r="AM172" s="59">
        <f t="shared" si="113"/>
        <v>1376.4778726909738</v>
      </c>
      <c r="AN172" s="59">
        <f ca="1">AVERAGE(OFFSET($AM$3,0,0,'Données projet'!$E$10+1,1))-AVERAGE(OFFSET($H$3,0,0,'Données projet'!$E$10+1,1))</f>
        <v>676.7112666359476</v>
      </c>
      <c r="AO172" s="59">
        <f t="shared" si="144"/>
        <v>309.67876644201385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74.795702746038941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74.795702746038941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502.11532800000043</v>
      </c>
      <c r="BF172" s="13">
        <f t="shared" si="167"/>
        <v>112.19720008570208</v>
      </c>
      <c r="BG172" s="20">
        <f t="shared" si="168"/>
        <v>1069.9276530825985</v>
      </c>
      <c r="BH172" s="59">
        <f t="shared" si="116"/>
        <v>1360.1180945105762</v>
      </c>
      <c r="BI172" s="59">
        <f ca="1">AVERAGE(OFFSET($BH$3,0,0,'Données projet'!$E$11+1,1))-AVERAGE(OFFSET($H$3,0,0,'Données projet'!$E$11+1,1))</f>
        <v>667.4887768032404</v>
      </c>
      <c r="BJ172" s="59">
        <f t="shared" si="146"/>
        <v>305.76944302827178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73.644999626869122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73.644999626869122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478.57867200000032</v>
      </c>
      <c r="CA172" s="13">
        <f t="shared" si="170"/>
        <v>107.53722772440642</v>
      </c>
      <c r="CB172" s="20">
        <f t="shared" si="171"/>
        <v>1020.8185253533417</v>
      </c>
      <c r="CC172" s="59">
        <f t="shared" si="119"/>
        <v>1311.0089667813195</v>
      </c>
      <c r="CD172" s="59">
        <f ca="1">AVERAGE(OFFSET($CC$3,0,0,'Données projet'!$E$12+1,1))-AVERAGE(OFFSET($H$3,0,0,'Données projet'!$E$12+1,1))</f>
        <v>639.80378676828764</v>
      </c>
      <c r="CE172" s="59">
        <f t="shared" si="148"/>
        <v>294.03328334345281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70.192890269359609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70.192890269359609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-1.7053025658242404E-13</v>
      </c>
      <c r="CU172" s="17">
        <f>CT172*VLOOKUP('Données projet'!$B$13,Paramètres!$A$1:$I$89,3,0)*VLOOKUP('Données projet'!$B$13,Paramètres!$A$1:$I$89,5,0)</f>
        <v>-1.4897523215040567E-13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340.64710509454375</v>
      </c>
      <c r="CZ172" s="59">
        <f t="shared" si="150"/>
        <v>329.6409514360613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16.743827426965741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16.743827426965741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8.5459999999999976</v>
      </c>
      <c r="DO172" s="12">
        <f>IF('Données projet'!$A$166&gt;35,DO171+DN172-DW171,IF(A172&lt;'Données projet'!$A$166,$DL$205^A172,IF(A172='Données projet'!$A$166,'Données projet'!$B$166,DO171+DN172-DW171)))</f>
        <v>502.92000000000036</v>
      </c>
      <c r="DP172" s="17">
        <f>DO172*VLOOKUP('Données projet'!$B$14,Paramètres!$A$1:$I$89,3,0)*VLOOKUP('Données projet'!$B$14,Paramètres!$A$1:$I$89,5,0)</f>
        <v>486.42422400000038</v>
      </c>
      <c r="DQ172" s="13">
        <f t="shared" si="176"/>
        <v>109.09345369831506</v>
      </c>
      <c r="DR172" s="20">
        <f t="shared" si="177"/>
        <v>1037.1932886578995</v>
      </c>
      <c r="DS172" s="59">
        <f t="shared" si="125"/>
        <v>1327.3837300858772</v>
      </c>
      <c r="DT172" s="59">
        <f ca="1">AVERAGE(OFFSET($DS$3,0,0,'Données projet'!$E$14+1,1))-AVERAGE(OFFSET($H$3,0,0,'Données projet'!$E$14+1,1))</f>
        <v>649.03508893149228</v>
      </c>
      <c r="DU172" s="59">
        <f t="shared" si="152"/>
        <v>297.94672581383213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71.343593388529442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71.343593388529442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8.5459999999999976</v>
      </c>
      <c r="EJ172" s="12">
        <f>IF('Données projet'!$A$192&gt;35,EJ171+EI172-ER171,IF(A172&lt;'Données projet'!$A$192,$EG$205^A172,IF(A172='Données projet'!$A$192,'Données projet'!$B$192,EJ171+EI172-ER171)))</f>
        <v>502.92000000000036</v>
      </c>
      <c r="EK172" s="17">
        <f>EJ172*VLOOKUP('Données projet'!$B$15,Paramètres!$A$1:$I$89,3,0)*VLOOKUP('Données projet'!$B$15,Paramètres!$A$1:$I$89,5,0)</f>
        <v>541.34308800000031</v>
      </c>
      <c r="EL172" s="13">
        <f t="shared" si="179"/>
        <v>119.90808046233271</v>
      </c>
      <c r="EM172" s="20">
        <f t="shared" si="180"/>
        <v>1151.6791184052299</v>
      </c>
      <c r="EN172" s="59">
        <f t="shared" si="128"/>
        <v>1441.8695598332076</v>
      </c>
      <c r="EO172" s="59">
        <f ca="1">AVERAGE(OFFSET($EN$3,0,0,'Données projet'!$E$15+1,1))-AVERAGE(OFFSET($H$3,0,0,'Données projet'!$E$15+1,1))</f>
        <v>713.57333631602273</v>
      </c>
      <c r="EP172" s="59">
        <f t="shared" si="154"/>
        <v>325.30302392555359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79.398515222718245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79.398515222718245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5.6843418860808015E-14</v>
      </c>
      <c r="FF172" s="17">
        <f>FE172*VLOOKUP('Données projet'!$B$16,Paramètres!$A$1:$I$89,3,0)*VLOOKUP('Données projet'!$B$16,Paramètres!$A$1:$I$89,5,0)</f>
        <v>4.4337866711430253E-14</v>
      </c>
      <c r="FG172" s="13">
        <f t="shared" si="182"/>
        <v>7.3222115536967035E-13</v>
      </c>
      <c r="FH172" s="20">
        <f t="shared" si="183"/>
        <v>1.3525069634579169E-12</v>
      </c>
      <c r="FI172" s="59">
        <f t="shared" si="131"/>
        <v>290.19044142797912</v>
      </c>
      <c r="FJ172" s="59">
        <f ca="1">AVERAGE(OFFSET($FI$3,0,0,'Données projet'!$E$16+1,1))-AVERAGE(OFFSET($H$3,0,0,'Données projet'!$E$16+1,1))</f>
        <v>302.04287561738482</v>
      </c>
      <c r="FK172" s="59">
        <f t="shared" si="156"/>
        <v>296.09828774694802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14.24228442044234</v>
      </c>
      <c r="FR172" s="21">
        <f>EXP(-LN(2)/25)*FR171+(1-EXP(-LN(2)/25))/(LN(2)/25)*Calculateur!FM172*Calculateur!FO172*VLOOKUP('Données projet'!$B$16,Paramètres!$A$1:$I$89,3,0)*0.475*44/12</f>
        <v>3.1815093951366333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17.423793815578975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-2.8421709430404007E-14</v>
      </c>
      <c r="GA172" s="17">
        <f>FZ172*VLOOKUP('Données projet'!$B$17,Paramètres!$A$1:$I$89,3,0)*VLOOKUP('Données projet'!$B$17,Paramètres!$A$1:$I$89,5,0)</f>
        <v>-2.3942448024172337E-14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385.41819366740276</v>
      </c>
      <c r="GF172" s="59">
        <f t="shared" si="158"/>
        <v>262.4625391252718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55.617781278337674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55.617781278337674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69.142847662175754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3.3000000000000003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12.100000000000001</v>
      </c>
      <c r="H173" s="67">
        <f t="shared" si="110"/>
        <v>208.26666666666665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8.5459999999999976</v>
      </c>
      <c r="N173" s="13">
        <f>IF('Données projet'!$A$36&gt;35,N172+M173-V172,IF(A173&lt;'Données projet'!$A$36,$K$205^A173,IF(A173='Données projet'!$A$36,'Données projet'!$B$36,N172+M173-V172)))</f>
        <v>511.46600000000035</v>
      </c>
      <c r="O173" s="13">
        <f>N173*VLOOKUP('Données projet'!$B$9,Paramètres!$A$1:$I$89,3,0)*VLOOKUP('Données projet'!$B$9,Paramètres!$A$1:$I$89,5,0)</f>
        <v>462.77443680000027</v>
      </c>
      <c r="P173" s="13">
        <f t="shared" si="141"/>
        <v>104.39325332394039</v>
      </c>
      <c r="Q173" s="20">
        <f t="shared" si="162"/>
        <v>987.81706029919678</v>
      </c>
      <c r="R173" s="59">
        <f t="shared" si="109"/>
        <v>1278.0620238752788</v>
      </c>
      <c r="S173" s="59">
        <f ca="1">AVERAGE(OFFSET($R$3,0,0,'Données projet'!$E$9+1,1))-AVERAGE(OFFSET($H$3,0,0,'Données projet'!$E$9+1,1))</f>
        <v>612.09138396952153</v>
      </c>
      <c r="T173" s="59">
        <f t="shared" si="142"/>
        <v>282.284310393542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65.432034906025521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65.432034906025521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518.62652400000036</v>
      </c>
      <c r="AK173" s="13">
        <f t="shared" si="164"/>
        <v>115.45100000763091</v>
      </c>
      <c r="AL173" s="20">
        <f t="shared" si="165"/>
        <v>1104.3516876466244</v>
      </c>
      <c r="AM173" s="59">
        <f t="shared" si="113"/>
        <v>1394.5966512227064</v>
      </c>
      <c r="AN173" s="59">
        <f ca="1">AVERAGE(OFFSET($AM$3,0,0,'Données projet'!$E$10+1,1))-AVERAGE(OFFSET($H$3,0,0,'Données projet'!$E$10+1,1))</f>
        <v>676.7112666359476</v>
      </c>
      <c r="AO173" s="59">
        <f t="shared" si="144"/>
        <v>309.67876644201385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73.329004636063104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73.329004636063104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510.64765440000036</v>
      </c>
      <c r="BF173" s="13">
        <f t="shared" si="167"/>
        <v>113.88016352660551</v>
      </c>
      <c r="BG173" s="20">
        <f t="shared" si="168"/>
        <v>1087.7192828888385</v>
      </c>
      <c r="BH173" s="59">
        <f t="shared" si="116"/>
        <v>1377.9642464649205</v>
      </c>
      <c r="BI173" s="59">
        <f ca="1">AVERAGE(OFFSET($BH$3,0,0,'Données projet'!$E$11+1,1))-AVERAGE(OFFSET($H$3,0,0,'Données projet'!$E$11+1,1))</f>
        <v>667.4887768032404</v>
      </c>
      <c r="BJ173" s="59">
        <f t="shared" si="146"/>
        <v>305.76944302827178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72.20086610320061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72.20086610320061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486.71104560000038</v>
      </c>
      <c r="CA173" s="13">
        <f t="shared" si="170"/>
        <v>109.15029135396269</v>
      </c>
      <c r="CB173" s="20">
        <f t="shared" si="171"/>
        <v>1037.7918285281523</v>
      </c>
      <c r="CC173" s="59">
        <f t="shared" si="119"/>
        <v>1328.0367921042343</v>
      </c>
      <c r="CD173" s="59">
        <f ca="1">AVERAGE(OFFSET($CC$3,0,0,'Données projet'!$E$12+1,1))-AVERAGE(OFFSET($H$3,0,0,'Données projet'!$E$12+1,1))</f>
        <v>639.80378676828764</v>
      </c>
      <c r="CE173" s="59">
        <f t="shared" si="148"/>
        <v>294.03328334345281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68.816450504613059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68.816450504613059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-1.7053025658242404E-13</v>
      </c>
      <c r="CU173" s="17">
        <f>CT173*VLOOKUP('Données projet'!$B$13,Paramètres!$A$1:$I$89,3,0)*VLOOKUP('Données projet'!$B$13,Paramètres!$A$1:$I$89,5,0)</f>
        <v>-1.4897523215040567E-13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340.64710509454375</v>
      </c>
      <c r="CZ173" s="59">
        <f t="shared" si="150"/>
        <v>329.6409514360613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16.415491183849248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16.415491183849248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8.5459999999999976</v>
      </c>
      <c r="DO173" s="12">
        <f>IF('Données projet'!$A$166&gt;35,DO172+DN173-DW172,IF(A173&lt;'Données projet'!$A$166,$DL$205^A173,IF(A173='Données projet'!$A$166,'Données projet'!$B$166,DO172+DN173-DW172)))</f>
        <v>511.46600000000035</v>
      </c>
      <c r="DP173" s="17">
        <f>DO173*VLOOKUP('Données projet'!$B$14,Paramètres!$A$1:$I$89,3,0)*VLOOKUP('Données projet'!$B$14,Paramètres!$A$1:$I$89,5,0)</f>
        <v>494.68991520000037</v>
      </c>
      <c r="DQ173" s="13">
        <f t="shared" si="176"/>
        <v>110.72986079292981</v>
      </c>
      <c r="DR173" s="20">
        <f t="shared" si="177"/>
        <v>1054.4394431876869</v>
      </c>
      <c r="DS173" s="59">
        <f t="shared" si="125"/>
        <v>1344.6844067637689</v>
      </c>
      <c r="DT173" s="59">
        <f ca="1">AVERAGE(OFFSET($DS$3,0,0,'Données projet'!$E$14+1,1))-AVERAGE(OFFSET($H$3,0,0,'Données projet'!$E$14+1,1))</f>
        <v>649.03508893149228</v>
      </c>
      <c r="DU173" s="59">
        <f t="shared" si="152"/>
        <v>297.94672581383213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69.944589037475566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69.944589037475566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8.5459999999999976</v>
      </c>
      <c r="EJ173" s="12">
        <f>IF('Données projet'!$A$192&gt;35,EJ172+EI173-ER172,IF(A173&lt;'Données projet'!$A$192,$EG$205^A173,IF(A173='Données projet'!$A$192,'Données projet'!$B$192,EJ172+EI173-ER172)))</f>
        <v>511.46600000000035</v>
      </c>
      <c r="EK173" s="17">
        <f>EJ173*VLOOKUP('Données projet'!$B$15,Paramètres!$A$1:$I$89,3,0)*VLOOKUP('Données projet'!$B$15,Paramètres!$A$1:$I$89,5,0)</f>
        <v>550.54200240000034</v>
      </c>
      <c r="EL173" s="13">
        <f t="shared" si="179"/>
        <v>121.70670748272963</v>
      </c>
      <c r="EM173" s="20">
        <f t="shared" si="180"/>
        <v>1170.8331697124213</v>
      </c>
      <c r="EN173" s="59">
        <f t="shared" si="128"/>
        <v>1461.0781332885033</v>
      </c>
      <c r="EO173" s="59">
        <f ca="1">AVERAGE(OFFSET($EN$3,0,0,'Données projet'!$E$15+1,1))-AVERAGE(OFFSET($H$3,0,0,'Données projet'!$E$15+1,1))</f>
        <v>713.57333631602273</v>
      </c>
      <c r="EP173" s="59">
        <f t="shared" si="154"/>
        <v>325.30302392555359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77.841558767513135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77.841558767513135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5.6843418860808015E-14</v>
      </c>
      <c r="FF173" s="17">
        <f>FE173*VLOOKUP('Données projet'!$B$16,Paramètres!$A$1:$I$89,3,0)*VLOOKUP('Données projet'!$B$16,Paramètres!$A$1:$I$89,5,0)</f>
        <v>4.4337866711430253E-14</v>
      </c>
      <c r="FG173" s="13">
        <f t="shared" si="182"/>
        <v>7.3222115536967035E-13</v>
      </c>
      <c r="FH173" s="20">
        <f t="shared" si="183"/>
        <v>1.3525069634579169E-12</v>
      </c>
      <c r="FI173" s="59">
        <f t="shared" si="131"/>
        <v>290.24496357608342</v>
      </c>
      <c r="FJ173" s="59">
        <f ca="1">AVERAGE(OFFSET($FI$3,0,0,'Données projet'!$E$16+1,1))-AVERAGE(OFFSET($H$3,0,0,'Données projet'!$E$16+1,1))</f>
        <v>302.04287561738482</v>
      </c>
      <c r="FK173" s="59">
        <f t="shared" si="156"/>
        <v>296.09828774694802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13.963001909893199</v>
      </c>
      <c r="FR173" s="21">
        <f>EXP(-LN(2)/25)*FR172+(1-EXP(-LN(2)/25))/(LN(2)/25)*Calculateur!FM173*Calculateur!FO173*VLOOKUP('Données projet'!$B$16,Paramètres!$A$1:$I$89,3,0)*0.475*44/12</f>
        <v>3.0945108534183143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17.057512763311514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-2.8421709430404007E-14</v>
      </c>
      <c r="GA173" s="17">
        <f>FZ173*VLOOKUP('Données projet'!$B$17,Paramètres!$A$1:$I$89,3,0)*VLOOKUP('Données projet'!$B$17,Paramètres!$A$1:$I$89,5,0)</f>
        <v>-2.3942448024172337E-14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385.41819366740276</v>
      </c>
      <c r="GF173" s="59">
        <f t="shared" si="158"/>
        <v>262.4625391252718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54.527150510966386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54.527150510966386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69.157717338931462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3.3000000000000003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12.100000000000001</v>
      </c>
      <c r="H174" s="67">
        <f t="shared" si="110"/>
        <v>208.26666666666665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8.5459999999999976</v>
      </c>
      <c r="N174" s="13">
        <f>IF('Données projet'!$A$36&gt;35,N173+M174-V173,IF(A174&lt;'Données projet'!$A$36,$K$205^A174,IF(A174='Données projet'!$A$36,'Données projet'!$B$36,N173+M174-V173)))</f>
        <v>520.0120000000004</v>
      </c>
      <c r="O174" s="13">
        <f>N174*VLOOKUP('Données projet'!$B$9,Paramètres!$A$1:$I$89,3,0)*VLOOKUP('Données projet'!$B$9,Paramètres!$A$1:$I$89,5,0)</f>
        <v>470.50685760000033</v>
      </c>
      <c r="P174" s="13">
        <f t="shared" si="141"/>
        <v>105.93301791241842</v>
      </c>
      <c r="Q174" s="20">
        <f t="shared" si="162"/>
        <v>1003.9661165174626</v>
      </c>
      <c r="R174" s="59">
        <f t="shared" si="109"/>
        <v>1294.2646564042725</v>
      </c>
      <c r="S174" s="59">
        <f ca="1">AVERAGE(OFFSET($R$3,0,0,'Données projet'!$E$9+1,1))-AVERAGE(OFFSET($H$3,0,0,'Données projet'!$E$9+1,1))</f>
        <v>612.09138396952153</v>
      </c>
      <c r="T174" s="59">
        <f t="shared" si="142"/>
        <v>282.284310393542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64.148952611118901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64.148952611118901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527.2921680000004</v>
      </c>
      <c r="AK174" s="13">
        <f t="shared" si="164"/>
        <v>117.15386255722979</v>
      </c>
      <c r="AL174" s="20">
        <f t="shared" si="165"/>
        <v>1122.4101698871759</v>
      </c>
      <c r="AM174" s="59">
        <f t="shared" si="113"/>
        <v>1412.7087097739859</v>
      </c>
      <c r="AN174" s="59">
        <f ca="1">AVERAGE(OFFSET($AM$3,0,0,'Données projet'!$E$10+1,1))-AVERAGE(OFFSET($H$3,0,0,'Données projet'!$E$10+1,1))</f>
        <v>676.7112666359476</v>
      </c>
      <c r="AO174" s="59">
        <f t="shared" si="144"/>
        <v>309.67876644201385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71.891067581426384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71.891067581426384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519.17998080000052</v>
      </c>
      <c r="BF174" s="13">
        <f t="shared" si="167"/>
        <v>115.55985677827805</v>
      </c>
      <c r="BG174" s="20">
        <f t="shared" si="168"/>
        <v>1105.5052171155019</v>
      </c>
      <c r="BH174" s="59">
        <f t="shared" si="116"/>
        <v>1395.8037570023118</v>
      </c>
      <c r="BI174" s="59">
        <f ca="1">AVERAGE(OFFSET($BH$3,0,0,'Données projet'!$E$11+1,1))-AVERAGE(OFFSET($H$3,0,0,'Données projet'!$E$11+1,1))</f>
        <v>667.4887768032404</v>
      </c>
      <c r="BJ174" s="59">
        <f t="shared" si="146"/>
        <v>305.76944302827178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70.78505115709676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70.78505115709676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494.84341920000037</v>
      </c>
      <c r="CA174" s="13">
        <f t="shared" si="170"/>
        <v>110.76022061756538</v>
      </c>
      <c r="CB174" s="20">
        <f t="shared" si="171"/>
        <v>1054.7596726822603</v>
      </c>
      <c r="CC174" s="59">
        <f t="shared" si="119"/>
        <v>1345.0582125690703</v>
      </c>
      <c r="CD174" s="59">
        <f ca="1">AVERAGE(OFFSET($CC$3,0,0,'Données projet'!$E$12+1,1))-AVERAGE(OFFSET($H$3,0,0,'Données projet'!$E$12+1,1))</f>
        <v>639.80378676828764</v>
      </c>
      <c r="CE174" s="59">
        <f t="shared" si="148"/>
        <v>294.03328334345281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67.46700188410783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67.46700188410783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-1.7053025658242404E-13</v>
      </c>
      <c r="CU174" s="17">
        <f>CT174*VLOOKUP('Données projet'!$B$13,Paramètres!$A$1:$I$89,3,0)*VLOOKUP('Données projet'!$B$13,Paramètres!$A$1:$I$89,5,0)</f>
        <v>-1.4897523215040567E-13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340.64710509454375</v>
      </c>
      <c r="CZ174" s="59">
        <f t="shared" si="150"/>
        <v>329.6409514360613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16.093593414194938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16.093593414194938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8.5459999999999976</v>
      </c>
      <c r="DO174" s="12">
        <f>IF('Données projet'!$A$166&gt;35,DO173+DN174-DW173,IF(A174&lt;'Données projet'!$A$166,$DL$205^A174,IF(A174='Données projet'!$A$166,'Données projet'!$B$166,DO173+DN174-DW173)))</f>
        <v>520.0120000000004</v>
      </c>
      <c r="DP174" s="17">
        <f>DO174*VLOOKUP('Données projet'!$B$14,Paramètres!$A$1:$I$89,3,0)*VLOOKUP('Données projet'!$B$14,Paramètres!$A$1:$I$89,5,0)</f>
        <v>502.95560640000036</v>
      </c>
      <c r="DQ174" s="13">
        <f t="shared" si="176"/>
        <v>112.36308816258565</v>
      </c>
      <c r="DR174" s="20">
        <f t="shared" si="177"/>
        <v>1071.6800596965038</v>
      </c>
      <c r="DS174" s="59">
        <f t="shared" si="125"/>
        <v>1361.9785995833138</v>
      </c>
      <c r="DT174" s="59">
        <f ca="1">AVERAGE(OFFSET($DS$3,0,0,'Données projet'!$E$14+1,1))-AVERAGE(OFFSET($H$3,0,0,'Données projet'!$E$14+1,1))</f>
        <v>649.03508893149228</v>
      </c>
      <c r="DU174" s="59">
        <f t="shared" si="152"/>
        <v>297.94672581383213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68.573018308437469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68.573018308437469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8.5459999999999976</v>
      </c>
      <c r="EJ174" s="12">
        <f>IF('Données projet'!$A$192&gt;35,EJ173+EI174-ER173,IF(A174&lt;'Données projet'!$A$192,$EG$205^A174,IF(A174='Données projet'!$A$192,'Données projet'!$B$192,EJ173+EI174-ER173)))</f>
        <v>520.0120000000004</v>
      </c>
      <c r="EK174" s="17">
        <f>EJ174*VLOOKUP('Données projet'!$B$15,Paramètres!$A$1:$I$89,3,0)*VLOOKUP('Données projet'!$B$15,Paramètres!$A$1:$I$89,5,0)</f>
        <v>559.74091680000038</v>
      </c>
      <c r="EL174" s="13">
        <f t="shared" si="179"/>
        <v>123.5018395664157</v>
      </c>
      <c r="EM174" s="20">
        <f t="shared" si="180"/>
        <v>1189.9811340048411</v>
      </c>
      <c r="EN174" s="59">
        <f t="shared" si="128"/>
        <v>1480.2796738916511</v>
      </c>
      <c r="EO174" s="59">
        <f ca="1">AVERAGE(OFFSET($EN$3,0,0,'Données projet'!$E$15+1,1))-AVERAGE(OFFSET($H$3,0,0,'Données projet'!$E$15+1,1))</f>
        <v>713.57333631602273</v>
      </c>
      <c r="EP174" s="59">
        <f t="shared" si="154"/>
        <v>325.30302392555359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76.315133278744923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76.315133278744923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5.6843418860808015E-14</v>
      </c>
      <c r="FF174" s="17">
        <f>FE174*VLOOKUP('Données projet'!$B$16,Paramètres!$A$1:$I$89,3,0)*VLOOKUP('Données projet'!$B$16,Paramètres!$A$1:$I$89,5,0)</f>
        <v>4.4337866711430253E-14</v>
      </c>
      <c r="FG174" s="13">
        <f t="shared" si="182"/>
        <v>7.3222115536967035E-13</v>
      </c>
      <c r="FH174" s="20">
        <f t="shared" si="183"/>
        <v>1.3525069634579169E-12</v>
      </c>
      <c r="FI174" s="59">
        <f t="shared" si="131"/>
        <v>290.29853988681128</v>
      </c>
      <c r="FJ174" s="59">
        <f ca="1">AVERAGE(OFFSET($FI$3,0,0,'Données projet'!$E$16+1,1))-AVERAGE(OFFSET($H$3,0,0,'Données projet'!$E$16+1,1))</f>
        <v>302.04287561738482</v>
      </c>
      <c r="FK174" s="59">
        <f t="shared" si="156"/>
        <v>296.09828774694802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13.689195959030416</v>
      </c>
      <c r="FR174" s="21">
        <f>EXP(-LN(2)/25)*FR173+(1-EXP(-LN(2)/25))/(LN(2)/25)*Calculateur!FM174*Calculateur!FO174*VLOOKUP('Données projet'!$B$16,Paramètres!$A$1:$I$89,3,0)*0.475*44/12</f>
        <v>3.0098912913983376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16.699087250428754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-2.8421709430404007E-14</v>
      </c>
      <c r="GA174" s="17">
        <f>FZ174*VLOOKUP('Données projet'!$B$17,Paramètres!$A$1:$I$89,3,0)*VLOOKUP('Données projet'!$B$17,Paramètres!$A$1:$I$89,5,0)</f>
        <v>-2.3942448024172337E-14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385.41819366740276</v>
      </c>
      <c r="GF174" s="59">
        <f t="shared" si="158"/>
        <v>262.4625391252718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53.457906347724162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53.457906347724162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69.172329060039075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3.3000000000000003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12.100000000000001</v>
      </c>
      <c r="H175" s="67">
        <f t="shared" si="110"/>
        <v>208.26666666666665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8.5459999999999976</v>
      </c>
      <c r="N175" s="13">
        <f>IF('Données projet'!$A$36&gt;35,N174+M175-V174,IF(A175&lt;'Données projet'!$A$36,$K$205^A175,IF(A175='Données projet'!$A$36,'Données projet'!$B$36,N174+M175-V174)))</f>
        <v>528.55800000000045</v>
      </c>
      <c r="O175" s="13">
        <f>N175*VLOOKUP('Données projet'!$B$9,Paramètres!$A$1:$I$89,3,0)*VLOOKUP('Données projet'!$B$9,Paramètres!$A$1:$I$89,5,0)</f>
        <v>478.23927840000039</v>
      </c>
      <c r="P175" s="13">
        <f t="shared" si="141"/>
        <v>107.46983969122122</v>
      </c>
      <c r="Q175" s="20">
        <f t="shared" si="162"/>
        <v>1020.110047342211</v>
      </c>
      <c r="R175" s="59">
        <f t="shared" si="109"/>
        <v>1310.4612341105365</v>
      </c>
      <c r="S175" s="59">
        <f ca="1">AVERAGE(OFFSET($R$3,0,0,'Données projet'!$E$9+1,1))-AVERAGE(OFFSET($H$3,0,0,'Données projet'!$E$9+1,1))</f>
        <v>612.09138396952153</v>
      </c>
      <c r="T175" s="59">
        <f t="shared" si="142"/>
        <v>282.284310393542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62.891030777412482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62.891030777412482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535.95781200000044</v>
      </c>
      <c r="AK175" s="13">
        <f t="shared" si="164"/>
        <v>118.85347058310219</v>
      </c>
      <c r="AL175" s="20">
        <f t="shared" si="165"/>
        <v>1140.4629838322371</v>
      </c>
      <c r="AM175" s="59">
        <f t="shared" si="113"/>
        <v>1430.8141706005624</v>
      </c>
      <c r="AN175" s="59">
        <f ca="1">AVERAGE(OFFSET($AM$3,0,0,'Données projet'!$E$10+1,1))-AVERAGE(OFFSET($H$3,0,0,'Données projet'!$E$10+1,1))</f>
        <v>676.7112666359476</v>
      </c>
      <c r="AO175" s="59">
        <f t="shared" si="144"/>
        <v>309.67876644201385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70.481327595376086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70.481327595376086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527.71230720000051</v>
      </c>
      <c r="BF175" s="13">
        <f t="shared" si="167"/>
        <v>117.23633978756058</v>
      </c>
      <c r="BG175" s="20">
        <f t="shared" si="168"/>
        <v>1123.2855601700023</v>
      </c>
      <c r="BH175" s="59">
        <f t="shared" si="116"/>
        <v>1413.6367469383276</v>
      </c>
      <c r="BI175" s="59">
        <f ca="1">AVERAGE(OFFSET($BH$3,0,0,'Données projet'!$E$11+1,1))-AVERAGE(OFFSET($H$3,0,0,'Données projet'!$E$11+1,1))</f>
        <v>667.4887768032404</v>
      </c>
      <c r="BJ175" s="59">
        <f t="shared" si="146"/>
        <v>305.76944302827178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69.396999478524165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69.396999478524165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502.97579280000042</v>
      </c>
      <c r="CA175" s="13">
        <f t="shared" si="170"/>
        <v>112.36707297223725</v>
      </c>
      <c r="CB175" s="20">
        <f t="shared" si="171"/>
        <v>1071.7221578866472</v>
      </c>
      <c r="CC175" s="59">
        <f t="shared" si="119"/>
        <v>1362.0733446549725</v>
      </c>
      <c r="CD175" s="59">
        <f ca="1">AVERAGE(OFFSET($CC$3,0,0,'Données projet'!$E$12+1,1))-AVERAGE(OFFSET($H$3,0,0,'Données projet'!$E$12+1,1))</f>
        <v>639.80378676828764</v>
      </c>
      <c r="CE175" s="59">
        <f t="shared" si="148"/>
        <v>294.03328334345281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66.144015127968316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66.144015127968316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-1.7053025658242404E-13</v>
      </c>
      <c r="CU175" s="17">
        <f>CT175*VLOOKUP('Données projet'!$B$13,Paramètres!$A$1:$I$89,3,0)*VLOOKUP('Données projet'!$B$13,Paramètres!$A$1:$I$89,5,0)</f>
        <v>-1.4897523215040567E-13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340.64710509454375</v>
      </c>
      <c r="CZ175" s="59">
        <f t="shared" si="150"/>
        <v>329.6409514360613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15.778007863465296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15.778007863465296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8.5459999999999976</v>
      </c>
      <c r="DO175" s="12">
        <f>IF('Données projet'!$A$166&gt;35,DO174+DN175-DW174,IF(A175&lt;'Données projet'!$A$166,$DL$205^A175,IF(A175='Données projet'!$A$166,'Données projet'!$B$166,DO174+DN175-DW174)))</f>
        <v>528.55800000000045</v>
      </c>
      <c r="DP175" s="17">
        <f>DO175*VLOOKUP('Données projet'!$B$14,Paramètres!$A$1:$I$89,3,0)*VLOOKUP('Données projet'!$B$14,Paramètres!$A$1:$I$89,5,0)</f>
        <v>511.22129760000047</v>
      </c>
      <c r="DQ175" s="13">
        <f t="shared" si="176"/>
        <v>113.99319409579488</v>
      </c>
      <c r="DR175" s="20">
        <f t="shared" si="177"/>
        <v>1088.9152397035102</v>
      </c>
      <c r="DS175" s="59">
        <f t="shared" si="125"/>
        <v>1379.2664264718355</v>
      </c>
      <c r="DT175" s="59">
        <f ca="1">AVERAGE(OFFSET($DS$3,0,0,'Données projet'!$E$14+1,1))-AVERAGE(OFFSET($H$3,0,0,'Données projet'!$E$14+1,1))</f>
        <v>649.03508893149228</v>
      </c>
      <c r="DU175" s="59">
        <f t="shared" si="152"/>
        <v>297.94672581383213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67.228343244820266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67.228343244820266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8.5459999999999976</v>
      </c>
      <c r="EJ175" s="12">
        <f>IF('Données projet'!$A$192&gt;35,EJ174+EI175-ER174,IF(A175&lt;'Données projet'!$A$192,$EG$205^A175,IF(A175='Données projet'!$A$192,'Données projet'!$B$192,EJ174+EI175-ER174)))</f>
        <v>528.55800000000045</v>
      </c>
      <c r="EK175" s="17">
        <f>EJ175*VLOOKUP('Données projet'!$B$15,Paramètres!$A$1:$I$89,3,0)*VLOOKUP('Données projet'!$B$15,Paramètres!$A$1:$I$89,5,0)</f>
        <v>568.93983120000041</v>
      </c>
      <c r="EL175" s="13">
        <f t="shared" si="179"/>
        <v>125.29354078014669</v>
      </c>
      <c r="EM175" s="20">
        <f t="shared" si="180"/>
        <v>1209.1231228654231</v>
      </c>
      <c r="EN175" s="59">
        <f t="shared" si="128"/>
        <v>1499.4743096337484</v>
      </c>
      <c r="EO175" s="59">
        <f ca="1">AVERAGE(OFFSET($EN$3,0,0,'Données projet'!$E$15+1,1))-AVERAGE(OFFSET($H$3,0,0,'Données projet'!$E$15+1,1))</f>
        <v>713.57333631602273</v>
      </c>
      <c r="EP175" s="59">
        <f t="shared" si="154"/>
        <v>325.30302392555359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74.818640062783842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74.818640062783842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5.6843418860808015E-14</v>
      </c>
      <c r="FF175" s="17">
        <f>FE175*VLOOKUP('Données projet'!$B$16,Paramètres!$A$1:$I$89,3,0)*VLOOKUP('Données projet'!$B$16,Paramètres!$A$1:$I$89,5,0)</f>
        <v>4.4337866711430253E-14</v>
      </c>
      <c r="FG175" s="13">
        <f t="shared" si="182"/>
        <v>7.3222115536967035E-13</v>
      </c>
      <c r="FH175" s="20">
        <f t="shared" si="183"/>
        <v>1.3525069634579169E-12</v>
      </c>
      <c r="FI175" s="59">
        <f t="shared" si="131"/>
        <v>290.35118676832673</v>
      </c>
      <c r="FJ175" s="59">
        <f ca="1">AVERAGE(OFFSET($FI$3,0,0,'Données projet'!$E$16+1,1))-AVERAGE(OFFSET($H$3,0,0,'Données projet'!$E$16+1,1))</f>
        <v>302.04287561738482</v>
      </c>
      <c r="FK175" s="59">
        <f t="shared" si="156"/>
        <v>296.09828774694802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13.420759175858912</v>
      </c>
      <c r="FR175" s="21">
        <f>EXP(-LN(2)/25)*FR174+(1-EXP(-LN(2)/25))/(LN(2)/25)*Calculateur!FM175*Calculateur!FO175*VLOOKUP('Données projet'!$B$16,Paramètres!$A$1:$I$89,3,0)*0.475*44/12</f>
        <v>2.9275856557517463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16.348344831610657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-2.8421709430404007E-14</v>
      </c>
      <c r="GA175" s="17">
        <f>FZ175*VLOOKUP('Données projet'!$B$17,Paramètres!$A$1:$I$89,3,0)*VLOOKUP('Données projet'!$B$17,Paramètres!$A$1:$I$89,5,0)</f>
        <v>-2.3942448024172337E-14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385.41819366740276</v>
      </c>
      <c r="GF175" s="59">
        <f t="shared" si="158"/>
        <v>262.4625391252718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52.409629410348579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52.409629410348579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69.186687300452377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3.3000000000000003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12.100000000000001</v>
      </c>
      <c r="H176" s="67">
        <f t="shared" si="110"/>
        <v>208.26666666666665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8.5459999999999976</v>
      </c>
      <c r="N176" s="13">
        <f>IF('Données projet'!$A$36&gt;35,N175+M176-V175,IF(A176&lt;'Données projet'!$A$36,$K$205^A176,IF(A176='Données projet'!$A$36,'Données projet'!$B$36,N175+M176-V175)))</f>
        <v>537.1040000000005</v>
      </c>
      <c r="O176" s="13">
        <f>N176*VLOOKUP('Données projet'!$B$9,Paramètres!$A$1:$I$89,3,0)*VLOOKUP('Données projet'!$B$9,Paramètres!$A$1:$I$89,5,0)</f>
        <v>485.97169920000039</v>
      </c>
      <c r="P176" s="13">
        <f t="shared" si="141"/>
        <v>109.00377173434057</v>
      </c>
      <c r="Q176" s="20">
        <f t="shared" si="162"/>
        <v>1036.2489452106438</v>
      </c>
      <c r="R176" s="59">
        <f t="shared" si="109"/>
        <v>1326.6518655547911</v>
      </c>
      <c r="S176" s="59">
        <f ca="1">AVERAGE(OFFSET($R$3,0,0,'Données projet'!$E$9+1,1))-AVERAGE(OFFSET($H$3,0,0,'Données projet'!$E$9+1,1))</f>
        <v>612.09138396952153</v>
      </c>
      <c r="T176" s="59">
        <f t="shared" si="142"/>
        <v>282.284310393542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61.657776023608484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61.657776023608484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544.62345600000049</v>
      </c>
      <c r="AK176" s="13">
        <f t="shared" si="164"/>
        <v>120.54988278104692</v>
      </c>
      <c r="AL176" s="20">
        <f t="shared" si="165"/>
        <v>1158.510231710324</v>
      </c>
      <c r="AM176" s="59">
        <f t="shared" si="113"/>
        <v>1448.9131520544713</v>
      </c>
      <c r="AN176" s="59">
        <f ca="1">AVERAGE(OFFSET($AM$3,0,0,'Données projet'!$E$10+1,1))-AVERAGE(OFFSET($H$3,0,0,'Données projet'!$E$10+1,1))</f>
        <v>676.7112666359476</v>
      </c>
      <c r="AO176" s="59">
        <f t="shared" si="144"/>
        <v>309.67876644201385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69.099231750595749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69.099231750595749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536.2446336000005</v>
      </c>
      <c r="BF176" s="13">
        <f t="shared" si="167"/>
        <v>118.90967045163195</v>
      </c>
      <c r="BG176" s="20">
        <f t="shared" si="168"/>
        <v>1141.0604128899265</v>
      </c>
      <c r="BH176" s="59">
        <f t="shared" si="116"/>
        <v>1431.4633332340738</v>
      </c>
      <c r="BI176" s="59">
        <f ca="1">AVERAGE(OFFSET($BH$3,0,0,'Données projet'!$E$11+1,1))-AVERAGE(OFFSET($H$3,0,0,'Données projet'!$E$11+1,1))</f>
        <v>667.4887768032404</v>
      </c>
      <c r="BJ176" s="59">
        <f t="shared" si="146"/>
        <v>305.76944302827178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68.03616664674044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68.03616664674044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511.10816640000047</v>
      </c>
      <c r="CA176" s="13">
        <f t="shared" si="170"/>
        <v>113.97090391046954</v>
      </c>
      <c r="CB176" s="20">
        <f t="shared" si="171"/>
        <v>1088.6793807907352</v>
      </c>
      <c r="CC176" s="59">
        <f t="shared" si="119"/>
        <v>1379.0823011348825</v>
      </c>
      <c r="CD176" s="59">
        <f ca="1">AVERAGE(OFFSET($CC$3,0,0,'Données projet'!$E$12+1,1))-AVERAGE(OFFSET($H$3,0,0,'Données projet'!$E$12+1,1))</f>
        <v>639.80378676828764</v>
      </c>
      <c r="CE176" s="59">
        <f t="shared" si="148"/>
        <v>294.03328334345281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64.846971335174459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64.846971335174459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-1.7053025658242404E-13</v>
      </c>
      <c r="CU176" s="17">
        <f>CT176*VLOOKUP('Données projet'!$B$13,Paramètres!$A$1:$I$89,3,0)*VLOOKUP('Données projet'!$B$13,Paramètres!$A$1:$I$89,5,0)</f>
        <v>-1.4897523215040567E-13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340.64710509454375</v>
      </c>
      <c r="CZ176" s="59">
        <f t="shared" si="150"/>
        <v>329.6409514360613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15.468610752897284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15.468610752897284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8.5459999999999976</v>
      </c>
      <c r="DO176" s="12">
        <f>IF('Données projet'!$A$166&gt;35,DO175+DN176-DW175,IF(A176&lt;'Données projet'!$A$166,$DL$205^A176,IF(A176='Données projet'!$A$166,'Données projet'!$B$166,DO175+DN176-DW175)))</f>
        <v>537.1040000000005</v>
      </c>
      <c r="DP176" s="17">
        <f>DO176*VLOOKUP('Données projet'!$B$14,Paramètres!$A$1:$I$89,3,0)*VLOOKUP('Données projet'!$B$14,Paramètres!$A$1:$I$89,5,0)</f>
        <v>519.48698880000052</v>
      </c>
      <c r="DQ176" s="13">
        <f t="shared" si="176"/>
        <v>115.62023488810887</v>
      </c>
      <c r="DR176" s="20">
        <f t="shared" si="177"/>
        <v>1106.1450812567903</v>
      </c>
      <c r="DS176" s="59">
        <f t="shared" si="125"/>
        <v>1396.5480016009376</v>
      </c>
      <c r="DT176" s="59">
        <f ca="1">AVERAGE(OFFSET($DS$3,0,0,'Données projet'!$E$14+1,1))-AVERAGE(OFFSET($H$3,0,0,'Données projet'!$E$14+1,1))</f>
        <v>649.03508893149228</v>
      </c>
      <c r="DU176" s="59">
        <f t="shared" si="152"/>
        <v>297.94672581383213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65.910036439029795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65.910036439029795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8.5459999999999976</v>
      </c>
      <c r="EJ176" s="12">
        <f>IF('Données projet'!$A$192&gt;35,EJ175+EI176-ER175,IF(A176&lt;'Données projet'!$A$192,$EG$205^A176,IF(A176='Données projet'!$A$192,'Données projet'!$B$192,EJ175+EI176-ER175)))</f>
        <v>537.1040000000005</v>
      </c>
      <c r="EK176" s="17">
        <f>EJ176*VLOOKUP('Données projet'!$B$15,Paramètres!$A$1:$I$89,3,0)*VLOOKUP('Données projet'!$B$15,Paramètres!$A$1:$I$89,5,0)</f>
        <v>578.13874560000045</v>
      </c>
      <c r="EL176" s="13">
        <f t="shared" si="179"/>
        <v>127.08187300015146</v>
      </c>
      <c r="EM176" s="20">
        <f t="shared" si="180"/>
        <v>1228.2592440619312</v>
      </c>
      <c r="EN176" s="59">
        <f t="shared" si="128"/>
        <v>1518.6621644060785</v>
      </c>
      <c r="EO176" s="59">
        <f ca="1">AVERAGE(OFFSET($EN$3,0,0,'Données projet'!$E$15+1,1))-AVERAGE(OFFSET($H$3,0,0,'Données projet'!$E$15+1,1))</f>
        <v>713.57333631602273</v>
      </c>
      <c r="EP176" s="59">
        <f t="shared" si="154"/>
        <v>325.30302392555359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73.351492166017024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73.351492166017024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5.6843418860808015E-14</v>
      </c>
      <c r="FF176" s="17">
        <f>FE176*VLOOKUP('Données projet'!$B$16,Paramètres!$A$1:$I$89,3,0)*VLOOKUP('Données projet'!$B$16,Paramètres!$A$1:$I$89,5,0)</f>
        <v>4.4337866711430253E-14</v>
      </c>
      <c r="FG176" s="13">
        <f t="shared" si="182"/>
        <v>7.3222115536967035E-13</v>
      </c>
      <c r="FH176" s="20">
        <f t="shared" si="183"/>
        <v>1.3525069634579169E-12</v>
      </c>
      <c r="FI176" s="59">
        <f t="shared" si="131"/>
        <v>290.4029203441487</v>
      </c>
      <c r="FJ176" s="59">
        <f ca="1">AVERAGE(OFFSET($FI$3,0,0,'Données projet'!$E$16+1,1))-AVERAGE(OFFSET($H$3,0,0,'Données projet'!$E$16+1,1))</f>
        <v>302.04287561738482</v>
      </c>
      <c r="FK176" s="59">
        <f t="shared" si="156"/>
        <v>296.09828774694802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13.157586274275129</v>
      </c>
      <c r="FR176" s="21">
        <f>EXP(-LN(2)/25)*FR175+(1-EXP(-LN(2)/25))/(LN(2)/25)*Calculateur!FM176*Calculateur!FO176*VLOOKUP('Données projet'!$B$16,Paramètres!$A$1:$I$89,3,0)*0.475*44/12</f>
        <v>2.8475306720401763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16.005116946315304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-2.8421709430404007E-14</v>
      </c>
      <c r="GA176" s="17">
        <f>FZ176*VLOOKUP('Données projet'!$B$17,Paramètres!$A$1:$I$89,3,0)*VLOOKUP('Données projet'!$B$17,Paramètres!$A$1:$I$89,5,0)</f>
        <v>-2.3942448024172337E-14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385.41819366740276</v>
      </c>
      <c r="GF176" s="59">
        <f t="shared" si="158"/>
        <v>262.4625391252718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51.381908544329136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51.381908544329136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69.200796457494732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3.3000000000000003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12.100000000000001</v>
      </c>
      <c r="H177" s="67">
        <f t="shared" si="110"/>
        <v>208.26666666666665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545.65</v>
      </c>
      <c r="L177" s="12">
        <f>VLOOKUP(A177,'Données projet'!$A$35:$I$55,9,0)</f>
        <v>8.5459999999999976</v>
      </c>
      <c r="M177" s="12">
        <f t="array" ref="M177">INDEX(L:L,MIN(IF(ISNUMBER(L177:L373),ROW(L177:L373),"")))</f>
        <v>8.5459999999999976</v>
      </c>
      <c r="N177" s="13">
        <f>IF('Données projet'!$A$36&gt;35,N176+M177-V176,IF(A177&lt;'Données projet'!$A$36,$K$205^A177,IF(A177='Données projet'!$A$36,'Données projet'!$B$36,N176+M177-V176)))</f>
        <v>545.65000000000055</v>
      </c>
      <c r="O177" s="13">
        <f>N177*VLOOKUP('Données projet'!$B$9,Paramètres!$A$1:$I$89,3,0)*VLOOKUP('Données projet'!$B$9,Paramètres!$A$1:$I$89,5,0)</f>
        <v>493.7041200000005</v>
      </c>
      <c r="P177" s="13">
        <f t="shared" si="141"/>
        <v>110.53486532995269</v>
      </c>
      <c r="Q177" s="20">
        <f t="shared" si="162"/>
        <v>1052.3828994496685</v>
      </c>
      <c r="R177" s="59">
        <f t="shared" si="109"/>
        <v>1342.8366559077563</v>
      </c>
      <c r="S177" s="59">
        <f ca="1">AVERAGE(OFFSET($R$3,0,0,'Données projet'!$E$9+1,1))-AVERAGE(OFFSET($H$3,0,0,'Données projet'!$E$9+1,1))</f>
        <v>612.09138396952153</v>
      </c>
      <c r="T177" s="59">
        <f t="shared" si="142"/>
        <v>282.284310393542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0.25800000000000001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115.87208689768337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115.87208689768337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553.28910000000053</v>
      </c>
      <c r="AK177" s="13">
        <f t="shared" si="164"/>
        <v>122.24315587188718</v>
      </c>
      <c r="AL177" s="20">
        <f t="shared" si="165"/>
        <v>1176.5520123102044</v>
      </c>
      <c r="AM177" s="59">
        <f t="shared" si="113"/>
        <v>1467.0057687682922</v>
      </c>
      <c r="AN177" s="59">
        <f ca="1">AVERAGE(OFFSET($AM$3,0,0,'Données projet'!$E$10+1,1))-AVERAGE(OFFSET($H$3,0,0,'Données projet'!$E$10+1,1))</f>
        <v>676.7112666359476</v>
      </c>
      <c r="AO177" s="59">
        <f t="shared" si="144"/>
        <v>309.67876644201385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129.85664910947281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129.85664910947281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544.7769600000006</v>
      </c>
      <c r="BF177" s="13">
        <f t="shared" si="167"/>
        <v>120.579904719567</v>
      </c>
      <c r="BG177" s="20">
        <f t="shared" si="168"/>
        <v>1158.8298727199137</v>
      </c>
      <c r="BH177" s="59">
        <f t="shared" si="116"/>
        <v>1449.2836291780015</v>
      </c>
      <c r="BI177" s="59">
        <f ca="1">AVERAGE(OFFSET($BH$3,0,0,'Données projet'!$E$11+1,1))-AVERAGE(OFFSET($H$3,0,0,'Données projet'!$E$11+1,1))</f>
        <v>667.4887768032404</v>
      </c>
      <c r="BJ177" s="59">
        <f t="shared" si="146"/>
        <v>305.76944302827178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127.85885450778859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127.85885450778859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519.24054000000058</v>
      </c>
      <c r="CA177" s="13">
        <f t="shared" si="170"/>
        <v>115.57176705756082</v>
      </c>
      <c r="CB177" s="20">
        <f t="shared" si="171"/>
        <v>1105.6314347919194</v>
      </c>
      <c r="CC177" s="59">
        <f t="shared" si="119"/>
        <v>1396.0851912500073</v>
      </c>
      <c r="CD177" s="59">
        <f ca="1">AVERAGE(OFFSET($CC$3,0,0,'Données projet'!$E$12+1,1))-AVERAGE(OFFSET($H$3,0,0,'Données projet'!$E$12+1,1))</f>
        <v>639.80378676828764</v>
      </c>
      <c r="CE177" s="59">
        <f t="shared" si="148"/>
        <v>294.03328334345281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0.25800000000000001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121.86547070273599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121.86547070273599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-1.7053025658242404E-13</v>
      </c>
      <c r="CU177" s="17">
        <f>CT177*VLOOKUP('Données projet'!$B$13,Paramètres!$A$1:$I$89,3,0)*VLOOKUP('Données projet'!$B$13,Paramètres!$A$1:$I$89,5,0)</f>
        <v>-1.4897523215040567E-13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340.64710509454375</v>
      </c>
      <c r="CZ177" s="59">
        <f t="shared" si="150"/>
        <v>329.6409514360613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15.165280730953906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15.165280730953906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>
        <f>VLOOKUP(A177,'Données projet'!$A$165:$I$185,2,0)</f>
        <v>545.65</v>
      </c>
      <c r="DM177" s="12">
        <f>VLOOKUP(A177,'Données projet'!$A$165:$I$185,9,0)</f>
        <v>8.5459999999999976</v>
      </c>
      <c r="DN177" s="12">
        <f t="array" ref="DN177">INDEX(DM:DM,MIN(IF(ISNUMBER(DM177:DM373),ROW(DM177:DM373),"")))</f>
        <v>8.5459999999999976</v>
      </c>
      <c r="DO177" s="12">
        <f>IF('Données projet'!$A$166&gt;35,DO176+DN177-DW176,IF(A177&lt;'Données projet'!$A$166,$DL$205^A177,IF(A177='Données projet'!$A$166,'Données projet'!$B$166,DO176+DN177-DW176)))</f>
        <v>545.65000000000055</v>
      </c>
      <c r="DP177" s="17">
        <f>DO177*VLOOKUP('Données projet'!$B$14,Paramètres!$A$1:$I$89,3,0)*VLOOKUP('Données projet'!$B$14,Paramètres!$A$1:$I$89,5,0)</f>
        <v>527.75268000000051</v>
      </c>
      <c r="DQ177" s="13">
        <f t="shared" si="176"/>
        <v>117.24426494086524</v>
      </c>
      <c r="DR177" s="20">
        <f t="shared" si="177"/>
        <v>1123.369679105341</v>
      </c>
      <c r="DS177" s="59">
        <f t="shared" si="125"/>
        <v>1413.8234355634288</v>
      </c>
      <c r="DT177" s="59">
        <f ca="1">AVERAGE(OFFSET($DS$3,0,0,'Données projet'!$E$14+1,1))-AVERAGE(OFFSET($H$3,0,0,'Données projet'!$E$14+1,1))</f>
        <v>649.03508893149228</v>
      </c>
      <c r="DU177" s="59">
        <f t="shared" si="152"/>
        <v>297.94672581383213</v>
      </c>
      <c r="DV177" s="15">
        <f>IF(ISNA(VLOOKUP(A177,'Données projet'!$A$165:$I$185,3,0)),0,VLOOKUP(A177,'Données projet'!$A$165:$I$185,3,0))</f>
        <v>15</v>
      </c>
      <c r="DW177" s="15">
        <f>IF(ISNA(VLOOKUP(A177,'Données projet'!$A$165:$I$185,4,0)),0,VLOOKUP(A177,'Données projet'!$A$165:$I$185,4,0))</f>
        <v>214.77</v>
      </c>
      <c r="DX177" s="16">
        <f>IF(ISNA(VLOOKUP(A177,'Données projet'!$A$165:$I$185,5,0)),0%,VLOOKUP(A177,'Données projet'!$A$165:$I$185,5,0)*VLOOKUP('Données projet'!$B$14,Paramètres!$A$1:$I$89,7,0))</f>
        <v>0.25800000000000001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123.8632653044202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123.8632653044202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>
        <f>VLOOKUP(A177,'Données projet'!$A$191:$I$211,2,0)</f>
        <v>545.65</v>
      </c>
      <c r="EH177" s="12">
        <f>VLOOKUP(A177,'Données projet'!$A$191:$I$211,9,0)</f>
        <v>8.5459999999999976</v>
      </c>
      <c r="EI177" s="12">
        <f t="array" ref="EI177">INDEX(EH:EH,MIN(IF(ISNUMBER(EH177:EH373),ROW(EH177:EH373),"")))</f>
        <v>8.5459999999999976</v>
      </c>
      <c r="EJ177" s="12">
        <f>IF('Données projet'!$A$192&gt;35,EJ176+EI177-ER176,IF(A177&lt;'Données projet'!$A$192,$EG$205^A177,IF(A177='Données projet'!$A$192,'Données projet'!$B$192,EJ176+EI177-ER176)))</f>
        <v>545.65000000000055</v>
      </c>
      <c r="EK177" s="17">
        <f>EJ177*VLOOKUP('Données projet'!$B$15,Paramètres!$A$1:$I$89,3,0)*VLOOKUP('Données projet'!$B$15,Paramètres!$A$1:$I$89,5,0)</f>
        <v>587.33766000000048</v>
      </c>
      <c r="EL177" s="13">
        <f t="shared" si="179"/>
        <v>128.86689602066798</v>
      </c>
      <c r="EM177" s="20">
        <f t="shared" si="180"/>
        <v>1247.3896017359975</v>
      </c>
      <c r="EN177" s="59">
        <f t="shared" si="128"/>
        <v>1537.8433581940853</v>
      </c>
      <c r="EO177" s="59">
        <f ca="1">AVERAGE(OFFSET($EN$3,0,0,'Données projet'!$E$15+1,1))-AVERAGE(OFFSET($H$3,0,0,'Données projet'!$E$15+1,1))</f>
        <v>713.57333631602273</v>
      </c>
      <c r="EP177" s="59">
        <f t="shared" si="154"/>
        <v>325.30302392555359</v>
      </c>
      <c r="EQ177" s="15">
        <f>IF(ISNA(VLOOKUP(A177,'Données projet'!$A$191:$I$211,3,0)),0,VLOOKUP(A177,'Données projet'!$A$191:$I$211,3,0))</f>
        <v>15</v>
      </c>
      <c r="ER177" s="15">
        <f>IF(ISNA(VLOOKUP(A177,'Données projet'!$A$191:$I$211,4,0)),0,VLOOKUP(A177,'Données projet'!$A$191:$I$211,4,0))</f>
        <v>214.77</v>
      </c>
      <c r="ES177" s="16">
        <f>IF(ISNA(VLOOKUP(A177,'Données projet'!$A$191:$I$211,5,0)),0%,VLOOKUP(A177,'Données projet'!$A$191:$I$211,5,0)*VLOOKUP('Données projet'!$B$15,Paramètres!$A$1:$I$89,7,0))</f>
        <v>0.25800000000000001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137.84782751620958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137.84782751620958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5.6843418860808015E-14</v>
      </c>
      <c r="FF177" s="17">
        <f>FE177*VLOOKUP('Données projet'!$B$16,Paramètres!$A$1:$I$89,3,0)*VLOOKUP('Données projet'!$B$16,Paramètres!$A$1:$I$89,5,0)</f>
        <v>4.4337866711430253E-14</v>
      </c>
      <c r="FG177" s="13">
        <f t="shared" si="182"/>
        <v>7.3222115536967035E-13</v>
      </c>
      <c r="FH177" s="20">
        <f t="shared" si="183"/>
        <v>1.3525069634579169E-12</v>
      </c>
      <c r="FI177" s="59">
        <f t="shared" si="131"/>
        <v>290.45375645808912</v>
      </c>
      <c r="FJ177" s="59">
        <f ca="1">AVERAGE(OFFSET($FI$3,0,0,'Données projet'!$E$16+1,1))-AVERAGE(OFFSET($H$3,0,0,'Données projet'!$E$16+1,1))</f>
        <v>302.04287561738482</v>
      </c>
      <c r="FK177" s="59">
        <f t="shared" si="156"/>
        <v>296.09828774694802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12.899574032771785</v>
      </c>
      <c r="FR177" s="21">
        <f>EXP(-LN(2)/25)*FR176+(1-EXP(-LN(2)/25))/(LN(2)/25)*Calculateur!FM177*Calculateur!FO177*VLOOKUP('Données projet'!$B$16,Paramètres!$A$1:$I$89,3,0)*0.475*44/12</f>
        <v>2.7696647960681076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15.669238828839893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-2.8421709430404007E-14</v>
      </c>
      <c r="GA177" s="17">
        <f>FZ177*VLOOKUP('Données projet'!$B$17,Paramètres!$A$1:$I$89,3,0)*VLOOKUP('Données projet'!$B$17,Paramètres!$A$1:$I$89,5,0)</f>
        <v>-2.3942448024172337E-14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385.41819366740276</v>
      </c>
      <c r="GF177" s="59">
        <f t="shared" si="158"/>
        <v>262.4625391252718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50.374340657644495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50.374340657644495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69.214660852205753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3.3000000000000003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12.100000000000001</v>
      </c>
      <c r="H178" s="67">
        <f t="shared" si="110"/>
        <v>208.26666666666665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5.3866666666666747</v>
      </c>
      <c r="N178" s="13">
        <f>IF('Données projet'!$A$36&gt;35,N177+M178-V177,IF(A178&lt;'Données projet'!$A$36,$K$205^A178,IF(A178='Données projet'!$A$36,'Données projet'!$B$36,N177+M178-V177)))</f>
        <v>336.26666666666722</v>
      </c>
      <c r="O178" s="13">
        <f>N178*VLOOKUP('Données projet'!$B$9,Paramètres!$A$1:$I$89,3,0)*VLOOKUP('Données projet'!$B$9,Paramètres!$A$1:$I$89,5,0)</f>
        <v>304.2540800000005</v>
      </c>
      <c r="P178" s="13">
        <f t="shared" si="141"/>
        <v>72.067549889405967</v>
      </c>
      <c r="Q178" s="20">
        <f t="shared" si="162"/>
        <v>655.42683872404962</v>
      </c>
      <c r="R178" s="59">
        <f t="shared" si="109"/>
        <v>945.93054940315346</v>
      </c>
      <c r="S178" s="59">
        <f ca="1">AVERAGE(OFFSET($R$3,0,0,'Données projet'!$E$9+1,1))-AVERAGE(OFFSET($H$3,0,0,'Données projet'!$E$9+1,1))</f>
        <v>612.09138396952153</v>
      </c>
      <c r="T178" s="59">
        <f t="shared" si="142"/>
        <v>282.284310393542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113.59990594861424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113.59990594861424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340.97440000000057</v>
      </c>
      <c r="AK178" s="13">
        <f t="shared" si="164"/>
        <v>79.70123008824433</v>
      </c>
      <c r="AL178" s="20">
        <f t="shared" si="165"/>
        <v>732.67672240369313</v>
      </c>
      <c r="AM178" s="59">
        <f t="shared" si="113"/>
        <v>1023.180433082797</v>
      </c>
      <c r="AN178" s="59">
        <f ca="1">AVERAGE(OFFSET($AM$3,0,0,'Données projet'!$E$10+1,1))-AVERAGE(OFFSET($H$3,0,0,'Données projet'!$E$10+1,1))</f>
        <v>676.7112666359476</v>
      </c>
      <c r="AO178" s="59">
        <f t="shared" si="144"/>
        <v>309.67876644201385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127.31023942517119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127.31023942517119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335.72864000000061</v>
      </c>
      <c r="BF178" s="13">
        <f t="shared" si="167"/>
        <v>78.616808127439043</v>
      </c>
      <c r="BG178" s="20">
        <f t="shared" si="168"/>
        <v>721.65165548862421</v>
      </c>
      <c r="BH178" s="59">
        <f t="shared" si="116"/>
        <v>1012.1553661677281</v>
      </c>
      <c r="BI178" s="59">
        <f ca="1">AVERAGE(OFFSET($BH$3,0,0,'Données projet'!$E$11+1,1))-AVERAGE(OFFSET($H$3,0,0,'Données projet'!$E$11+1,1))</f>
        <v>667.4887768032404</v>
      </c>
      <c r="BJ178" s="59">
        <f t="shared" si="146"/>
        <v>305.76944302827178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125.3516203570916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125.3516203570916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319.9913600000005</v>
      </c>
      <c r="CA178" s="13">
        <f t="shared" si="170"/>
        <v>75.351555939975256</v>
      </c>
      <c r="CB178" s="20">
        <f t="shared" si="171"/>
        <v>688.55557859545763</v>
      </c>
      <c r="CC178" s="59">
        <f t="shared" si="119"/>
        <v>979.05928927456148</v>
      </c>
      <c r="CD178" s="59">
        <f ca="1">AVERAGE(OFFSET($CC$3,0,0,'Données projet'!$E$12+1,1))-AVERAGE(OFFSET($H$3,0,0,'Données projet'!$E$12+1,1))</f>
        <v>639.80378676828764</v>
      </c>
      <c r="CE178" s="59">
        <f t="shared" si="148"/>
        <v>294.03328334345281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119.47576315285293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119.47576315285293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-1.7053025658242404E-13</v>
      </c>
      <c r="CU178" s="17">
        <f>CT178*VLOOKUP('Données projet'!$B$13,Paramètres!$A$1:$I$89,3,0)*VLOOKUP('Données projet'!$B$13,Paramètres!$A$1:$I$89,5,0)</f>
        <v>-1.4897523215040567E-13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340.64710509454375</v>
      </c>
      <c r="CZ178" s="59">
        <f t="shared" si="150"/>
        <v>329.6409514360613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14.867898825727794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14.867898825727794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5.3866666666666747</v>
      </c>
      <c r="DO178" s="12">
        <f>IF('Données projet'!$A$166&gt;35,DO177+DN178-DW177,IF(A178&lt;'Données projet'!$A$166,$DL$205^A178,IF(A178='Données projet'!$A$166,'Données projet'!$B$166,DO177+DN178-DW177)))</f>
        <v>336.26666666666722</v>
      </c>
      <c r="DP178" s="17">
        <f>DO178*VLOOKUP('Données projet'!$B$14,Paramètres!$A$1:$I$89,3,0)*VLOOKUP('Données projet'!$B$14,Paramètres!$A$1:$I$89,5,0)</f>
        <v>325.23712000000052</v>
      </c>
      <c r="DQ178" s="13">
        <f t="shared" si="176"/>
        <v>76.442006670477085</v>
      </c>
      <c r="DR178" s="20">
        <f t="shared" si="177"/>
        <v>699.59114561774857</v>
      </c>
      <c r="DS178" s="59">
        <f t="shared" si="125"/>
        <v>990.09485629685241</v>
      </c>
      <c r="DT178" s="59">
        <f ca="1">AVERAGE(OFFSET($DS$3,0,0,'Données projet'!$E$14+1,1))-AVERAGE(OFFSET($H$3,0,0,'Données projet'!$E$14+1,1))</f>
        <v>649.03508893149228</v>
      </c>
      <c r="DU178" s="59">
        <f t="shared" si="152"/>
        <v>297.94672581383213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121.43438222093249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121.43438222093249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5.3866666666666747</v>
      </c>
      <c r="EJ178" s="12">
        <f>IF('Données projet'!$A$192&gt;35,EJ177+EI178-ER177,IF(A178&lt;'Données projet'!$A$192,$EG$205^A178,IF(A178='Données projet'!$A$192,'Données projet'!$B$192,EJ177+EI178-ER177)))</f>
        <v>336.26666666666722</v>
      </c>
      <c r="EK178" s="17">
        <f>EJ178*VLOOKUP('Données projet'!$B$15,Paramètres!$A$1:$I$89,3,0)*VLOOKUP('Données projet'!$B$15,Paramètres!$A$1:$I$89,5,0)</f>
        <v>361.95744000000059</v>
      </c>
      <c r="EL178" s="13">
        <f t="shared" si="179"/>
        <v>84.019837816238351</v>
      </c>
      <c r="EM178" s="20">
        <f t="shared" si="180"/>
        <v>776.74375886328278</v>
      </c>
      <c r="EN178" s="59">
        <f t="shared" si="128"/>
        <v>1067.2474695423866</v>
      </c>
      <c r="EO178" s="59">
        <f ca="1">AVERAGE(OFFSET($EN$3,0,0,'Données projet'!$E$15+1,1))-AVERAGE(OFFSET($H$3,0,0,'Données projet'!$E$15+1,1))</f>
        <v>713.57333631602273</v>
      </c>
      <c r="EP178" s="59">
        <f t="shared" si="154"/>
        <v>325.30302392555359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135.1447156974894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135.1447156974894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5.6843418860808015E-14</v>
      </c>
      <c r="FF178" s="17">
        <f>FE178*VLOOKUP('Données projet'!$B$16,Paramètres!$A$1:$I$89,3,0)*VLOOKUP('Données projet'!$B$16,Paramètres!$A$1:$I$89,5,0)</f>
        <v>4.4337866711430253E-14</v>
      </c>
      <c r="FG178" s="13">
        <f t="shared" si="182"/>
        <v>7.3222115536967035E-13</v>
      </c>
      <c r="FH178" s="20">
        <f t="shared" si="183"/>
        <v>1.3525069634579169E-12</v>
      </c>
      <c r="FI178" s="59">
        <f t="shared" si="131"/>
        <v>290.50371067910515</v>
      </c>
      <c r="FJ178" s="59">
        <f ca="1">AVERAGE(OFFSET($FI$3,0,0,'Données projet'!$E$16+1,1))-AVERAGE(OFFSET($H$3,0,0,'Données projet'!$E$16+1,1))</f>
        <v>302.04287561738482</v>
      </c>
      <c r="FK178" s="59">
        <f t="shared" si="156"/>
        <v>296.09828774694802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12.646621253952393</v>
      </c>
      <c r="FR178" s="21">
        <f>EXP(-LN(2)/25)*FR177+(1-EXP(-LN(2)/25))/(LN(2)/25)*Calculateur!FM178*Calculateur!FO178*VLOOKUP('Données projet'!$B$16,Paramètres!$A$1:$I$89,3,0)*0.475*44/12</f>
        <v>2.6939281665692838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15.340549420521677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-2.8421709430404007E-14</v>
      </c>
      <c r="GA178" s="17">
        <f>FZ178*VLOOKUP('Données projet'!$B$17,Paramètres!$A$1:$I$89,3,0)*VLOOKUP('Données projet'!$B$17,Paramètres!$A$1:$I$89,5,0)</f>
        <v>-2.3942448024172337E-14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385.41819366740276</v>
      </c>
      <c r="GF178" s="59">
        <f t="shared" si="158"/>
        <v>262.4625391252718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49.386530562662017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49.386530562662017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69.228284730664669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3.3000000000000003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12.100000000000001</v>
      </c>
      <c r="H179" s="67">
        <f t="shared" si="110"/>
        <v>208.26666666666665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5.3866666666666747</v>
      </c>
      <c r="N179" s="13">
        <f>IF('Données projet'!$A$36&gt;35,N178+M179-V178,IF(A179&lt;'Données projet'!$A$36,$K$205^A179,IF(A179='Données projet'!$A$36,'Données projet'!$B$36,N178+M179-V178)))</f>
        <v>341.65333333333388</v>
      </c>
      <c r="O179" s="13">
        <f>N179*VLOOKUP('Données projet'!$B$9,Paramètres!$A$1:$I$89,3,0)*VLOOKUP('Données projet'!$B$9,Paramètres!$A$1:$I$89,5,0)</f>
        <v>309.12793600000049</v>
      </c>
      <c r="P179" s="13">
        <f t="shared" si="141"/>
        <v>73.086678650713282</v>
      </c>
      <c r="Q179" s="20">
        <f t="shared" si="162"/>
        <v>665.6904538499931</v>
      </c>
      <c r="R179" s="59">
        <f t="shared" si="109"/>
        <v>956.24325215605927</v>
      </c>
      <c r="S179" s="59">
        <f ca="1">AVERAGE(OFFSET($R$3,0,0,'Données projet'!$E$9+1,1))-AVERAGE(OFFSET($H$3,0,0,'Données projet'!$E$9+1,1))</f>
        <v>612.09138396952153</v>
      </c>
      <c r="T179" s="59">
        <f t="shared" si="142"/>
        <v>282.284310393542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111.37228108206281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111.37228108206281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346.43648000000053</v>
      </c>
      <c r="AK179" s="13">
        <f t="shared" si="164"/>
        <v>80.828309002667666</v>
      </c>
      <c r="AL179" s="20">
        <f t="shared" si="165"/>
        <v>744.15284084631367</v>
      </c>
      <c r="AM179" s="59">
        <f t="shared" si="113"/>
        <v>1034.7056391523797</v>
      </c>
      <c r="AN179" s="59">
        <f ca="1">AVERAGE(OFFSET($AM$3,0,0,'Données projet'!$E$10+1,1))-AVERAGE(OFFSET($H$3,0,0,'Données projet'!$E$10+1,1))</f>
        <v>676.7112666359476</v>
      </c>
      <c r="AO179" s="59">
        <f t="shared" si="144"/>
        <v>309.67876644201385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124.81376328162217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124.81376328162217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341.10668800000059</v>
      </c>
      <c r="BF179" s="13">
        <f t="shared" si="167"/>
        <v>79.728551906821011</v>
      </c>
      <c r="BG179" s="20">
        <f t="shared" si="168"/>
        <v>732.95470950438084</v>
      </c>
      <c r="BH179" s="59">
        <f t="shared" si="116"/>
        <v>1023.507507810447</v>
      </c>
      <c r="BI179" s="59">
        <f ca="1">AVERAGE(OFFSET($BH$3,0,0,'Données projet'!$E$11+1,1))-AVERAGE(OFFSET($H$3,0,0,'Données projet'!$E$11+1,1))</f>
        <v>667.4887768032404</v>
      </c>
      <c r="BJ179" s="59">
        <f t="shared" si="146"/>
        <v>305.76944302827178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122.89355153882796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122.89355153882796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325.11731200000048</v>
      </c>
      <c r="CA179" s="13">
        <f t="shared" si="170"/>
        <v>76.417124812311442</v>
      </c>
      <c r="CB179" s="20">
        <f t="shared" si="171"/>
        <v>699.33914411477656</v>
      </c>
      <c r="CC179" s="59">
        <f t="shared" si="119"/>
        <v>989.89194242084272</v>
      </c>
      <c r="CD179" s="59">
        <f ca="1">AVERAGE(OFFSET($CC$3,0,0,'Données projet'!$E$12+1,1))-AVERAGE(OFFSET($H$3,0,0,'Données projet'!$E$12+1,1))</f>
        <v>639.80378676828764</v>
      </c>
      <c r="CE179" s="59">
        <f t="shared" si="148"/>
        <v>294.03328334345281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117.1329163104454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117.1329163104454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-1.7053025658242404E-13</v>
      </c>
      <c r="CU179" s="17">
        <f>CT179*VLOOKUP('Données projet'!$B$13,Paramètres!$A$1:$I$89,3,0)*VLOOKUP('Données projet'!$B$13,Paramètres!$A$1:$I$89,5,0)</f>
        <v>-1.4897523215040567E-13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340.64710509454375</v>
      </c>
      <c r="CZ179" s="59">
        <f t="shared" si="150"/>
        <v>329.6409514360613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14.576348398278114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14.576348398278114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5.3866666666666747</v>
      </c>
      <c r="DO179" s="12">
        <f>IF('Données projet'!$A$166&gt;35,DO178+DN179-DW178,IF(A179&lt;'Données projet'!$A$166,$DL$205^A179,IF(A179='Données projet'!$A$166,'Données projet'!$B$166,DO178+DN179-DW178)))</f>
        <v>341.65333333333388</v>
      </c>
      <c r="DP179" s="17">
        <f>DO179*VLOOKUP('Données projet'!$B$14,Paramètres!$A$1:$I$89,3,0)*VLOOKUP('Données projet'!$B$14,Paramètres!$A$1:$I$89,5,0)</f>
        <v>330.44710400000054</v>
      </c>
      <c r="DQ179" s="13">
        <f t="shared" si="176"/>
        <v>77.522995932488612</v>
      </c>
      <c r="DR179" s="20">
        <f t="shared" si="177"/>
        <v>710.54792404908528</v>
      </c>
      <c r="DS179" s="59">
        <f t="shared" si="125"/>
        <v>1001.1007223551514</v>
      </c>
      <c r="DT179" s="59">
        <f ca="1">AVERAGE(OFFSET($DS$3,0,0,'Données projet'!$E$14+1,1))-AVERAGE(OFFSET($H$3,0,0,'Données projet'!$E$14+1,1))</f>
        <v>649.03508893149228</v>
      </c>
      <c r="DU179" s="59">
        <f t="shared" si="152"/>
        <v>297.94672581383213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119.05312805323959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119.05312805323959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5.3866666666666747</v>
      </c>
      <c r="EJ179" s="12">
        <f>IF('Données projet'!$A$192&gt;35,EJ178+EI179-ER178,IF(A179&lt;'Données projet'!$A$192,$EG$205^A179,IF(A179='Données projet'!$A$192,'Données projet'!$B$192,EJ178+EI179-ER178)))</f>
        <v>341.65333333333388</v>
      </c>
      <c r="EK179" s="17">
        <f>EJ179*VLOOKUP('Données projet'!$B$15,Paramètres!$A$1:$I$89,3,0)*VLOOKUP('Données projet'!$B$15,Paramètres!$A$1:$I$89,5,0)</f>
        <v>367.75564800000058</v>
      </c>
      <c r="EL179" s="13">
        <f t="shared" si="179"/>
        <v>85.20798745321521</v>
      </c>
      <c r="EM179" s="20">
        <f t="shared" si="180"/>
        <v>788.91166508101742</v>
      </c>
      <c r="EN179" s="59">
        <f t="shared" si="128"/>
        <v>1079.4644633870835</v>
      </c>
      <c r="EO179" s="59">
        <f ca="1">AVERAGE(OFFSET($EN$3,0,0,'Données projet'!$E$15+1,1))-AVERAGE(OFFSET($H$3,0,0,'Données projet'!$E$15+1,1))</f>
        <v>713.57333631602273</v>
      </c>
      <c r="EP179" s="59">
        <f t="shared" si="154"/>
        <v>325.30302392555359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132.49461025279891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132.49461025279891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5.6843418860808015E-14</v>
      </c>
      <c r="FF179" s="17">
        <f>FE179*VLOOKUP('Données projet'!$B$16,Paramètres!$A$1:$I$89,3,0)*VLOOKUP('Données projet'!$B$16,Paramètres!$A$1:$I$89,5,0)</f>
        <v>4.4337866711430253E-14</v>
      </c>
      <c r="FG179" s="13">
        <f t="shared" si="182"/>
        <v>7.3222115536967035E-13</v>
      </c>
      <c r="FH179" s="20">
        <f t="shared" si="183"/>
        <v>1.3525069634579169E-12</v>
      </c>
      <c r="FI179" s="59">
        <f t="shared" si="131"/>
        <v>290.55279830606753</v>
      </c>
      <c r="FJ179" s="59">
        <f ca="1">AVERAGE(OFFSET($FI$3,0,0,'Données projet'!$E$16+1,1))-AVERAGE(OFFSET($H$3,0,0,'Données projet'!$E$16+1,1))</f>
        <v>302.04287561738482</v>
      </c>
      <c r="FK179" s="59">
        <f t="shared" si="156"/>
        <v>296.09828774694802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12.398628724839689</v>
      </c>
      <c r="FR179" s="21">
        <f>EXP(-LN(2)/25)*FR178+(1-EXP(-LN(2)/25))/(LN(2)/25)*Calculateur!FM179*Calculateur!FO179*VLOOKUP('Données projet'!$B$16,Paramètres!$A$1:$I$89,3,0)*0.475*44/12</f>
        <v>2.6202625591869215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15.01889128402661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-2.8421709430404007E-14</v>
      </c>
      <c r="GA179" s="17">
        <f>FZ179*VLOOKUP('Données projet'!$B$17,Paramètres!$A$1:$I$89,3,0)*VLOOKUP('Données projet'!$B$17,Paramètres!$A$1:$I$89,5,0)</f>
        <v>-2.3942448024172337E-14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385.41819366740276</v>
      </c>
      <c r="GF179" s="59">
        <f t="shared" si="158"/>
        <v>262.4625391252718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48.418090821137476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48.418090821137476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69.241672265290774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3.3000000000000003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12.100000000000001</v>
      </c>
      <c r="H180" s="67">
        <f t="shared" si="110"/>
        <v>208.26666666666665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347.04</v>
      </c>
      <c r="L180" s="12">
        <f>VLOOKUP(A180,'Données projet'!$A$35:$I$55,9,0)</f>
        <v>5.3866666666666747</v>
      </c>
      <c r="M180" s="12">
        <f t="array" ref="M180">INDEX(L:L,MIN(IF(ISNUMBER(L180:L376),ROW(L180:L376),"")))</f>
        <v>5.3866666666666747</v>
      </c>
      <c r="N180" s="13">
        <f>IF('Données projet'!$A$36&gt;35,N179+M180-V179,IF(A180&lt;'Données projet'!$A$36,$K$205^A180,IF(A180='Données projet'!$A$36,'Données projet'!$B$36,N179+M180-V179)))</f>
        <v>347.04000000000053</v>
      </c>
      <c r="O180" s="13">
        <f>N180*VLOOKUP('Données projet'!$B$9,Paramètres!$A$1:$I$89,3,0)*VLOOKUP('Données projet'!$B$9,Paramètres!$A$1:$I$89,5,0)</f>
        <v>314.00179200000048</v>
      </c>
      <c r="P180" s="13">
        <f t="shared" si="141"/>
        <v>74.103938722927282</v>
      </c>
      <c r="Q180" s="20">
        <f t="shared" si="162"/>
        <v>675.95081434243241</v>
      </c>
      <c r="R180" s="59">
        <f t="shared" si="109"/>
        <v>966.55184871487654</v>
      </c>
      <c r="S180" s="59">
        <f ca="1">AVERAGE(OFFSET($R$3,0,0,'Données projet'!$E$9+1,1))-AVERAGE(OFFSET($H$3,0,0,'Données projet'!$E$9+1,1))</f>
        <v>612.09138396952153</v>
      </c>
      <c r="T180" s="59">
        <f t="shared" si="142"/>
        <v>282.284310393542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0.25800000000000001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138.91418204963006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138.91418204963006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351.8985600000006</v>
      </c>
      <c r="AK180" s="13">
        <f t="shared" si="164"/>
        <v>81.953321289050805</v>
      </c>
      <c r="AL180" s="20">
        <f t="shared" si="165"/>
        <v>755.62535991176446</v>
      </c>
      <c r="AM180" s="59">
        <f t="shared" si="113"/>
        <v>1046.2263942842087</v>
      </c>
      <c r="AN180" s="59">
        <f ca="1">AVERAGE(OFFSET($AM$3,0,0,'Données projet'!$E$10+1,1))-AVERAGE(OFFSET($H$3,0,0,'Données projet'!$E$10+1,1))</f>
        <v>676.7112666359476</v>
      </c>
      <c r="AO180" s="59">
        <f t="shared" si="144"/>
        <v>309.67876644201385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155.67968677975784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155.67968677975784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346.48473600000057</v>
      </c>
      <c r="BF180" s="13">
        <f t="shared" si="167"/>
        <v>80.838257176886174</v>
      </c>
      <c r="BG180" s="20">
        <f t="shared" si="168"/>
        <v>744.25421311641105</v>
      </c>
      <c r="BH180" s="59">
        <f t="shared" si="116"/>
        <v>1034.8552474888552</v>
      </c>
      <c r="BI180" s="59">
        <f ca="1">AVERAGE(OFFSET($BH$3,0,0,'Données projet'!$E$11+1,1))-AVERAGE(OFFSET($H$3,0,0,'Données projet'!$E$11+1,1))</f>
        <v>667.4887768032404</v>
      </c>
      <c r="BJ180" s="59">
        <f t="shared" si="146"/>
        <v>305.76944302827178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153.28461467545387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153.28461467545387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330.24326400000052</v>
      </c>
      <c r="CA180" s="13">
        <f t="shared" si="170"/>
        <v>77.480739842301588</v>
      </c>
      <c r="CB180" s="20">
        <f t="shared" si="171"/>
        <v>710.11930669200956</v>
      </c>
      <c r="CC180" s="59">
        <f t="shared" si="119"/>
        <v>1000.7203410644538</v>
      </c>
      <c r="CD180" s="59">
        <f ca="1">AVERAGE(OFFSET($CC$3,0,0,'Données projet'!$E$12+1,1))-AVERAGE(OFFSET($H$3,0,0,'Données projet'!$E$12+1,1))</f>
        <v>639.80378676828764</v>
      </c>
      <c r="CE180" s="59">
        <f t="shared" si="148"/>
        <v>294.03328334345281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146.09939836254196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146.09939836254196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-1.7053025658242404E-13</v>
      </c>
      <c r="CU180" s="17">
        <f>CT180*VLOOKUP('Données projet'!$B$13,Paramètres!$A$1:$I$89,3,0)*VLOOKUP('Données projet'!$B$13,Paramètres!$A$1:$I$89,5,0)</f>
        <v>-1.4897523215040567E-13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340.64710509454375</v>
      </c>
      <c r="CZ180" s="59">
        <f t="shared" si="150"/>
        <v>329.6409514360613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14.290515096882519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14.290515096882519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>
        <f>VLOOKUP(A180,'Données projet'!$A$165:$I$185,2,0)</f>
        <v>347.04</v>
      </c>
      <c r="DM180" s="12">
        <f>VLOOKUP(A180,'Données projet'!$A$165:$I$185,9,0)</f>
        <v>5.3866666666666747</v>
      </c>
      <c r="DN180" s="12">
        <f t="array" ref="DN180">INDEX(DM:DM,MIN(IF(ISNUMBER(DM180:DM376),ROW(DM180:DM376),"")))</f>
        <v>5.3866666666666747</v>
      </c>
      <c r="DO180" s="12">
        <f>IF('Données projet'!$A$166&gt;35,DO179+DN180-DW179,IF(A180&lt;'Données projet'!$A$166,$DL$205^A180,IF(A180='Données projet'!$A$166,'Données projet'!$B$166,DO179+DN180-DW179)))</f>
        <v>347.04000000000053</v>
      </c>
      <c r="DP180" s="17">
        <f>DO180*VLOOKUP('Données projet'!$B$14,Paramètres!$A$1:$I$89,3,0)*VLOOKUP('Données projet'!$B$14,Paramètres!$A$1:$I$89,5,0)</f>
        <v>335.6570880000005</v>
      </c>
      <c r="DQ180" s="13">
        <f t="shared" si="176"/>
        <v>78.602003077106744</v>
      </c>
      <c r="DR180" s="20">
        <f t="shared" si="177"/>
        <v>721.50125029262847</v>
      </c>
      <c r="DS180" s="59">
        <f t="shared" si="125"/>
        <v>1012.1022846650726</v>
      </c>
      <c r="DT180" s="59">
        <f ca="1">AVERAGE(OFFSET($DS$3,0,0,'Données projet'!$E$14+1,1))-AVERAGE(OFFSET($H$3,0,0,'Données projet'!$E$14+1,1))</f>
        <v>649.03508893149228</v>
      </c>
      <c r="DU180" s="59">
        <f t="shared" si="152"/>
        <v>297.94672581383213</v>
      </c>
      <c r="DV180" s="15">
        <f>IF(ISNA(VLOOKUP(A180,'Données projet'!$A$165:$I$185,3,0)),0,VLOOKUP(A180,'Données projet'!$A$165:$I$185,3,0))</f>
        <v>16</v>
      </c>
      <c r="DW180" s="15">
        <f>IF(ISNA(VLOOKUP(A180,'Données projet'!$A$165:$I$185,4,0)),0,VLOOKUP(A180,'Données projet'!$A$165:$I$185,4,0))</f>
        <v>115.19</v>
      </c>
      <c r="DX180" s="16">
        <f>IF(ISNA(VLOOKUP(A180,'Données projet'!$A$165:$I$185,5,0)),0%,VLOOKUP(A180,'Données projet'!$A$165:$I$185,5,0)*VLOOKUP('Données projet'!$B$14,Paramètres!$A$1:$I$89,7,0))</f>
        <v>0.25800000000000001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148.49447046684594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148.49447046684594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>
        <f>VLOOKUP(A180,'Données projet'!$A$191:$I$211,2,0)</f>
        <v>347.04</v>
      </c>
      <c r="EH180" s="12">
        <f>VLOOKUP(A180,'Données projet'!$A$191:$I$211,9,0)</f>
        <v>5.3866666666666747</v>
      </c>
      <c r="EI180" s="12">
        <f t="array" ref="EI180">INDEX(EH:EH,MIN(IF(ISNUMBER(EH180:EH376),ROW(EH180:EH376),"")))</f>
        <v>5.3866666666666747</v>
      </c>
      <c r="EJ180" s="12">
        <f>IF('Données projet'!$A$192&gt;35,EJ179+EI180-ER179,IF(A180&lt;'Données projet'!$A$192,$EG$205^A180,IF(A180='Données projet'!$A$192,'Données projet'!$B$192,EJ179+EI180-ER179)))</f>
        <v>347.04000000000053</v>
      </c>
      <c r="EK180" s="17">
        <f>EJ180*VLOOKUP('Données projet'!$B$15,Paramètres!$A$1:$I$89,3,0)*VLOOKUP('Données projet'!$B$15,Paramètres!$A$1:$I$89,5,0)</f>
        <v>373.55385600000056</v>
      </c>
      <c r="EL180" s="13">
        <f t="shared" si="179"/>
        <v>86.393958482000173</v>
      </c>
      <c r="EM180" s="20">
        <f t="shared" si="180"/>
        <v>801.07577688948459</v>
      </c>
      <c r="EN180" s="59">
        <f t="shared" si="128"/>
        <v>1091.6768112619288</v>
      </c>
      <c r="EO180" s="59">
        <f ca="1">AVERAGE(OFFSET($EN$3,0,0,'Données projet'!$E$15+1,1))-AVERAGE(OFFSET($H$3,0,0,'Données projet'!$E$15+1,1))</f>
        <v>713.57333631602273</v>
      </c>
      <c r="EP180" s="59">
        <f t="shared" si="154"/>
        <v>325.30302392555359</v>
      </c>
      <c r="EQ180" s="15">
        <f>IF(ISNA(VLOOKUP(A180,'Données projet'!$A$191:$I$211,3,0)),0,VLOOKUP(A180,'Données projet'!$A$191:$I$211,3,0))</f>
        <v>16</v>
      </c>
      <c r="ER180" s="15">
        <f>IF(ISNA(VLOOKUP(A180,'Données projet'!$A$191:$I$211,4,0)),0,VLOOKUP(A180,'Données projet'!$A$191:$I$211,4,0))</f>
        <v>115.19</v>
      </c>
      <c r="ES180" s="16">
        <f>IF(ISNA(VLOOKUP(A180,'Données projet'!$A$191:$I$211,5,0)),0%,VLOOKUP(A180,'Données projet'!$A$191:$I$211,5,0)*VLOOKUP('Données projet'!$B$15,Paramètres!$A$1:$I$89,7,0))</f>
        <v>0.25800000000000001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165.2599751969737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165.2599751969737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5.6843418860808015E-14</v>
      </c>
      <c r="FF180" s="17">
        <f>FE180*VLOOKUP('Données projet'!$B$16,Paramètres!$A$1:$I$89,3,0)*VLOOKUP('Données projet'!$B$16,Paramètres!$A$1:$I$89,5,0)</f>
        <v>4.4337866711430253E-14</v>
      </c>
      <c r="FG180" s="13">
        <f t="shared" si="182"/>
        <v>7.3222115536967035E-13</v>
      </c>
      <c r="FH180" s="20">
        <f t="shared" si="183"/>
        <v>1.3525069634579169E-12</v>
      </c>
      <c r="FI180" s="59">
        <f t="shared" si="131"/>
        <v>290.60103437244555</v>
      </c>
      <c r="FJ180" s="59">
        <f ca="1">AVERAGE(OFFSET($FI$3,0,0,'Données projet'!$E$16+1,1))-AVERAGE(OFFSET($H$3,0,0,'Données projet'!$E$16+1,1))</f>
        <v>302.04287561738482</v>
      </c>
      <c r="FK180" s="59">
        <f t="shared" si="156"/>
        <v>296.09828774694802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12.155499177962378</v>
      </c>
      <c r="FR180" s="21">
        <f>EXP(-LN(2)/25)*FR179+(1-EXP(-LN(2)/25))/(LN(2)/25)*Calculateur!FM180*Calculateur!FO180*VLOOKUP('Données projet'!$B$16,Paramètres!$A$1:$I$89,3,0)*0.475*44/12</f>
        <v>2.5486113417123359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14.704110519674714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-2.8421709430404007E-14</v>
      </c>
      <c r="GA180" s="17">
        <f>FZ180*VLOOKUP('Données projet'!$B$17,Paramètres!$A$1:$I$89,3,0)*VLOOKUP('Données projet'!$B$17,Paramètres!$A$1:$I$89,5,0)</f>
        <v>-2.3942448024172337E-14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385.41819366740276</v>
      </c>
      <c r="GF180" s="59">
        <f t="shared" si="158"/>
        <v>262.4625391252718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47.468641592254315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47.468641592254315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69.254827556121143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3.3000000000000003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12.100000000000001</v>
      </c>
      <c r="H181" s="67">
        <f t="shared" si="110"/>
        <v>208.26666666666665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3.2566666666666606</v>
      </c>
      <c r="N181" s="13">
        <f>IF('Données projet'!$A$36&gt;35,N180+M181-V180,IF(A181&lt;'Données projet'!$A$36,$K$205^A181,IF(A181='Données projet'!$A$36,'Données projet'!$B$36,N180+M181-V180)))</f>
        <v>235.10666666666719</v>
      </c>
      <c r="O181" s="13">
        <f>N181*VLOOKUP('Données projet'!$B$9,Paramètres!$A$1:$I$89,3,0)*VLOOKUP('Données projet'!$B$9,Paramètres!$A$1:$I$89,5,0)</f>
        <v>212.72451200000049</v>
      </c>
      <c r="P181" s="13">
        <f t="shared" si="141"/>
        <v>52.530512718953382</v>
      </c>
      <c r="Q181" s="20">
        <f t="shared" si="162"/>
        <v>461.98583471884461</v>
      </c>
      <c r="R181" s="59">
        <f t="shared" si="109"/>
        <v>752.63426836975486</v>
      </c>
      <c r="S181" s="59">
        <f ca="1">AVERAGE(OFFSET($R$3,0,0,'Données projet'!$E$9+1,1))-AVERAGE(OFFSET($H$3,0,0,'Données projet'!$E$9+1,1))</f>
        <v>612.09138396952153</v>
      </c>
      <c r="T181" s="59">
        <f t="shared" si="142"/>
        <v>282.284310393542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136.19015966892155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136.19015966892155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238.39816000000053</v>
      </c>
      <c r="AK181" s="13">
        <f t="shared" si="164"/>
        <v>58.09475259380514</v>
      </c>
      <c r="AL181" s="20">
        <f t="shared" si="165"/>
        <v>516.39182276754491</v>
      </c>
      <c r="AM181" s="59">
        <f t="shared" si="113"/>
        <v>807.0402564184551</v>
      </c>
      <c r="AN181" s="59">
        <f ca="1">AVERAGE(OFFSET($AM$3,0,0,'Données projet'!$E$10+1,1))-AVERAGE(OFFSET($H$3,0,0,'Données projet'!$E$10+1,1))</f>
        <v>676.7112666359476</v>
      </c>
      <c r="AO181" s="59">
        <f t="shared" si="144"/>
        <v>309.67876644201385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152.62690307723969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152.62690307723969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234.73049600000053</v>
      </c>
      <c r="BF181" s="13">
        <f t="shared" si="167"/>
        <v>57.304310270010092</v>
      </c>
      <c r="BG181" s="20">
        <f t="shared" si="168"/>
        <v>508.6272875869351</v>
      </c>
      <c r="BH181" s="59">
        <f t="shared" si="116"/>
        <v>799.27572123784535</v>
      </c>
      <c r="BI181" s="59">
        <f ca="1">AVERAGE(OFFSET($BH$3,0,0,'Données projet'!$E$11+1,1))-AVERAGE(OFFSET($H$3,0,0,'Données projet'!$E$11+1,1))</f>
        <v>667.4887768032404</v>
      </c>
      <c r="BJ181" s="59">
        <f t="shared" si="146"/>
        <v>305.76944302827178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150.27879687605136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150.27879687605136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223.72750400000049</v>
      </c>
      <c r="CA181" s="13">
        <f t="shared" si="170"/>
        <v>54.924246401772898</v>
      </c>
      <c r="CB181" s="20">
        <f t="shared" si="171"/>
        <v>485.31846528308853</v>
      </c>
      <c r="CC181" s="59">
        <f t="shared" si="119"/>
        <v>775.96689893399878</v>
      </c>
      <c r="CD181" s="59">
        <f ca="1">AVERAGE(OFFSET($CC$3,0,0,'Données projet'!$E$12+1,1))-AVERAGE(OFFSET($H$3,0,0,'Données projet'!$E$12+1,1))</f>
        <v>639.80378676828764</v>
      </c>
      <c r="CE181" s="59">
        <f t="shared" si="148"/>
        <v>294.03328334345281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143.23447827248646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143.23447827248646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-1.7053025658242404E-13</v>
      </c>
      <c r="CU181" s="17">
        <f>CT181*VLOOKUP('Données projet'!$B$13,Paramètres!$A$1:$I$89,3,0)*VLOOKUP('Données projet'!$B$13,Paramètres!$A$1:$I$89,5,0)</f>
        <v>-1.4897523215040567E-13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340.64710509454375</v>
      </c>
      <c r="CZ181" s="59">
        <f t="shared" si="150"/>
        <v>329.6409514360613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14.010286812186193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14.010286812186193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3.2566666666666606</v>
      </c>
      <c r="DO181" s="12">
        <f>IF('Données projet'!$A$166&gt;35,DO180+DN181-DW180,IF(A181&lt;'Données projet'!$A$166,$DL$205^A181,IF(A181='Données projet'!$A$166,'Données projet'!$B$166,DO180+DN181-DW180)))</f>
        <v>235.10666666666719</v>
      </c>
      <c r="DP181" s="17">
        <f>DO181*VLOOKUP('Données projet'!$B$14,Paramètres!$A$1:$I$89,3,0)*VLOOKUP('Données projet'!$B$14,Paramètres!$A$1:$I$89,5,0)</f>
        <v>227.39516800000052</v>
      </c>
      <c r="DQ181" s="13">
        <f t="shared" si="176"/>
        <v>55.719083135586125</v>
      </c>
      <c r="DR181" s="20">
        <f t="shared" si="177"/>
        <v>493.09065406114672</v>
      </c>
      <c r="DS181" s="59">
        <f t="shared" si="125"/>
        <v>783.73908771205697</v>
      </c>
      <c r="DT181" s="59">
        <f ca="1">AVERAGE(OFFSET($DS$3,0,0,'Données projet'!$E$14+1,1))-AVERAGE(OFFSET($H$3,0,0,'Données projet'!$E$14+1,1))</f>
        <v>649.03508893149228</v>
      </c>
      <c r="DU181" s="59">
        <f t="shared" si="152"/>
        <v>297.94672581383213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145.58258447367476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145.58258447367476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3.2566666666666606</v>
      </c>
      <c r="EJ181" s="12">
        <f>IF('Données projet'!$A$192&gt;35,EJ180+EI181-ER180,IF(A181&lt;'Données projet'!$A$192,$EG$205^A181,IF(A181='Données projet'!$A$192,'Données projet'!$B$192,EJ180+EI181-ER180)))</f>
        <v>235.10666666666719</v>
      </c>
      <c r="EK181" s="17">
        <f>EJ181*VLOOKUP('Données projet'!$B$15,Paramètres!$A$1:$I$89,3,0)*VLOOKUP('Données projet'!$B$15,Paramètres!$A$1:$I$89,5,0)</f>
        <v>253.06881600000054</v>
      </c>
      <c r="EL181" s="13">
        <f t="shared" si="179"/>
        <v>61.242614267078274</v>
      </c>
      <c r="EM181" s="20">
        <f t="shared" si="180"/>
        <v>547.42574104849564</v>
      </c>
      <c r="EN181" s="59">
        <f t="shared" si="128"/>
        <v>838.07417469940583</v>
      </c>
      <c r="EO181" s="59">
        <f ca="1">AVERAGE(OFFSET($EN$3,0,0,'Données projet'!$E$15+1,1))-AVERAGE(OFFSET($H$3,0,0,'Données projet'!$E$15+1,1))</f>
        <v>713.57333631602273</v>
      </c>
      <c r="EP181" s="59">
        <f t="shared" si="154"/>
        <v>325.30302392555359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162.01932788199287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162.01932788199287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5.6843418860808015E-14</v>
      </c>
      <c r="FF181" s="17">
        <f>FE181*VLOOKUP('Données projet'!$B$16,Paramètres!$A$1:$I$89,3,0)*VLOOKUP('Données projet'!$B$16,Paramètres!$A$1:$I$89,5,0)</f>
        <v>4.4337866711430253E-14</v>
      </c>
      <c r="FG181" s="13">
        <f t="shared" si="182"/>
        <v>7.3222115536967035E-13</v>
      </c>
      <c r="FH181" s="20">
        <f t="shared" si="183"/>
        <v>1.3525069634579169E-12</v>
      </c>
      <c r="FI181" s="59">
        <f t="shared" si="131"/>
        <v>290.64843365091161</v>
      </c>
      <c r="FJ181" s="59">
        <f ca="1">AVERAGE(OFFSET($FI$3,0,0,'Données projet'!$E$16+1,1))-AVERAGE(OFFSET($H$3,0,0,'Données projet'!$E$16+1,1))</f>
        <v>302.04287561738482</v>
      </c>
      <c r="FK181" s="59">
        <f t="shared" si="156"/>
        <v>296.09828774694802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11.917137253204951</v>
      </c>
      <c r="FR181" s="21">
        <f>EXP(-LN(2)/25)*FR180+(1-EXP(-LN(2)/25))/(LN(2)/25)*Calculateur!FM181*Calculateur!FO181*VLOOKUP('Données projet'!$B$16,Paramètres!$A$1:$I$89,3,0)*0.475*44/12</f>
        <v>2.4789194305475668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14.396056683752517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-2.8421709430404007E-14</v>
      </c>
      <c r="GA181" s="17">
        <f>FZ181*VLOOKUP('Données projet'!$B$17,Paramètres!$A$1:$I$89,3,0)*VLOOKUP('Données projet'!$B$17,Paramètres!$A$1:$I$89,5,0)</f>
        <v>-2.3942448024172337E-14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385.41819366740276</v>
      </c>
      <c r="GF181" s="59">
        <f t="shared" si="158"/>
        <v>262.4625391252718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46.537810483642708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46.537810483642708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69.267754632066442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3.3000000000000003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12.100000000000001</v>
      </c>
      <c r="H182" s="67">
        <f t="shared" si="110"/>
        <v>208.26666666666665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3.2566666666666606</v>
      </c>
      <c r="N182" s="13">
        <f>IF('Données projet'!$A$36&gt;35,N181+M182-V181,IF(A182&lt;'Données projet'!$A$36,$K$205^A182,IF(A182='Données projet'!$A$36,'Données projet'!$B$36,N181+M182-V181)))</f>
        <v>238.36333333333386</v>
      </c>
      <c r="O182" s="13">
        <f>N182*VLOOKUP('Données projet'!$B$9,Paramètres!$A$1:$I$89,3,0)*VLOOKUP('Données projet'!$B$9,Paramètres!$A$1:$I$89,5,0)</f>
        <v>215.67114400000045</v>
      </c>
      <c r="P182" s="13">
        <f t="shared" si="141"/>
        <v>53.172944836363733</v>
      </c>
      <c r="Q182" s="20">
        <f t="shared" si="162"/>
        <v>468.23678805666754</v>
      </c>
      <c r="R182" s="59">
        <f t="shared" si="109"/>
        <v>758.9317987145314</v>
      </c>
      <c r="S182" s="59">
        <f ca="1">AVERAGE(OFFSET($R$3,0,0,'Données projet'!$E$9+1,1))-AVERAGE(OFFSET($H$3,0,0,'Données projet'!$E$9+1,1))</f>
        <v>612.09138396952153</v>
      </c>
      <c r="T182" s="59">
        <f t="shared" si="142"/>
        <v>282.284310393542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133.51955370560913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133.51955370560913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241.70042000000055</v>
      </c>
      <c r="AK182" s="13">
        <f t="shared" si="164"/>
        <v>58.805233664472574</v>
      </c>
      <c r="AL182" s="20">
        <f t="shared" si="165"/>
        <v>523.38068013229065</v>
      </c>
      <c r="AM182" s="59">
        <f t="shared" si="113"/>
        <v>814.07569079015457</v>
      </c>
      <c r="AN182" s="59">
        <f ca="1">AVERAGE(OFFSET($AM$3,0,0,'Données projet'!$E$10+1,1))-AVERAGE(OFFSET($H$3,0,0,'Données projet'!$E$10+1,1))</f>
        <v>676.7112666359476</v>
      </c>
      <c r="AO182" s="59">
        <f t="shared" si="144"/>
        <v>309.67876644201385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149.6339826011137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149.6339826011137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237.98195200000055</v>
      </c>
      <c r="BF182" s="13">
        <f t="shared" si="167"/>
        <v>58.005124472613943</v>
      </c>
      <c r="BG182" s="20">
        <f t="shared" si="168"/>
        <v>515.51082485647021</v>
      </c>
      <c r="BH182" s="59">
        <f t="shared" si="116"/>
        <v>806.20583551433401</v>
      </c>
      <c r="BI182" s="59">
        <f ca="1">AVERAGE(OFFSET($BH$3,0,0,'Données projet'!$E$11+1,1))-AVERAGE(OFFSET($H$3,0,0,'Données projet'!$E$11+1,1))</f>
        <v>667.4887768032404</v>
      </c>
      <c r="BJ182" s="59">
        <f t="shared" si="146"/>
        <v>305.76944302827178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147.3319213303273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147.3319213303273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226.82654800000051</v>
      </c>
      <c r="CA182" s="13">
        <f t="shared" si="170"/>
        <v>55.595953150607471</v>
      </c>
      <c r="CB182" s="20">
        <f t="shared" si="171"/>
        <v>491.88585617064223</v>
      </c>
      <c r="CC182" s="59">
        <f t="shared" si="119"/>
        <v>782.58086682850603</v>
      </c>
      <c r="CD182" s="59">
        <f ca="1">AVERAGE(OFFSET($CC$3,0,0,'Données projet'!$E$12+1,1))-AVERAGE(OFFSET($H$3,0,0,'Données projet'!$E$12+1,1))</f>
        <v>639.80378676828764</v>
      </c>
      <c r="CE182" s="59">
        <f t="shared" si="148"/>
        <v>294.03328334345281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140.42573751796823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140.42573751796823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-1.7053025658242404E-13</v>
      </c>
      <c r="CU182" s="17">
        <f>CT182*VLOOKUP('Données projet'!$B$13,Paramètres!$A$1:$I$89,3,0)*VLOOKUP('Données projet'!$B$13,Paramètres!$A$1:$I$89,5,0)</f>
        <v>-1.4897523215040567E-13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340.64710509454375</v>
      </c>
      <c r="CZ182" s="59">
        <f t="shared" si="150"/>
        <v>329.6409514360613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13.735553633230385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13.735553633230385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3.2566666666666606</v>
      </c>
      <c r="DO182" s="12">
        <f>IF('Données projet'!$A$166&gt;35,DO181+DN182-DW181,IF(A182&lt;'Données projet'!$A$166,$DL$205^A182,IF(A182='Données projet'!$A$166,'Données projet'!$B$166,DO181+DN182-DW181)))</f>
        <v>238.36333333333386</v>
      </c>
      <c r="DP182" s="17">
        <f>DO182*VLOOKUP('Données projet'!$B$14,Paramètres!$A$1:$I$89,3,0)*VLOOKUP('Données projet'!$B$14,Paramètres!$A$1:$I$89,5,0)</f>
        <v>230.54501600000052</v>
      </c>
      <c r="DQ182" s="13">
        <f t="shared" si="176"/>
        <v>56.400510494775887</v>
      </c>
      <c r="DR182" s="20">
        <f t="shared" si="177"/>
        <v>499.76345864506885</v>
      </c>
      <c r="DS182" s="59">
        <f t="shared" si="125"/>
        <v>790.45846930293271</v>
      </c>
      <c r="DT182" s="59">
        <f ca="1">AVERAGE(OFFSET($DS$3,0,0,'Données projet'!$E$14+1,1))-AVERAGE(OFFSET($H$3,0,0,'Données projet'!$E$14+1,1))</f>
        <v>649.03508893149228</v>
      </c>
      <c r="DU182" s="59">
        <f t="shared" si="152"/>
        <v>297.94672581383213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142.7277987887546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142.7277987887546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3.2566666666666606</v>
      </c>
      <c r="EJ182" s="12">
        <f>IF('Données projet'!$A$192&gt;35,EJ181+EI182-ER181,IF(A182&lt;'Données projet'!$A$192,$EG$205^A182,IF(A182='Données projet'!$A$192,'Données projet'!$B$192,EJ181+EI182-ER181)))</f>
        <v>238.36333333333386</v>
      </c>
      <c r="EK182" s="17">
        <f>EJ182*VLOOKUP('Données projet'!$B$15,Paramètres!$A$1:$I$89,3,0)*VLOOKUP('Données projet'!$B$15,Paramètres!$A$1:$I$89,5,0)</f>
        <v>256.57429200000053</v>
      </c>
      <c r="EL182" s="13">
        <f t="shared" si="179"/>
        <v>61.991592724034234</v>
      </c>
      <c r="EM182" s="20">
        <f t="shared" si="180"/>
        <v>554.83558256102708</v>
      </c>
      <c r="EN182" s="59">
        <f t="shared" si="128"/>
        <v>845.530593218891</v>
      </c>
      <c r="EO182" s="59">
        <f ca="1">AVERAGE(OFFSET($EN$3,0,0,'Données projet'!$E$15+1,1))-AVERAGE(OFFSET($H$3,0,0,'Données projet'!$E$15+1,1))</f>
        <v>713.57333631602273</v>
      </c>
      <c r="EP182" s="59">
        <f t="shared" si="154"/>
        <v>325.30302392555359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158.84222768425911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158.84222768425911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5.6843418860808015E-14</v>
      </c>
      <c r="FF182" s="17">
        <f>FE182*VLOOKUP('Données projet'!$B$16,Paramètres!$A$1:$I$89,3,0)*VLOOKUP('Données projet'!$B$16,Paramètres!$A$1:$I$89,5,0)</f>
        <v>4.4337866711430253E-14</v>
      </c>
      <c r="FG182" s="13">
        <f t="shared" si="182"/>
        <v>7.3222115536967035E-13</v>
      </c>
      <c r="FH182" s="20">
        <f t="shared" si="183"/>
        <v>1.3525069634579169E-12</v>
      </c>
      <c r="FI182" s="59">
        <f t="shared" si="131"/>
        <v>290.69501065786523</v>
      </c>
      <c r="FJ182" s="59">
        <f ca="1">AVERAGE(OFFSET($FI$3,0,0,'Données projet'!$E$16+1,1))-AVERAGE(OFFSET($H$3,0,0,'Données projet'!$E$16+1,1))</f>
        <v>302.04287561738482</v>
      </c>
      <c r="FK182" s="59">
        <f t="shared" si="156"/>
        <v>296.09828774694802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11.683449460405598</v>
      </c>
      <c r="FR182" s="21">
        <f>EXP(-LN(2)/25)*FR181+(1-EXP(-LN(2)/25))/(LN(2)/25)*Calculateur!FM182*Calculateur!FO182*VLOOKUP('Données projet'!$B$16,Paramètres!$A$1:$I$89,3,0)*0.475*44/12</f>
        <v>2.4111332483585364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14.094582708764134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-2.8421709430404007E-14</v>
      </c>
      <c r="GA182" s="17">
        <f>FZ182*VLOOKUP('Données projet'!$B$17,Paramètres!$A$1:$I$89,3,0)*VLOOKUP('Données projet'!$B$17,Paramètres!$A$1:$I$89,5,0)</f>
        <v>-2.3942448024172337E-14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385.41819366740276</v>
      </c>
      <c r="GF182" s="59">
        <f t="shared" si="158"/>
        <v>262.4625391252718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45.625232405320055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45.625232405320055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69.280457452144688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3.3000000000000003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12.100000000000001</v>
      </c>
      <c r="H183" s="67">
        <f t="shared" si="110"/>
        <v>208.26666666666665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241.62</v>
      </c>
      <c r="L183" s="12">
        <f>VLOOKUP(A183,'Données projet'!$A$35:$I$55,9,0)</f>
        <v>3.2566666666666606</v>
      </c>
      <c r="M183" s="12">
        <f t="array" ref="M183">INDEX(L:L,MIN(IF(ISNUMBER(L183:L379),ROW(L183:L379),"")))</f>
        <v>3.2566666666666606</v>
      </c>
      <c r="N183" s="13">
        <f>IF('Données projet'!$A$36&gt;35,N182+M183-V182,IF(A183&lt;'Données projet'!$A$36,$K$205^A183,IF(A183='Données projet'!$A$36,'Données projet'!$B$36,N182+M183-V182)))</f>
        <v>241.62000000000052</v>
      </c>
      <c r="O183" s="13">
        <f>N183*VLOOKUP('Données projet'!$B$9,Paramètres!$A$1:$I$89,3,0)*VLOOKUP('Données projet'!$B$9,Paramètres!$A$1:$I$89,5,0)</f>
        <v>218.61777600000045</v>
      </c>
      <c r="P183" s="13">
        <f t="shared" si="141"/>
        <v>53.814356054061541</v>
      </c>
      <c r="Q183" s="20">
        <f t="shared" si="162"/>
        <v>474.48596332749122</v>
      </c>
      <c r="R183" s="59">
        <f t="shared" si="109"/>
        <v>765.22674298536867</v>
      </c>
      <c r="S183" s="59">
        <f ca="1">AVERAGE(OFFSET($R$3,0,0,'Données projet'!$E$9+1,1))-AVERAGE(OFFSET($H$3,0,0,'Données projet'!$E$9+1,1))</f>
        <v>612.09138396952153</v>
      </c>
      <c r="T183" s="59">
        <f t="shared" si="142"/>
        <v>282.284310393542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0.25800000000000001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150.95768056842175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150.95768056842175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245.00268000000054</v>
      </c>
      <c r="AK183" s="13">
        <f t="shared" si="164"/>
        <v>59.514585697688133</v>
      </c>
      <c r="AL183" s="20">
        <f t="shared" si="165"/>
        <v>530.36757109014115</v>
      </c>
      <c r="AM183" s="59">
        <f t="shared" si="113"/>
        <v>821.10835074801855</v>
      </c>
      <c r="AN183" s="59">
        <f ca="1">AVERAGE(OFFSET($AM$3,0,0,'Données projet'!$E$10+1,1))-AVERAGE(OFFSET($H$3,0,0,'Données projet'!$E$10+1,1))</f>
        <v>676.7112666359476</v>
      </c>
      <c r="AO183" s="59">
        <f t="shared" si="144"/>
        <v>309.67876644201385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169.17671098185198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169.17671098185198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241.23340800000054</v>
      </c>
      <c r="BF183" s="13">
        <f t="shared" si="167"/>
        <v>58.70482499954899</v>
      </c>
      <c r="BG183" s="20">
        <f t="shared" si="168"/>
        <v>522.39242247421544</v>
      </c>
      <c r="BH183" s="59">
        <f t="shared" si="116"/>
        <v>813.13320213209283</v>
      </c>
      <c r="BI183" s="59">
        <f ca="1">AVERAGE(OFFSET($BH$3,0,0,'Données projet'!$E$11+1,1))-AVERAGE(OFFSET($H$3,0,0,'Données projet'!$E$11+1,1))</f>
        <v>667.4887768032404</v>
      </c>
      <c r="BJ183" s="59">
        <f t="shared" si="146"/>
        <v>305.76944302827178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166.57399235136191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166.57399235136191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229.92559200000051</v>
      </c>
      <c r="CA183" s="13">
        <f t="shared" si="170"/>
        <v>56.266592478918923</v>
      </c>
      <c r="CB183" s="20">
        <f t="shared" si="171"/>
        <v>498.45138796745135</v>
      </c>
      <c r="CC183" s="59">
        <f t="shared" si="119"/>
        <v>789.19216762532869</v>
      </c>
      <c r="CD183" s="59">
        <f ca="1">AVERAGE(OFFSET($CC$3,0,0,'Données projet'!$E$12+1,1))-AVERAGE(OFFSET($H$3,0,0,'Données projet'!$E$12+1,1))</f>
        <v>639.80378676828764</v>
      </c>
      <c r="CE183" s="59">
        <f t="shared" si="148"/>
        <v>294.03328334345281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158.76583645989186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158.76583645989186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-1.7053025658242404E-13</v>
      </c>
      <c r="CU183" s="17">
        <f>CT183*VLOOKUP('Données projet'!$B$13,Paramètres!$A$1:$I$89,3,0)*VLOOKUP('Données projet'!$B$13,Paramètres!$A$1:$I$89,5,0)</f>
        <v>-1.4897523215040567E-13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340.64710509454375</v>
      </c>
      <c r="CZ183" s="59">
        <f t="shared" si="150"/>
        <v>329.6409514360613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13.466207804343208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13.466207804343208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241.62</v>
      </c>
      <c r="DM183" s="12">
        <f>VLOOKUP(A183,'Données projet'!$A$165:$I$185,9,0)</f>
        <v>3.2566666666666606</v>
      </c>
      <c r="DN183" s="12">
        <f t="array" ref="DN183">INDEX(DM:DM,MIN(IF(ISNUMBER(DM183:DM379),ROW(DM183:DM379),"")))</f>
        <v>3.2566666666666606</v>
      </c>
      <c r="DO183" s="12">
        <f>IF('Données projet'!$A$166&gt;35,DO182+DN183-DW182,IF(A183&lt;'Données projet'!$A$166,$DL$205^A183,IF(A183='Données projet'!$A$166,'Données projet'!$B$166,DO182+DN183-DW182)))</f>
        <v>241.62000000000052</v>
      </c>
      <c r="DP183" s="17">
        <f>DO183*VLOOKUP('Données projet'!$B$14,Paramètres!$A$1:$I$89,3,0)*VLOOKUP('Données projet'!$B$14,Paramètres!$A$1:$I$89,5,0)</f>
        <v>233.69486400000051</v>
      </c>
      <c r="DQ183" s="13">
        <f t="shared" si="176"/>
        <v>57.080854986256675</v>
      </c>
      <c r="DR183" s="20">
        <f t="shared" si="177"/>
        <v>506.43437723439791</v>
      </c>
      <c r="DS183" s="59">
        <f t="shared" si="125"/>
        <v>797.17515689227525</v>
      </c>
      <c r="DT183" s="59">
        <f ca="1">AVERAGE(OFFSET($DS$3,0,0,'Données projet'!$E$14+1,1))-AVERAGE(OFFSET($H$3,0,0,'Données projet'!$E$14+1,1))</f>
        <v>649.03508893149228</v>
      </c>
      <c r="DU183" s="59">
        <f t="shared" si="152"/>
        <v>297.94672581383213</v>
      </c>
      <c r="DV183" s="15">
        <f>IF(ISNA(VLOOKUP(A183,'Données projet'!$A$165:$I$185,3,0)),0,VLOOKUP(A183,'Données projet'!$A$165:$I$185,3,0))</f>
        <v>17</v>
      </c>
      <c r="DW183" s="15">
        <f>IF(ISNA(VLOOKUP(A183,'Données projet'!$A$165:$I$185,4,0)),0,VLOOKUP(A183,'Données projet'!$A$165:$I$185,4,0))</f>
        <v>77.72</v>
      </c>
      <c r="DX183" s="16">
        <f>IF(ISNA(VLOOKUP(A183,'Données projet'!$A$165:$I$185,5,0)),0%,VLOOKUP(A183,'Données projet'!$A$165:$I$185,5,0)*VLOOKUP('Données projet'!$B$14,Paramètres!$A$1:$I$89,7,0))</f>
        <v>0.25800000000000001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161.36855509038188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161.36855509038188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>
        <f>VLOOKUP(A183,'Données projet'!$A$191:$I$211,2,0)</f>
        <v>241.62</v>
      </c>
      <c r="EH183" s="12">
        <f>VLOOKUP(A183,'Données projet'!$A$191:$I$211,9,0)</f>
        <v>3.2566666666666606</v>
      </c>
      <c r="EI183" s="12">
        <f t="array" ref="EI183">INDEX(EH:EH,MIN(IF(ISNUMBER(EH183:EH379),ROW(EH183:EH379),"")))</f>
        <v>3.2566666666666606</v>
      </c>
      <c r="EJ183" s="12">
        <f>IF('Données projet'!$A$192&gt;35,EJ182+EI183-ER182,IF(A183&lt;'Données projet'!$A$192,$EG$205^A183,IF(A183='Données projet'!$A$192,'Données projet'!$B$192,EJ182+EI183-ER182)))</f>
        <v>241.62000000000052</v>
      </c>
      <c r="EK183" s="17">
        <f>EJ183*VLOOKUP('Données projet'!$B$15,Paramètres!$A$1:$I$89,3,0)*VLOOKUP('Données projet'!$B$15,Paramètres!$A$1:$I$89,5,0)</f>
        <v>260.07976800000057</v>
      </c>
      <c r="EL183" s="13">
        <f t="shared" si="179"/>
        <v>62.739380966692501</v>
      </c>
      <c r="EM183" s="20">
        <f t="shared" si="180"/>
        <v>562.24335111699042</v>
      </c>
      <c r="EN183" s="59">
        <f t="shared" si="128"/>
        <v>852.98413077486782</v>
      </c>
      <c r="EO183" s="59">
        <f ca="1">AVERAGE(OFFSET($EN$3,0,0,'Données projet'!$E$15+1,1))-AVERAGE(OFFSET($H$3,0,0,'Données projet'!$E$15+1,1))</f>
        <v>713.57333631602273</v>
      </c>
      <c r="EP183" s="59">
        <f t="shared" si="154"/>
        <v>325.30302392555359</v>
      </c>
      <c r="EQ183" s="15">
        <f>IF(ISNA(VLOOKUP(A183,'Données projet'!$A$191:$I$211,3,0)),0,VLOOKUP(A183,'Données projet'!$A$191:$I$211,3,0))</f>
        <v>17</v>
      </c>
      <c r="ER183" s="15">
        <f>IF(ISNA(VLOOKUP(A183,'Données projet'!$A$191:$I$211,4,0)),0,VLOOKUP(A183,'Données projet'!$A$191:$I$211,4,0))</f>
        <v>77.72</v>
      </c>
      <c r="ES183" s="16">
        <f>IF(ISNA(VLOOKUP(A183,'Données projet'!$A$191:$I$211,5,0)),0%,VLOOKUP(A183,'Données projet'!$A$191:$I$211,5,0)*VLOOKUP('Données projet'!$B$15,Paramètres!$A$1:$I$89,7,0))</f>
        <v>0.25800000000000001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179.58758550381205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179.58758550381205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5.6843418860808015E-14</v>
      </c>
      <c r="FF183" s="17">
        <f>FE183*VLOOKUP('Données projet'!$B$16,Paramètres!$A$1:$I$89,3,0)*VLOOKUP('Données projet'!$B$16,Paramètres!$A$1:$I$89,5,0)</f>
        <v>4.4337866711430253E-14</v>
      </c>
      <c r="FG183" s="13">
        <f t="shared" si="182"/>
        <v>7.3222115536967035E-13</v>
      </c>
      <c r="FH183" s="20">
        <f t="shared" si="183"/>
        <v>1.3525069634579169E-12</v>
      </c>
      <c r="FI183" s="59">
        <f t="shared" si="131"/>
        <v>290.74077965787876</v>
      </c>
      <c r="FJ183" s="59">
        <f ca="1">AVERAGE(OFFSET($FI$3,0,0,'Données projet'!$E$16+1,1))-AVERAGE(OFFSET($H$3,0,0,'Données projet'!$E$16+1,1))</f>
        <v>302.04287561738482</v>
      </c>
      <c r="FK183" s="59">
        <f t="shared" si="156"/>
        <v>296.09828774694802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11.45434414268756</v>
      </c>
      <c r="FR183" s="21">
        <f>EXP(-LN(2)/25)*FR182+(1-EXP(-LN(2)/25))/(LN(2)/25)*Calculateur!FM183*Calculateur!FO183*VLOOKUP('Données projet'!$B$16,Paramètres!$A$1:$I$89,3,0)*0.475*44/12</f>
        <v>2.3452006828861856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13.799544825573745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-2.8421709430404007E-14</v>
      </c>
      <c r="GA183" s="17">
        <f>FZ183*VLOOKUP('Données projet'!$B$17,Paramètres!$A$1:$I$89,3,0)*VLOOKUP('Données projet'!$B$17,Paramètres!$A$1:$I$89,5,0)</f>
        <v>-2.3942448024172337E-14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385.41819366740276</v>
      </c>
      <c r="GF183" s="59">
        <f t="shared" si="158"/>
        <v>262.4625391252718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44.730549426495649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44.730549426495649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69.292939906693832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3.3000000000000003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12.100000000000001</v>
      </c>
      <c r="H184" s="67">
        <f t="shared" si="110"/>
        <v>208.26666666666665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1.9533333333333285</v>
      </c>
      <c r="N184" s="13">
        <f>IF('Données projet'!$A$36&gt;35,N183+M184-V183,IF(A184&lt;'Données projet'!$A$36,$K$205^A184,IF(A184='Données projet'!$A$36,'Données projet'!$B$36,N183+M184-V183)))</f>
        <v>165.85333333333384</v>
      </c>
      <c r="O184" s="13">
        <f>N184*VLOOKUP('Données projet'!$B$9,Paramètres!$A$1:$I$89,3,0)*VLOOKUP('Données projet'!$B$9,Paramètres!$A$1:$I$89,5,0)</f>
        <v>150.06409600000046</v>
      </c>
      <c r="P184" s="13">
        <f t="shared" si="141"/>
        <v>38.593151304664545</v>
      </c>
      <c r="Q184" s="20">
        <f t="shared" si="162"/>
        <v>328.57803905562486</v>
      </c>
      <c r="R184" s="59">
        <f t="shared" si="109"/>
        <v>619.3637937236897</v>
      </c>
      <c r="S184" s="59">
        <f ca="1">AVERAGE(OFFSET($R$3,0,0,'Données projet'!$E$9+1,1))-AVERAGE(OFFSET($H$3,0,0,'Données projet'!$E$9+1,1))</f>
        <v>612.09138396952153</v>
      </c>
      <c r="T184" s="59">
        <f t="shared" si="142"/>
        <v>282.284310393542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147.99749252756848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147.99749252756848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168.17528000000053</v>
      </c>
      <c r="AK184" s="13">
        <f t="shared" si="164"/>
        <v>42.681090680670735</v>
      </c>
      <c r="AL184" s="20">
        <f t="shared" si="165"/>
        <v>367.24151226883578</v>
      </c>
      <c r="AM184" s="59">
        <f t="shared" si="113"/>
        <v>658.02726693690056</v>
      </c>
      <c r="AN184" s="59">
        <f ca="1">AVERAGE(OFFSET($AM$3,0,0,'Données projet'!$E$10+1,1))-AVERAGE(OFFSET($H$3,0,0,'Données projet'!$E$10+1,1))</f>
        <v>676.7112666359476</v>
      </c>
      <c r="AO184" s="59">
        <f t="shared" si="144"/>
        <v>309.67876644201385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165.85925886710262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165.85925886710262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165.5879680000005</v>
      </c>
      <c r="BF184" s="13">
        <f t="shared" si="167"/>
        <v>42.100367999301845</v>
      </c>
      <c r="BG184" s="20">
        <f t="shared" si="168"/>
        <v>361.72385186545154</v>
      </c>
      <c r="BH184" s="59">
        <f t="shared" si="116"/>
        <v>652.50960653351638</v>
      </c>
      <c r="BI184" s="59">
        <f ca="1">AVERAGE(OFFSET($BH$3,0,0,'Données projet'!$E$11+1,1))-AVERAGE(OFFSET($H$3,0,0,'Données projet'!$E$11+1,1))</f>
        <v>667.4887768032404</v>
      </c>
      <c r="BJ184" s="59">
        <f t="shared" si="146"/>
        <v>305.76944302827178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163.30757796145485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163.30757796145485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157.82603200000048</v>
      </c>
      <c r="CA184" s="13">
        <f t="shared" si="170"/>
        <v>40.351781126124386</v>
      </c>
      <c r="CB184" s="20">
        <f t="shared" si="171"/>
        <v>345.15969119466746</v>
      </c>
      <c r="CC184" s="59">
        <f t="shared" si="119"/>
        <v>635.9454458627323</v>
      </c>
      <c r="CD184" s="59">
        <f ca="1">AVERAGE(OFFSET($CC$3,0,0,'Données projet'!$E$12+1,1))-AVERAGE(OFFSET($H$3,0,0,'Données projet'!$E$12+1,1))</f>
        <v>639.80378676828764</v>
      </c>
      <c r="CE184" s="59">
        <f t="shared" si="148"/>
        <v>294.03328334345281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155.65253524451171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155.65253524451171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-1.7053025658242404E-13</v>
      </c>
      <c r="CU184" s="17">
        <f>CT184*VLOOKUP('Données projet'!$B$13,Paramètres!$A$1:$I$89,3,0)*VLOOKUP('Données projet'!$B$13,Paramètres!$A$1:$I$89,5,0)</f>
        <v>-1.4897523215040567E-13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340.64710509454375</v>
      </c>
      <c r="CZ184" s="59">
        <f t="shared" si="150"/>
        <v>329.6409514360613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13.202143682875775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13.202143682875775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1.9533333333333285</v>
      </c>
      <c r="DO184" s="12">
        <f>IF('Données projet'!$A$166&gt;35,DO183+DN184-DW183,IF(A184&lt;'Données projet'!$A$166,$DL$205^A184,IF(A184='Données projet'!$A$166,'Données projet'!$B$166,DO183+DN184-DW183)))</f>
        <v>165.85333333333384</v>
      </c>
      <c r="DP184" s="17">
        <f>DO184*VLOOKUP('Données projet'!$B$14,Paramètres!$A$1:$I$89,3,0)*VLOOKUP('Données projet'!$B$14,Paramètres!$A$1:$I$89,5,0)</f>
        <v>160.41334400000048</v>
      </c>
      <c r="DQ184" s="13">
        <f t="shared" si="176"/>
        <v>40.935732295508117</v>
      </c>
      <c r="DR184" s="20">
        <f t="shared" si="177"/>
        <v>350.68297454801086</v>
      </c>
      <c r="DS184" s="59">
        <f t="shared" si="125"/>
        <v>641.46872921607564</v>
      </c>
      <c r="DT184" s="59">
        <f ca="1">AVERAGE(OFFSET($DS$3,0,0,'Données projet'!$E$14+1,1))-AVERAGE(OFFSET($H$3,0,0,'Données projet'!$E$14+1,1))</f>
        <v>649.03508893149228</v>
      </c>
      <c r="DU184" s="59">
        <f t="shared" si="152"/>
        <v>297.94672581383213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158.20421615015943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158.20421615015943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1.9533333333333285</v>
      </c>
      <c r="EJ184" s="12">
        <f>IF('Données projet'!$A$192&gt;35,EJ183+EI184-ER183,IF(A184&lt;'Données projet'!$A$192,$EG$205^A184,IF(A184='Données projet'!$A$192,'Données projet'!$B$192,EJ183+EI184-ER183)))</f>
        <v>165.85333333333384</v>
      </c>
      <c r="EK184" s="17">
        <f>EJ184*VLOOKUP('Données projet'!$B$15,Paramètres!$A$1:$I$89,3,0)*VLOOKUP('Données projet'!$B$15,Paramètres!$A$1:$I$89,5,0)</f>
        <v>178.52452800000054</v>
      </c>
      <c r="EL184" s="13">
        <f t="shared" si="179"/>
        <v>44.993763745423621</v>
      </c>
      <c r="EM184" s="20">
        <f t="shared" si="180"/>
        <v>389.29435812328035</v>
      </c>
      <c r="EN184" s="59">
        <f t="shared" si="128"/>
        <v>680.08011279134519</v>
      </c>
      <c r="EO184" s="59">
        <f ca="1">AVERAGE(OFFSET($EN$3,0,0,'Données projet'!$E$15+1,1))-AVERAGE(OFFSET($H$3,0,0,'Données projet'!$E$15+1,1))</f>
        <v>713.57333631602273</v>
      </c>
      <c r="EP184" s="59">
        <f t="shared" si="154"/>
        <v>325.30302392555359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176.06598248969351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176.06598248969351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5.6843418860808015E-14</v>
      </c>
      <c r="FF184" s="17">
        <f>FE184*VLOOKUP('Données projet'!$B$16,Paramètres!$A$1:$I$89,3,0)*VLOOKUP('Données projet'!$B$16,Paramètres!$A$1:$I$89,5,0)</f>
        <v>4.4337866711430253E-14</v>
      </c>
      <c r="FG184" s="13">
        <f t="shared" si="182"/>
        <v>7.3222115536967035E-13</v>
      </c>
      <c r="FH184" s="20">
        <f t="shared" si="183"/>
        <v>1.3525069634579169E-12</v>
      </c>
      <c r="FI184" s="59">
        <f t="shared" si="131"/>
        <v>290.7857546680662</v>
      </c>
      <c r="FJ184" s="59">
        <f ca="1">AVERAGE(OFFSET($FI$3,0,0,'Données projet'!$E$16+1,1))-AVERAGE(OFFSET($H$3,0,0,'Données projet'!$E$16+1,1))</f>
        <v>302.04287561738482</v>
      </c>
      <c r="FK184" s="59">
        <f t="shared" si="156"/>
        <v>296.09828774694802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11.229731440509529</v>
      </c>
      <c r="FR184" s="21">
        <f>EXP(-LN(2)/25)*FR183+(1-EXP(-LN(2)/25))/(LN(2)/25)*Calculateur!FM184*Calculateur!FO184*VLOOKUP('Données projet'!$B$16,Paramètres!$A$1:$I$89,3,0)*0.475*44/12</f>
        <v>2.2810710468839188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13.510802487393448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-2.8421709430404007E-14</v>
      </c>
      <c r="GA184" s="17">
        <f>FZ184*VLOOKUP('Données projet'!$B$17,Paramètres!$A$1:$I$89,3,0)*VLOOKUP('Données projet'!$B$17,Paramètres!$A$1:$I$89,5,0)</f>
        <v>-2.3942448024172337E-14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385.41819366740276</v>
      </c>
      <c r="GF184" s="59">
        <f t="shared" si="158"/>
        <v>262.4625391252718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43.853410635183252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43.853410635183252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69.305205818563138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3.3000000000000003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12.100000000000001</v>
      </c>
      <c r="H185" s="67">
        <f t="shared" si="110"/>
        <v>208.26666666666665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1.9533333333333285</v>
      </c>
      <c r="N185" s="13">
        <f>IF('Données projet'!$A$36&gt;35,N184+M185-V184,IF(A185&lt;'Données projet'!$A$36,$K$205^A185,IF(A185='Données projet'!$A$36,'Données projet'!$B$36,N184+M185-V184)))</f>
        <v>167.80666666666716</v>
      </c>
      <c r="O185" s="13">
        <f>N185*VLOOKUP('Données projet'!$B$9,Paramètres!$A$1:$I$89,3,0)*VLOOKUP('Données projet'!$B$9,Paramètres!$A$1:$I$89,5,0)</f>
        <v>151.83147200000045</v>
      </c>
      <c r="P185" s="13">
        <f t="shared" si="141"/>
        <v>38.994499777620597</v>
      </c>
      <c r="Q185" s="20">
        <f t="shared" si="162"/>
        <v>332.35523417935661</v>
      </c>
      <c r="R185" s="59">
        <f t="shared" si="109"/>
        <v>623.18518364173121</v>
      </c>
      <c r="S185" s="59">
        <f ca="1">AVERAGE(OFFSET($R$3,0,0,'Données projet'!$E$9+1,1))-AVERAGE(OFFSET($H$3,0,0,'Données projet'!$E$9+1,1))</f>
        <v>612.09138396952153</v>
      </c>
      <c r="T185" s="59">
        <f t="shared" si="142"/>
        <v>282.284310393542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145.09535196865994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145.09535196865994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170.1559600000005</v>
      </c>
      <c r="AK185" s="13">
        <f t="shared" si="164"/>
        <v>43.124951572816009</v>
      </c>
      <c r="AL185" s="20">
        <f t="shared" si="165"/>
        <v>371.46425432265534</v>
      </c>
      <c r="AM185" s="59">
        <f t="shared" si="113"/>
        <v>662.29420378502994</v>
      </c>
      <c r="AN185" s="59">
        <f ca="1">AVERAGE(OFFSET($AM$3,0,0,'Données projet'!$E$10+1,1))-AVERAGE(OFFSET($H$3,0,0,'Données projet'!$E$10+1,1))</f>
        <v>676.7112666359476</v>
      </c>
      <c r="AO185" s="59">
        <f t="shared" si="144"/>
        <v>309.67876644201385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162.60685996487751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162.60685996487751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167.53817600000048</v>
      </c>
      <c r="BF185" s="13">
        <f t="shared" si="167"/>
        <v>42.538189681030268</v>
      </c>
      <c r="BG185" s="20">
        <f t="shared" si="168"/>
        <v>365.88300356112859</v>
      </c>
      <c r="BH185" s="59">
        <f t="shared" si="116"/>
        <v>656.71295302350313</v>
      </c>
      <c r="BI185" s="59">
        <f ca="1">AVERAGE(OFFSET($BH$3,0,0,'Données projet'!$E$11+1,1))-AVERAGE(OFFSET($H$3,0,0,'Données projet'!$E$11+1,1))</f>
        <v>667.4887768032404</v>
      </c>
      <c r="BJ185" s="59">
        <f t="shared" si="146"/>
        <v>305.76944302827178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160.10521596541784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160.10521596541784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159.68482400000048</v>
      </c>
      <c r="CA185" s="13">
        <f t="shared" si="170"/>
        <v>40.771418424156359</v>
      </c>
      <c r="CB185" s="20">
        <f t="shared" si="171"/>
        <v>349.12795555540646</v>
      </c>
      <c r="CC185" s="59">
        <f t="shared" si="119"/>
        <v>639.95790501778106</v>
      </c>
      <c r="CD185" s="59">
        <f ca="1">AVERAGE(OFFSET($CC$3,0,0,'Données projet'!$E$12+1,1))-AVERAGE(OFFSET($H$3,0,0,'Données projet'!$E$12+1,1))</f>
        <v>639.80378676828764</v>
      </c>
      <c r="CE185" s="59">
        <f t="shared" si="148"/>
        <v>294.03328334345281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152.60028396703893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152.60028396703893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-1.7053025658242404E-13</v>
      </c>
      <c r="CU185" s="17">
        <f>CT185*VLOOKUP('Données projet'!$B$13,Paramètres!$A$1:$I$89,3,0)*VLOOKUP('Données projet'!$B$13,Paramètres!$A$1:$I$89,5,0)</f>
        <v>-1.4897523215040567E-13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340.64710509454375</v>
      </c>
      <c r="CZ185" s="59">
        <f t="shared" si="150"/>
        <v>329.6409514360613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12.943257697767107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12.943257697767107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1.9533333333333285</v>
      </c>
      <c r="DO185" s="12">
        <f>IF('Données projet'!$A$166&gt;35,DO184+DN185-DW184,IF(A185&lt;'Données projet'!$A$166,$DL$205^A185,IF(A185='Données projet'!$A$166,'Données projet'!$B$166,DO184+DN185-DW184)))</f>
        <v>167.80666666666716</v>
      </c>
      <c r="DP185" s="17">
        <f>DO185*VLOOKUP('Données projet'!$B$14,Paramètres!$A$1:$I$89,3,0)*VLOOKUP('Données projet'!$B$14,Paramètres!$A$1:$I$89,5,0)</f>
        <v>162.30260800000048</v>
      </c>
      <c r="DQ185" s="13">
        <f t="shared" si="176"/>
        <v>41.361442378534058</v>
      </c>
      <c r="DR185" s="20">
        <f t="shared" si="177"/>
        <v>354.71488774261428</v>
      </c>
      <c r="DS185" s="59">
        <f t="shared" si="125"/>
        <v>645.54483720498888</v>
      </c>
      <c r="DT185" s="59">
        <f ca="1">AVERAGE(OFFSET($DS$3,0,0,'Données projet'!$E$14+1,1))-AVERAGE(OFFSET($H$3,0,0,'Données projet'!$E$14+1,1))</f>
        <v>649.03508893149228</v>
      </c>
      <c r="DU185" s="59">
        <f t="shared" si="152"/>
        <v>297.94672581383213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155.10192796649855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155.10192796649855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1.9533333333333285</v>
      </c>
      <c r="EJ185" s="12">
        <f>IF('Données projet'!$A$192&gt;35,EJ184+EI185-ER184,IF(A185&lt;'Données projet'!$A$192,$EG$205^A185,IF(A185='Données projet'!$A$192,'Données projet'!$B$192,EJ184+EI185-ER184)))</f>
        <v>167.80666666666716</v>
      </c>
      <c r="EK185" s="17">
        <f>EJ185*VLOOKUP('Données projet'!$B$15,Paramètres!$A$1:$I$89,3,0)*VLOOKUP('Données projet'!$B$15,Paramètres!$A$1:$I$89,5,0)</f>
        <v>180.62709600000053</v>
      </c>
      <c r="EL185" s="13">
        <f t="shared" si="179"/>
        <v>45.46167522093949</v>
      </c>
      <c r="EM185" s="20">
        <f t="shared" si="180"/>
        <v>393.77127654313722</v>
      </c>
      <c r="EN185" s="59">
        <f t="shared" si="128"/>
        <v>684.60122600551176</v>
      </c>
      <c r="EO185" s="59">
        <f ca="1">AVERAGE(OFFSET($EN$3,0,0,'Données projet'!$E$15+1,1))-AVERAGE(OFFSET($H$3,0,0,'Données projet'!$E$15+1,1))</f>
        <v>713.57333631602273</v>
      </c>
      <c r="EP185" s="59">
        <f t="shared" si="154"/>
        <v>325.30302392555359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172.6134359627161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172.6134359627161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5.6843418860808015E-14</v>
      </c>
      <c r="FF185" s="17">
        <f>FE185*VLOOKUP('Données projet'!$B$16,Paramètres!$A$1:$I$89,3,0)*VLOOKUP('Données projet'!$B$16,Paramètres!$A$1:$I$89,5,0)</f>
        <v>4.4337866711430253E-14</v>
      </c>
      <c r="FG185" s="13">
        <f t="shared" si="182"/>
        <v>7.3222115536967035E-13</v>
      </c>
      <c r="FH185" s="20">
        <f t="shared" si="183"/>
        <v>1.3525069634579169E-12</v>
      </c>
      <c r="FI185" s="59">
        <f t="shared" si="131"/>
        <v>290.82994946237596</v>
      </c>
      <c r="FJ185" s="59">
        <f ca="1">AVERAGE(OFFSET($FI$3,0,0,'Données projet'!$E$16+1,1))-AVERAGE(OFFSET($H$3,0,0,'Données projet'!$E$16+1,1))</f>
        <v>302.04287561738482</v>
      </c>
      <c r="FK185" s="59">
        <f t="shared" si="156"/>
        <v>296.09828774694802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11.009523256420987</v>
      </c>
      <c r="FR185" s="21">
        <f>EXP(-LN(2)/25)*FR184+(1-EXP(-LN(2)/25))/(LN(2)/25)*Calculateur!FM185*Calculateur!FO185*VLOOKUP('Données projet'!$B$16,Paramètres!$A$1:$I$89,3,0)*0.475*44/12</f>
        <v>2.2186950391505653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13.228218295571553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-2.8421709430404007E-14</v>
      </c>
      <c r="GA185" s="17">
        <f>FZ185*VLOOKUP('Données projet'!$B$17,Paramètres!$A$1:$I$89,3,0)*VLOOKUP('Données projet'!$B$17,Paramètres!$A$1:$I$89,5,0)</f>
        <v>-2.3942448024172337E-14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385.41819366740276</v>
      </c>
      <c r="GF185" s="59">
        <f t="shared" si="158"/>
        <v>262.4625391252718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42.993472000566655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42.993472000566655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69.317258944283992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3.3000000000000003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12.100000000000001</v>
      </c>
      <c r="H186" s="67">
        <f t="shared" si="110"/>
        <v>208.26666666666665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169.76</v>
      </c>
      <c r="L186" s="12">
        <f>VLOOKUP(A186,'Données projet'!$A$35:$I$55,9,0)</f>
        <v>1.9533333333333285</v>
      </c>
      <c r="M186" s="12">
        <f t="array" ref="M186">INDEX(L:L,MIN(IF(ISNUMBER(L186:L382),ROW(L186:L382),"")))</f>
        <v>1.9533333333333285</v>
      </c>
      <c r="N186" s="13">
        <f>IF('Données projet'!$A$36&gt;35,N185+M186-V185,IF(A186&lt;'Données projet'!$A$36,$K$205^A186,IF(A186='Données projet'!$A$36,'Données projet'!$B$36,N185+M186-V185)))</f>
        <v>169.76000000000047</v>
      </c>
      <c r="O186" s="13">
        <f>N186*VLOOKUP('Données projet'!$B$9,Paramètres!$A$1:$I$89,3,0)*VLOOKUP('Données projet'!$B$9,Paramètres!$A$1:$I$89,5,0)</f>
        <v>153.5988480000004</v>
      </c>
      <c r="P186" s="13">
        <f t="shared" si="141"/>
        <v>39.395304802658316</v>
      </c>
      <c r="Q186" s="20">
        <f t="shared" si="162"/>
        <v>336.13148279796388</v>
      </c>
      <c r="R186" s="59">
        <f t="shared" si="109"/>
        <v>627.00486037377175</v>
      </c>
      <c r="S186" s="59">
        <f ca="1">AVERAGE(OFFSET($R$3,0,0,'Données projet'!$E$9+1,1))-AVERAGE(OFFSET($H$3,0,0,'Données projet'!$E$9+1,1))</f>
        <v>612.09138396952153</v>
      </c>
      <c r="T186" s="59">
        <f t="shared" si="142"/>
        <v>282.284310393542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0.25800000000000001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186.05825662893167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186.05825662893167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172.13664000000048</v>
      </c>
      <c r="AK186" s="13">
        <f t="shared" si="164"/>
        <v>43.568211452887901</v>
      </c>
      <c r="AL186" s="20">
        <f t="shared" si="165"/>
        <v>375.68594961378062</v>
      </c>
      <c r="AM186" s="59">
        <f t="shared" si="113"/>
        <v>666.55932718958843</v>
      </c>
      <c r="AN186" s="59">
        <f ca="1">AVERAGE(OFFSET($AM$3,0,0,'Données projet'!$E$10+1,1))-AVERAGE(OFFSET($H$3,0,0,'Données projet'!$E$10+1,1))</f>
        <v>676.7112666359476</v>
      </c>
      <c r="AO186" s="59">
        <f t="shared" si="144"/>
        <v>309.67876644201385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208.51356346345793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208.51356346345793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169.48838400000048</v>
      </c>
      <c r="BF186" s="13">
        <f t="shared" si="167"/>
        <v>42.975418528108541</v>
      </c>
      <c r="BG186" s="20">
        <f t="shared" si="168"/>
        <v>370.04112273645654</v>
      </c>
      <c r="BH186" s="59">
        <f t="shared" si="116"/>
        <v>660.91450031226441</v>
      </c>
      <c r="BI186" s="59">
        <f ca="1">AVERAGE(OFFSET($BH$3,0,0,'Données projet'!$E$11+1,1))-AVERAGE(OFFSET($H$3,0,0,'Données projet'!$E$11+1,1))</f>
        <v>667.4887768032404</v>
      </c>
      <c r="BJ186" s="59">
        <f t="shared" si="146"/>
        <v>305.76944302827178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205.30566248709701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205.30566248709701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161.54361600000044</v>
      </c>
      <c r="CA186" s="13">
        <f t="shared" si="170"/>
        <v>41.190487510194309</v>
      </c>
      <c r="CB186" s="20">
        <f t="shared" si="171"/>
        <v>353.09523028025586</v>
      </c>
      <c r="CC186" s="59">
        <f t="shared" si="119"/>
        <v>643.96860785606373</v>
      </c>
      <c r="CD186" s="59">
        <f ca="1">AVERAGE(OFFSET($CC$3,0,0,'Données projet'!$E$12+1,1))-AVERAGE(OFFSET($H$3,0,0,'Données projet'!$E$12+1,1))</f>
        <v>639.80378676828764</v>
      </c>
      <c r="CE186" s="59">
        <f t="shared" si="148"/>
        <v>294.03328334345281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0.25800000000000001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195.68195955801437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195.68195955801437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-1.7053025658242404E-13</v>
      </c>
      <c r="CU186" s="17">
        <f>CT186*VLOOKUP('Données projet'!$B$13,Paramètres!$A$1:$I$89,3,0)*VLOOKUP('Données projet'!$B$13,Paramètres!$A$1:$I$89,5,0)</f>
        <v>-1.4897523215040567E-13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340.64710509454375</v>
      </c>
      <c r="CZ186" s="59">
        <f t="shared" si="150"/>
        <v>329.6409514360613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12.689448308921563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12.689448308921563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>
        <f>VLOOKUP(A186,'Données projet'!$A$165:$I$185,2,0)</f>
        <v>169.76</v>
      </c>
      <c r="DM186" s="12">
        <f>VLOOKUP(A186,'Données projet'!$A$165:$I$185,9,0)</f>
        <v>1.9533333333333285</v>
      </c>
      <c r="DN186" s="12">
        <f t="array" ref="DN186">INDEX(DM:DM,MIN(IF(ISNUMBER(DM186:DM382),ROW(DM186:DM382),"")))</f>
        <v>1.9533333333333285</v>
      </c>
      <c r="DO186" s="12">
        <f>IF('Données projet'!$A$166&gt;35,DO185+DN186-DW185,IF(A186&lt;'Données projet'!$A$166,$DL$205^A186,IF(A186='Données projet'!$A$166,'Données projet'!$B$166,DO185+DN186-DW185)))</f>
        <v>169.76000000000047</v>
      </c>
      <c r="DP186" s="17">
        <f>DO186*VLOOKUP('Données projet'!$B$14,Paramètres!$A$1:$I$89,3,0)*VLOOKUP('Données projet'!$B$14,Paramètres!$A$1:$I$89,5,0)</f>
        <v>164.19187200000047</v>
      </c>
      <c r="DQ186" s="13">
        <f t="shared" si="176"/>
        <v>41.786576026680912</v>
      </c>
      <c r="DR186" s="20">
        <f t="shared" si="177"/>
        <v>358.7457969798034</v>
      </c>
      <c r="DS186" s="59">
        <f t="shared" si="125"/>
        <v>649.61917455561127</v>
      </c>
      <c r="DT186" s="59">
        <f ca="1">AVERAGE(OFFSET($DS$3,0,0,'Données projet'!$E$14+1,1))-AVERAGE(OFFSET($H$3,0,0,'Données projet'!$E$14+1,1))</f>
        <v>649.03508893149228</v>
      </c>
      <c r="DU186" s="59">
        <f t="shared" si="152"/>
        <v>297.94672581383213</v>
      </c>
      <c r="DV186" s="15">
        <f>IF(ISNA(VLOOKUP(A186,'Données projet'!$A$165:$I$185,3,0)),0,VLOOKUP(A186,'Données projet'!$A$165:$I$185,3,0))</f>
        <v>18</v>
      </c>
      <c r="DW186" s="15">
        <f>IF(ISNA(VLOOKUP(A186,'Données projet'!$A$165:$I$185,4,0)),0,VLOOKUP(A186,'Données projet'!$A$165:$I$185,4,0))</f>
        <v>169.76</v>
      </c>
      <c r="DX186" s="16">
        <f>IF(ISNA(VLOOKUP(A186,'Données projet'!$A$165:$I$185,5,0)),0%,VLOOKUP(A186,'Données projet'!$A$165:$I$185,5,0)*VLOOKUP('Données projet'!$B$14,Paramètres!$A$1:$I$89,7,0))</f>
        <v>0.25800000000000001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198.88986053437523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198.88986053437523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>
        <f>VLOOKUP(A186,'Données projet'!$A$191:$I$211,2,0)</f>
        <v>169.76</v>
      </c>
      <c r="EH186" s="12">
        <f>VLOOKUP(A186,'Données projet'!$A$191:$I$211,9,0)</f>
        <v>1.9533333333333285</v>
      </c>
      <c r="EI186" s="12">
        <f t="array" ref="EI186">INDEX(EH:EH,MIN(IF(ISNUMBER(EH186:EH382),ROW(EH186:EH382),"")))</f>
        <v>1.9533333333333285</v>
      </c>
      <c r="EJ186" s="12">
        <f>IF('Données projet'!$A$192&gt;35,EJ185+EI186-ER185,IF(A186&lt;'Données projet'!$A$192,$EG$205^A186,IF(A186='Données projet'!$A$192,'Données projet'!$B$192,EJ185+EI186-ER185)))</f>
        <v>169.76000000000047</v>
      </c>
      <c r="EK186" s="17">
        <f>EJ186*VLOOKUP('Données projet'!$B$15,Paramètres!$A$1:$I$89,3,0)*VLOOKUP('Données projet'!$B$15,Paramètres!$A$1:$I$89,5,0)</f>
        <v>182.7296640000005</v>
      </c>
      <c r="EL186" s="13">
        <f t="shared" si="179"/>
        <v>45.928953118568565</v>
      </c>
      <c r="EM186" s="20">
        <f t="shared" si="180"/>
        <v>398.24709148150777</v>
      </c>
      <c r="EN186" s="59">
        <f t="shared" si="128"/>
        <v>689.12046905731563</v>
      </c>
      <c r="EO186" s="59">
        <f ca="1">AVERAGE(OFFSET($EN$3,0,0,'Données projet'!$E$15+1,1))-AVERAGE(OFFSET($H$3,0,0,'Données projet'!$E$15+1,1))</f>
        <v>713.57333631602273</v>
      </c>
      <c r="EP186" s="59">
        <f t="shared" si="154"/>
        <v>325.30302392555359</v>
      </c>
      <c r="EQ186" s="15">
        <f>IF(ISNA(VLOOKUP(A186,'Données projet'!$A$191:$I$211,3,0)),0,VLOOKUP(A186,'Données projet'!$A$191:$I$211,3,0))</f>
        <v>18</v>
      </c>
      <c r="ER186" s="15">
        <f>IF(ISNA(VLOOKUP(A186,'Données projet'!$A$191:$I$211,4,0)),0,VLOOKUP(A186,'Données projet'!$A$191:$I$211,4,0))</f>
        <v>169.76</v>
      </c>
      <c r="ES186" s="16">
        <f>IF(ISNA(VLOOKUP(A186,'Données projet'!$A$191:$I$211,5,0)),0%,VLOOKUP(A186,'Données projet'!$A$191:$I$211,5,0)*VLOOKUP('Données projet'!$B$15,Paramètres!$A$1:$I$89,7,0))</f>
        <v>0.25800000000000001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221.34516736890146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221.34516736890146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5.6843418860808015E-14</v>
      </c>
      <c r="FF186" s="17">
        <f>FE186*VLOOKUP('Données projet'!$B$16,Paramètres!$A$1:$I$89,3,0)*VLOOKUP('Données projet'!$B$16,Paramètres!$A$1:$I$89,5,0)</f>
        <v>4.4337866711430253E-14</v>
      </c>
      <c r="FG186" s="13">
        <f t="shared" si="182"/>
        <v>7.3222115536967035E-13</v>
      </c>
      <c r="FH186" s="20">
        <f t="shared" si="183"/>
        <v>1.3525069634579169E-12</v>
      </c>
      <c r="FI186" s="59">
        <f t="shared" si="131"/>
        <v>290.87337757580923</v>
      </c>
      <c r="FJ186" s="59">
        <f ca="1">AVERAGE(OFFSET($FI$3,0,0,'Données projet'!$E$16+1,1))-AVERAGE(OFFSET($H$3,0,0,'Données projet'!$E$16+1,1))</f>
        <v>302.04287561738482</v>
      </c>
      <c r="FK186" s="59">
        <f t="shared" si="156"/>
        <v>296.09828774694802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10.793633220508692</v>
      </c>
      <c r="FR186" s="21">
        <f>EXP(-LN(2)/25)*FR185+(1-EXP(-LN(2)/25))/(LN(2)/25)*Calculateur!FM186*Calculateur!FO186*VLOOKUP('Données projet'!$B$16,Paramètres!$A$1:$I$89,3,0)*0.475*44/12</f>
        <v>2.158024706628892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12.951657927137584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-2.8421709430404007E-14</v>
      </c>
      <c r="GA186" s="17">
        <f>FZ186*VLOOKUP('Données projet'!$B$17,Paramètres!$A$1:$I$89,3,0)*VLOOKUP('Données projet'!$B$17,Paramètres!$A$1:$I$89,5,0)</f>
        <v>-2.3942448024172337E-14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385.41819366740276</v>
      </c>
      <c r="GF186" s="59">
        <f t="shared" si="158"/>
        <v>262.4625391252718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42.150396238064111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42.150396238064111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69.329102975220337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3.3000000000000003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12.100000000000001</v>
      </c>
      <c r="H187" s="67">
        <f t="shared" si="110"/>
        <v>208.26666666666665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4.8316906031686813E-13</v>
      </c>
      <c r="O187" s="13">
        <f>N187*VLOOKUP('Données projet'!$B$9,Paramètres!$A$1:$I$89,3,0)*VLOOKUP('Données projet'!$B$9,Paramètres!$A$1:$I$89,5,0)</f>
        <v>4.3717136577470225E-13</v>
      </c>
      <c r="P187" s="13">
        <f t="shared" si="141"/>
        <v>5.5313598682231701E-12</v>
      </c>
      <c r="Q187" s="20">
        <f t="shared" si="162"/>
        <v>1.039519189921296E-11</v>
      </c>
      <c r="R187" s="59">
        <f t="shared" si="109"/>
        <v>290.91605230857419</v>
      </c>
      <c r="S187" s="59">
        <f ca="1">AVERAGE(OFFSET($R$3,0,0,'Données projet'!$E$9+1,1))-AVERAGE(OFFSET($H$3,0,0,'Données projet'!$E$9+1,1))</f>
        <v>612.09138396952153</v>
      </c>
      <c r="T187" s="59">
        <f t="shared" si="142"/>
        <v>282.284310393542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182.40976770076921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182.40976770076921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4.8993342716130437E-13</v>
      </c>
      <c r="AK187" s="13">
        <f t="shared" si="164"/>
        <v>6.1172634040517391E-12</v>
      </c>
      <c r="AL187" s="20">
        <f t="shared" si="165"/>
        <v>1.1507534481029384E-11</v>
      </c>
      <c r="AM187" s="59">
        <f t="shared" si="113"/>
        <v>290.91605230857527</v>
      </c>
      <c r="AN187" s="59">
        <f ca="1">AVERAGE(OFFSET($AM$3,0,0,'Données projet'!$E$10+1,1))-AVERAGE(OFFSET($H$3,0,0,'Données projet'!$E$10+1,1))</f>
        <v>676.7112666359476</v>
      </c>
      <c r="AO187" s="59">
        <f t="shared" si="144"/>
        <v>309.67876644201385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204.42473966465516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204.42473966465516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4.8239598982036122E-13</v>
      </c>
      <c r="BF187" s="13">
        <f t="shared" si="167"/>
        <v>6.0340313790498689E-12</v>
      </c>
      <c r="BG187" s="20">
        <f t="shared" si="168"/>
        <v>1.1349444334115651E-11</v>
      </c>
      <c r="BH187" s="59">
        <f t="shared" si="116"/>
        <v>290.91605230857516</v>
      </c>
      <c r="BI187" s="59">
        <f ca="1">AVERAGE(OFFSET($BH$3,0,0,'Données projet'!$E$11+1,1))-AVERAGE(OFFSET($H$3,0,0,'Données projet'!$E$11+1,1))</f>
        <v>667.4887768032404</v>
      </c>
      <c r="BJ187" s="59">
        <f t="shared" si="146"/>
        <v>305.76944302827178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201.27974366981431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201.27974366981431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4.5978367779753168E-13</v>
      </c>
      <c r="CA187" s="13">
        <f t="shared" si="170"/>
        <v>5.7834153259568991E-12</v>
      </c>
      <c r="CB187" s="20">
        <f t="shared" si="171"/>
        <v>1.0873571598205634E-11</v>
      </c>
      <c r="CC187" s="59">
        <f t="shared" si="119"/>
        <v>290.91605230857465</v>
      </c>
      <c r="CD187" s="59">
        <f ca="1">AVERAGE(OFFSET($CC$3,0,0,'Données projet'!$E$12+1,1))-AVERAGE(OFFSET($H$3,0,0,'Données projet'!$E$12+1,1))</f>
        <v>639.80378676828764</v>
      </c>
      <c r="CE187" s="59">
        <f t="shared" si="148"/>
        <v>294.03328334345281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191.8447556852918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191.8447556852918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-1.7053025658242404E-13</v>
      </c>
      <c r="CU187" s="17">
        <f>CT187*VLOOKUP('Données projet'!$B$13,Paramètres!$A$1:$I$89,3,0)*VLOOKUP('Données projet'!$B$13,Paramètres!$A$1:$I$89,5,0)</f>
        <v>-1.4897523215040567E-13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340.64710509454375</v>
      </c>
      <c r="CZ187" s="59">
        <f t="shared" si="150"/>
        <v>329.6409514360613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12.440615967382838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12.440615967382838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4.8316906031686813E-13</v>
      </c>
      <c r="DP187" s="17">
        <f>DO187*VLOOKUP('Données projet'!$B$14,Paramètres!$A$1:$I$89,3,0)*VLOOKUP('Données projet'!$B$14,Paramètres!$A$1:$I$89,5,0)</f>
        <v>4.6732111513847483E-13</v>
      </c>
      <c r="DQ187" s="13">
        <f t="shared" si="176"/>
        <v>5.8671100737071438E-12</v>
      </c>
      <c r="DR187" s="20">
        <f t="shared" si="177"/>
        <v>1.1032467653906121E-11</v>
      </c>
      <c r="DS187" s="59">
        <f t="shared" si="125"/>
        <v>290.91605230857482</v>
      </c>
      <c r="DT187" s="59">
        <f ca="1">AVERAGE(OFFSET($DS$3,0,0,'Données projet'!$E$14+1,1))-AVERAGE(OFFSET($H$3,0,0,'Données projet'!$E$14+1,1))</f>
        <v>649.03508893149228</v>
      </c>
      <c r="DU187" s="59">
        <f t="shared" si="152"/>
        <v>297.94672581383213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194.9897516801326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194.9897516801326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4.8316906031686813E-13</v>
      </c>
      <c r="EK187" s="17">
        <f>EJ187*VLOOKUP('Données projet'!$B$15,Paramètres!$A$1:$I$89,3,0)*VLOOKUP('Données projet'!$B$15,Paramètres!$A$1:$I$89,5,0)</f>
        <v>5.2008317652507685E-13</v>
      </c>
      <c r="EL187" s="13">
        <f t="shared" si="179"/>
        <v>6.4487270587740506E-12</v>
      </c>
      <c r="EM187" s="20">
        <f t="shared" si="180"/>
        <v>1.213734449314598E-11</v>
      </c>
      <c r="EN187" s="59">
        <f t="shared" si="128"/>
        <v>290.91605230857596</v>
      </c>
      <c r="EO187" s="59">
        <f ca="1">AVERAGE(OFFSET($EN$3,0,0,'Données projet'!$E$15+1,1))-AVERAGE(OFFSET($H$3,0,0,'Données projet'!$E$15+1,1))</f>
        <v>713.57333631602273</v>
      </c>
      <c r="EP187" s="59">
        <f t="shared" si="154"/>
        <v>325.30302392555359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217.00472364401853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217.00472364401853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5.6843418860808015E-14</v>
      </c>
      <c r="FF187" s="17">
        <f>FE187*VLOOKUP('Données projet'!$B$16,Paramètres!$A$1:$I$89,3,0)*VLOOKUP('Données projet'!$B$16,Paramètres!$A$1:$I$89,5,0)</f>
        <v>4.4337866711430253E-14</v>
      </c>
      <c r="FG187" s="13">
        <f t="shared" si="182"/>
        <v>7.3222115536967035E-13</v>
      </c>
      <c r="FH187" s="20">
        <f t="shared" si="183"/>
        <v>1.3525069634579169E-12</v>
      </c>
      <c r="FI187" s="59">
        <f t="shared" si="131"/>
        <v>290.91605230856516</v>
      </c>
      <c r="FJ187" s="59">
        <f ca="1">AVERAGE(OFFSET($FI$3,0,0,'Données projet'!$E$16+1,1))-AVERAGE(OFFSET($H$3,0,0,'Données projet'!$E$16+1,1))</f>
        <v>302.04287561738482</v>
      </c>
      <c r="FK187" s="59">
        <f t="shared" si="156"/>
        <v>296.09828774694802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10.581976656520718</v>
      </c>
      <c r="FR187" s="21">
        <f>EXP(-LN(2)/25)*FR186+(1-EXP(-LN(2)/25))/(LN(2)/25)*Calculateur!FM187*Calculateur!FO187*VLOOKUP('Données projet'!$B$16,Paramètres!$A$1:$I$89,3,0)*0.475*44/12</f>
        <v>2.099013407540538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12.680990064061255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-2.8421709430404007E-14</v>
      </c>
      <c r="GA187" s="17">
        <f>FZ187*VLOOKUP('Données projet'!$B$17,Paramètres!$A$1:$I$89,3,0)*VLOOKUP('Données projet'!$B$17,Paramètres!$A$1:$I$89,5,0)</f>
        <v>-2.3942448024172337E-14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385.41819366740276</v>
      </c>
      <c r="GF187" s="59">
        <f t="shared" si="158"/>
        <v>262.4625391252718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41.323852677038808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41.323852677038808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69.34074153869922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3.3000000000000003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12.100000000000001</v>
      </c>
      <c r="H188" s="67">
        <f t="shared" si="110"/>
        <v>208.26666666666665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4.8316906031686813E-13</v>
      </c>
      <c r="O188" s="13">
        <f>N188*VLOOKUP('Données projet'!$B$9,Paramètres!$A$1:$I$89,3,0)*VLOOKUP('Données projet'!$B$9,Paramètres!$A$1:$I$89,5,0)</f>
        <v>4.3717136577470225E-13</v>
      </c>
      <c r="P188" s="13">
        <f t="shared" si="141"/>
        <v>5.5313598682231701E-12</v>
      </c>
      <c r="Q188" s="20">
        <f t="shared" si="162"/>
        <v>1.039519189921296E-11</v>
      </c>
      <c r="R188" s="59">
        <f t="shared" si="109"/>
        <v>290.9579867301232</v>
      </c>
      <c r="S188" s="59">
        <f ca="1">AVERAGE(OFFSET($R$3,0,0,'Données projet'!$E$9+1,1))-AVERAGE(OFFSET($H$3,0,0,'Données projet'!$E$9+1,1))</f>
        <v>612.09138396952153</v>
      </c>
      <c r="T188" s="59">
        <f t="shared" si="142"/>
        <v>282.284310393542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178.83282341512952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178.83282341512952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4.8993342716130437E-13</v>
      </c>
      <c r="AK188" s="13">
        <f t="shared" si="164"/>
        <v>6.1172634040517391E-12</v>
      </c>
      <c r="AL188" s="20">
        <f t="shared" si="165"/>
        <v>1.1507534481029384E-11</v>
      </c>
      <c r="AM188" s="59">
        <f t="shared" si="113"/>
        <v>290.95798673012428</v>
      </c>
      <c r="AN188" s="59">
        <f ca="1">AVERAGE(OFFSET($AM$3,0,0,'Données projet'!$E$10+1,1))-AVERAGE(OFFSET($H$3,0,0,'Données projet'!$E$10+1,1))</f>
        <v>676.7112666359476</v>
      </c>
      <c r="AO188" s="59">
        <f t="shared" si="144"/>
        <v>309.67876644201385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200.41609520661066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200.41609520661066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4.8239598982036122E-13</v>
      </c>
      <c r="BF188" s="13">
        <f t="shared" si="167"/>
        <v>6.0340313790498689E-12</v>
      </c>
      <c r="BG188" s="20">
        <f t="shared" si="168"/>
        <v>1.1349444334115651E-11</v>
      </c>
      <c r="BH188" s="59">
        <f t="shared" si="116"/>
        <v>290.95798673012416</v>
      </c>
      <c r="BI188" s="59">
        <f ca="1">AVERAGE(OFFSET($BH$3,0,0,'Données projet'!$E$11+1,1))-AVERAGE(OFFSET($H$3,0,0,'Données projet'!$E$11+1,1))</f>
        <v>667.4887768032404</v>
      </c>
      <c r="BJ188" s="59">
        <f t="shared" si="146"/>
        <v>305.76944302827178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197.3327706649705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197.3327706649705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4.5978367779753168E-13</v>
      </c>
      <c r="CA188" s="13">
        <f t="shared" si="170"/>
        <v>5.7834153259568991E-12</v>
      </c>
      <c r="CB188" s="20">
        <f t="shared" si="171"/>
        <v>1.0873571598205634E-11</v>
      </c>
      <c r="CC188" s="59">
        <f t="shared" si="119"/>
        <v>290.95798673012365</v>
      </c>
      <c r="CD188" s="59">
        <f ca="1">AVERAGE(OFFSET($CC$3,0,0,'Données projet'!$E$12+1,1))-AVERAGE(OFFSET($H$3,0,0,'Données projet'!$E$12+1,1))</f>
        <v>639.80378676828764</v>
      </c>
      <c r="CE188" s="59">
        <f t="shared" si="148"/>
        <v>294.03328334345281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188.08279704005005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188.08279704005005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-1.7053025658242404E-13</v>
      </c>
      <c r="CU188" s="17">
        <f>CT188*VLOOKUP('Données projet'!$B$13,Paramètres!$A$1:$I$89,3,0)*VLOOKUP('Données projet'!$B$13,Paramètres!$A$1:$I$89,5,0)</f>
        <v>-1.4897523215040567E-13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340.64710509454375</v>
      </c>
      <c r="CZ188" s="59">
        <f t="shared" si="150"/>
        <v>329.6409514360613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12.196663076288946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12.196663076288946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4.8316906031686813E-13</v>
      </c>
      <c r="DP188" s="17">
        <f>DO188*VLOOKUP('Données projet'!$B$14,Paramètres!$A$1:$I$89,3,0)*VLOOKUP('Données projet'!$B$14,Paramètres!$A$1:$I$89,5,0)</f>
        <v>4.6732111513847483E-13</v>
      </c>
      <c r="DQ188" s="13">
        <f t="shared" si="176"/>
        <v>5.8671100737071438E-12</v>
      </c>
      <c r="DR188" s="20">
        <f t="shared" si="177"/>
        <v>1.1032467653906121E-11</v>
      </c>
      <c r="DS188" s="59">
        <f t="shared" si="125"/>
        <v>290.95798673012382</v>
      </c>
      <c r="DT188" s="59">
        <f ca="1">AVERAGE(OFFSET($DS$3,0,0,'Données projet'!$E$14+1,1))-AVERAGE(OFFSET($H$3,0,0,'Données projet'!$E$14+1,1))</f>
        <v>649.03508893149228</v>
      </c>
      <c r="DU188" s="59">
        <f t="shared" si="152"/>
        <v>297.94672581383213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191.16612158169016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191.16612158169016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4.8316906031686813E-13</v>
      </c>
      <c r="EK188" s="17">
        <f>EJ188*VLOOKUP('Données projet'!$B$15,Paramètres!$A$1:$I$89,3,0)*VLOOKUP('Données projet'!$B$15,Paramètres!$A$1:$I$89,5,0)</f>
        <v>5.2008317652507685E-13</v>
      </c>
      <c r="EL188" s="13">
        <f t="shared" si="179"/>
        <v>6.4487270587740506E-12</v>
      </c>
      <c r="EM188" s="20">
        <f t="shared" si="180"/>
        <v>1.213734449314598E-11</v>
      </c>
      <c r="EN188" s="59">
        <f t="shared" si="128"/>
        <v>290.95798673012496</v>
      </c>
      <c r="EO188" s="59">
        <f ca="1">AVERAGE(OFFSET($EN$3,0,0,'Données projet'!$E$15+1,1))-AVERAGE(OFFSET($H$3,0,0,'Données projet'!$E$15+1,1))</f>
        <v>713.57333631602273</v>
      </c>
      <c r="EP188" s="59">
        <f t="shared" si="154"/>
        <v>325.30302392555359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212.7493933731713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212.7493933731713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5.6843418860808015E-14</v>
      </c>
      <c r="FF188" s="17">
        <f>FE188*VLOOKUP('Données projet'!$B$16,Paramètres!$A$1:$I$89,3,0)*VLOOKUP('Données projet'!$B$16,Paramètres!$A$1:$I$89,5,0)</f>
        <v>4.4337866711430253E-14</v>
      </c>
      <c r="FG188" s="13">
        <f t="shared" si="182"/>
        <v>7.3222115536967035E-13</v>
      </c>
      <c r="FH188" s="20">
        <f t="shared" si="183"/>
        <v>1.3525069634579169E-12</v>
      </c>
      <c r="FI188" s="59">
        <f t="shared" si="131"/>
        <v>290.95798673011416</v>
      </c>
      <c r="FJ188" s="59">
        <f ca="1">AVERAGE(OFFSET($FI$3,0,0,'Données projet'!$E$16+1,1))-AVERAGE(OFFSET($H$3,0,0,'Données projet'!$E$16+1,1))</f>
        <v>302.04287561738482</v>
      </c>
      <c r="FK188" s="59">
        <f t="shared" si="156"/>
        <v>296.09828774694802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10.374470548654791</v>
      </c>
      <c r="FR188" s="21">
        <f>EXP(-LN(2)/25)*FR187+(1-EXP(-LN(2)/25))/(LN(2)/25)*Calculateur!FM188*Calculateur!FO188*VLOOKUP('Données projet'!$B$16,Paramètres!$A$1:$I$89,3,0)*0.475*44/12</f>
        <v>2.0416157755290243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12.416086324183816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-2.8421709430404007E-14</v>
      </c>
      <c r="GA188" s="17">
        <f>FZ188*VLOOKUP('Données projet'!$B$17,Paramètres!$A$1:$I$89,3,0)*VLOOKUP('Données projet'!$B$17,Paramètres!$A$1:$I$89,5,0)</f>
        <v>-2.3942448024172337E-14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385.41819366740276</v>
      </c>
      <c r="GF188" s="59">
        <f t="shared" si="158"/>
        <v>262.4625391252718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40.51351713110342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40.51351713110342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69.352178199121667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3.3000000000000003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12.100000000000001</v>
      </c>
      <c r="H189" s="67">
        <f t="shared" si="110"/>
        <v>208.26666666666665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4.8316906031686813E-13</v>
      </c>
      <c r="O189" s="13">
        <f>N189*VLOOKUP('Données projet'!$B$9,Paramètres!$A$1:$I$89,3,0)*VLOOKUP('Données projet'!$B$9,Paramètres!$A$1:$I$89,5,0)</f>
        <v>4.3717136577470225E-13</v>
      </c>
      <c r="P189" s="13">
        <f t="shared" si="141"/>
        <v>5.5313598682231701E-12</v>
      </c>
      <c r="Q189" s="20">
        <f t="shared" si="162"/>
        <v>1.039519189921296E-11</v>
      </c>
      <c r="R189" s="59">
        <f t="shared" si="109"/>
        <v>290.99919368320963</v>
      </c>
      <c r="S189" s="59">
        <f ca="1">AVERAGE(OFFSET($R$3,0,0,'Données projet'!$E$9+1,1))-AVERAGE(OFFSET($H$3,0,0,'Données projet'!$E$9+1,1))</f>
        <v>612.09138396952153</v>
      </c>
      <c r="T189" s="59">
        <f t="shared" si="142"/>
        <v>282.284310393542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175.32602082521063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175.32602082521063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4.8993342716130437E-13</v>
      </c>
      <c r="AK189" s="13">
        <f t="shared" si="164"/>
        <v>6.1172634040517391E-12</v>
      </c>
      <c r="AL189" s="20">
        <f t="shared" si="165"/>
        <v>1.1507534481029384E-11</v>
      </c>
      <c r="AM189" s="59">
        <f t="shared" si="113"/>
        <v>290.99919368321071</v>
      </c>
      <c r="AN189" s="59">
        <f ca="1">AVERAGE(OFFSET($AM$3,0,0,'Données projet'!$E$10+1,1))-AVERAGE(OFFSET($H$3,0,0,'Données projet'!$E$10+1,1))</f>
        <v>676.7112666359476</v>
      </c>
      <c r="AO189" s="59">
        <f t="shared" si="144"/>
        <v>309.67876644201385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196.48605782135672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196.48605782135672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4.8239598982036122E-13</v>
      </c>
      <c r="BF189" s="13">
        <f t="shared" si="167"/>
        <v>6.0340313790498689E-12</v>
      </c>
      <c r="BG189" s="20">
        <f t="shared" si="168"/>
        <v>1.1349444334115651E-11</v>
      </c>
      <c r="BH189" s="59">
        <f t="shared" si="116"/>
        <v>290.99919368321059</v>
      </c>
      <c r="BI189" s="59">
        <f ca="1">AVERAGE(OFFSET($BH$3,0,0,'Données projet'!$E$11+1,1))-AVERAGE(OFFSET($H$3,0,0,'Données projet'!$E$11+1,1))</f>
        <v>667.4887768032404</v>
      </c>
      <c r="BJ189" s="59">
        <f t="shared" si="146"/>
        <v>305.76944302827178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193.46319539333587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193.46319539333587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4.5978367779753168E-13</v>
      </c>
      <c r="CA189" s="13">
        <f t="shared" si="170"/>
        <v>5.7834153259568991E-12</v>
      </c>
      <c r="CB189" s="20">
        <f t="shared" si="171"/>
        <v>1.0873571598205634E-11</v>
      </c>
      <c r="CC189" s="59">
        <f t="shared" si="119"/>
        <v>290.99919368321008</v>
      </c>
      <c r="CD189" s="59">
        <f ca="1">AVERAGE(OFFSET($CC$3,0,0,'Données projet'!$E$12+1,1))-AVERAGE(OFFSET($H$3,0,0,'Données projet'!$E$12+1,1))</f>
        <v>639.80378676828764</v>
      </c>
      <c r="CE189" s="59">
        <f t="shared" si="148"/>
        <v>294.03328334345281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184.39460810927329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184.39460810927329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-1.7053025658242404E-13</v>
      </c>
      <c r="CU189" s="17">
        <f>CT189*VLOOKUP('Données projet'!$B$13,Paramètres!$A$1:$I$89,3,0)*VLOOKUP('Données projet'!$B$13,Paramètres!$A$1:$I$89,5,0)</f>
        <v>-1.4897523215040567E-13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340.64710509454375</v>
      </c>
      <c r="CZ189" s="59">
        <f t="shared" si="150"/>
        <v>329.6409514360613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11.957493952592833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11.957493952592833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4.8316906031686813E-13</v>
      </c>
      <c r="DP189" s="17">
        <f>DO189*VLOOKUP('Données projet'!$B$14,Paramètres!$A$1:$I$89,3,0)*VLOOKUP('Données projet'!$B$14,Paramètres!$A$1:$I$89,5,0)</f>
        <v>4.6732111513847483E-13</v>
      </c>
      <c r="DQ189" s="13">
        <f t="shared" si="176"/>
        <v>5.8671100737071438E-12</v>
      </c>
      <c r="DR189" s="20">
        <f t="shared" si="177"/>
        <v>1.1032467653906121E-11</v>
      </c>
      <c r="DS189" s="59">
        <f t="shared" si="125"/>
        <v>290.99919368321025</v>
      </c>
      <c r="DT189" s="59">
        <f ca="1">AVERAGE(OFFSET($DS$3,0,0,'Données projet'!$E$14+1,1))-AVERAGE(OFFSET($H$3,0,0,'Données projet'!$E$14+1,1))</f>
        <v>649.03508893149228</v>
      </c>
      <c r="DU189" s="59">
        <f t="shared" si="152"/>
        <v>297.94672581383213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187.41747053729412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187.41747053729412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4.8316906031686813E-13</v>
      </c>
      <c r="EK189" s="17">
        <f>EJ189*VLOOKUP('Données projet'!$B$15,Paramètres!$A$1:$I$89,3,0)*VLOOKUP('Données projet'!$B$15,Paramètres!$A$1:$I$89,5,0)</f>
        <v>5.2008317652507685E-13</v>
      </c>
      <c r="EL189" s="13">
        <f t="shared" si="179"/>
        <v>6.4487270587740506E-12</v>
      </c>
      <c r="EM189" s="20">
        <f t="shared" si="180"/>
        <v>1.213734449314598E-11</v>
      </c>
      <c r="EN189" s="59">
        <f t="shared" si="128"/>
        <v>290.99919368321139</v>
      </c>
      <c r="EO189" s="59">
        <f ca="1">AVERAGE(OFFSET($EN$3,0,0,'Données projet'!$E$15+1,1))-AVERAGE(OFFSET($H$3,0,0,'Données projet'!$E$15+1,1))</f>
        <v>713.57333631602273</v>
      </c>
      <c r="EP189" s="59">
        <f t="shared" si="154"/>
        <v>325.30302392555359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208.57750753344021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208.57750753344021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5.6843418860808015E-14</v>
      </c>
      <c r="FF189" s="17">
        <f>FE189*VLOOKUP('Données projet'!$B$16,Paramètres!$A$1:$I$89,3,0)*VLOOKUP('Données projet'!$B$16,Paramètres!$A$1:$I$89,5,0)</f>
        <v>4.4337866711430253E-14</v>
      </c>
      <c r="FG189" s="13">
        <f t="shared" si="182"/>
        <v>7.3222115536967035E-13</v>
      </c>
      <c r="FH189" s="20">
        <f t="shared" si="183"/>
        <v>1.3525069634579169E-12</v>
      </c>
      <c r="FI189" s="59">
        <f t="shared" si="131"/>
        <v>290.99919368320059</v>
      </c>
      <c r="FJ189" s="59">
        <f ca="1">AVERAGE(OFFSET($FI$3,0,0,'Données projet'!$E$16+1,1))-AVERAGE(OFFSET($H$3,0,0,'Données projet'!$E$16+1,1))</f>
        <v>302.04287561738482</v>
      </c>
      <c r="FK189" s="59">
        <f t="shared" si="156"/>
        <v>296.09828774694802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10.171033508997887</v>
      </c>
      <c r="FR189" s="21">
        <f>EXP(-LN(2)/25)*FR188+(1-EXP(-LN(2)/25))/(LN(2)/25)*Calculateur!FM189*Calculateur!FO189*VLOOKUP('Données projet'!$B$16,Paramètres!$A$1:$I$89,3,0)*0.475*44/12</f>
        <v>1.9857876847832756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12.156821193781163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-2.8421709430404007E-14</v>
      </c>
      <c r="GA189" s="17">
        <f>FZ189*VLOOKUP('Données projet'!$B$17,Paramètres!$A$1:$I$89,3,0)*VLOOKUP('Données projet'!$B$17,Paramètres!$A$1:$I$89,5,0)</f>
        <v>-2.3942448024172337E-14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385.41819366740276</v>
      </c>
      <c r="GF189" s="59">
        <f t="shared" si="158"/>
        <v>262.4625391252718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39.719071770967943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39.719071770967943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69.363416459054335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3.3000000000000003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12.100000000000001</v>
      </c>
      <c r="H190" s="67">
        <f t="shared" si="110"/>
        <v>208.26666666666665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4.8316906031686813E-13</v>
      </c>
      <c r="O190" s="13">
        <f>N190*VLOOKUP('Données projet'!$B$9,Paramètres!$A$1:$I$89,3,0)*VLOOKUP('Données projet'!$B$9,Paramètres!$A$1:$I$89,5,0)</f>
        <v>4.3717136577470225E-13</v>
      </c>
      <c r="P190" s="13">
        <f t="shared" si="141"/>
        <v>5.5313598682231701E-12</v>
      </c>
      <c r="Q190" s="20">
        <f t="shared" si="162"/>
        <v>1.039519189921296E-11</v>
      </c>
      <c r="R190" s="59">
        <f t="shared" si="109"/>
        <v>291.03968578778495</v>
      </c>
      <c r="S190" s="59">
        <f ca="1">AVERAGE(OFFSET($R$3,0,0,'Données projet'!$E$9+1,1))-AVERAGE(OFFSET($H$3,0,0,'Données projet'!$E$9+1,1))</f>
        <v>612.09138396952153</v>
      </c>
      <c r="T190" s="59">
        <f t="shared" si="142"/>
        <v>282.284310393542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171.88798449514167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171.88798449514167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4.8993342716130437E-13</v>
      </c>
      <c r="AK190" s="13">
        <f t="shared" si="164"/>
        <v>6.1172634040517391E-12</v>
      </c>
      <c r="AL190" s="20">
        <f t="shared" si="165"/>
        <v>1.1507534481029384E-11</v>
      </c>
      <c r="AM190" s="59">
        <f t="shared" si="113"/>
        <v>291.03968578778603</v>
      </c>
      <c r="AN190" s="59">
        <f ca="1">AVERAGE(OFFSET($AM$3,0,0,'Données projet'!$E$10+1,1))-AVERAGE(OFFSET($H$3,0,0,'Données projet'!$E$10+1,1))</f>
        <v>676.7112666359476</v>
      </c>
      <c r="AO190" s="59">
        <f t="shared" si="144"/>
        <v>309.67876644201385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192.63308607214151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192.63308607214151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4.8239598982036122E-13</v>
      </c>
      <c r="BF190" s="13">
        <f t="shared" si="167"/>
        <v>6.0340313790498689E-12</v>
      </c>
      <c r="BG190" s="20">
        <f t="shared" si="168"/>
        <v>1.1349444334115651E-11</v>
      </c>
      <c r="BH190" s="59">
        <f t="shared" si="116"/>
        <v>291.03968578778591</v>
      </c>
      <c r="BI190" s="59">
        <f ca="1">AVERAGE(OFFSET($BH$3,0,0,'Données projet'!$E$11+1,1))-AVERAGE(OFFSET($H$3,0,0,'Données projet'!$E$11+1,1))</f>
        <v>667.4887768032404</v>
      </c>
      <c r="BJ190" s="59">
        <f t="shared" si="146"/>
        <v>305.76944302827178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189.66950013257011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189.66950013257011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4.5978367779753168E-13</v>
      </c>
      <c r="CA190" s="13">
        <f t="shared" si="170"/>
        <v>5.7834153259568991E-12</v>
      </c>
      <c r="CB190" s="20">
        <f t="shared" si="171"/>
        <v>1.0873571598205634E-11</v>
      </c>
      <c r="CC190" s="59">
        <f t="shared" si="119"/>
        <v>291.0396857877854</v>
      </c>
      <c r="CD190" s="59">
        <f ca="1">AVERAGE(OFFSET($CC$3,0,0,'Données projet'!$E$12+1,1))-AVERAGE(OFFSET($H$3,0,0,'Données projet'!$E$12+1,1))</f>
        <v>639.80378676828764</v>
      </c>
      <c r="CE190" s="59">
        <f t="shared" si="148"/>
        <v>294.03328334345281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180.77874231385593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180.77874231385593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-1.7053025658242404E-13</v>
      </c>
      <c r="CU190" s="17">
        <f>CT190*VLOOKUP('Données projet'!$B$13,Paramètres!$A$1:$I$89,3,0)*VLOOKUP('Données projet'!$B$13,Paramètres!$A$1:$I$89,5,0)</f>
        <v>-1.4897523215040567E-13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340.64710509454375</v>
      </c>
      <c r="CZ190" s="59">
        <f t="shared" si="150"/>
        <v>329.6409514360613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11.723014789533639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11.723014789533639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4.8316906031686813E-13</v>
      </c>
      <c r="DP190" s="17">
        <f>DO190*VLOOKUP('Données projet'!$B$14,Paramètres!$A$1:$I$89,3,0)*VLOOKUP('Données projet'!$B$14,Paramètres!$A$1:$I$89,5,0)</f>
        <v>4.6732111513847483E-13</v>
      </c>
      <c r="DQ190" s="13">
        <f t="shared" si="176"/>
        <v>5.8671100737071438E-12</v>
      </c>
      <c r="DR190" s="20">
        <f t="shared" si="177"/>
        <v>1.1032467653906121E-11</v>
      </c>
      <c r="DS190" s="59">
        <f t="shared" si="125"/>
        <v>291.03968578778557</v>
      </c>
      <c r="DT190" s="59">
        <f ca="1">AVERAGE(OFFSET($DS$3,0,0,'Données projet'!$E$14+1,1))-AVERAGE(OFFSET($H$3,0,0,'Données projet'!$E$14+1,1))</f>
        <v>649.03508893149228</v>
      </c>
      <c r="DU190" s="59">
        <f t="shared" si="152"/>
        <v>297.94672581383213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183.7423282534273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183.7423282534273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4.8316906031686813E-13</v>
      </c>
      <c r="EK190" s="17">
        <f>EJ190*VLOOKUP('Données projet'!$B$15,Paramètres!$A$1:$I$89,3,0)*VLOOKUP('Données projet'!$B$15,Paramètres!$A$1:$I$89,5,0)</f>
        <v>5.2008317652507685E-13</v>
      </c>
      <c r="EL190" s="13">
        <f t="shared" si="179"/>
        <v>6.4487270587740506E-12</v>
      </c>
      <c r="EM190" s="20">
        <f t="shared" si="180"/>
        <v>1.213734449314598E-11</v>
      </c>
      <c r="EN190" s="59">
        <f t="shared" si="128"/>
        <v>291.03968578778671</v>
      </c>
      <c r="EO190" s="59">
        <f ca="1">AVERAGE(OFFSET($EN$3,0,0,'Données projet'!$E$15+1,1))-AVERAGE(OFFSET($H$3,0,0,'Données projet'!$E$15+1,1))</f>
        <v>713.57333631602273</v>
      </c>
      <c r="EP190" s="59">
        <f t="shared" si="154"/>
        <v>325.30302392555359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204.48742983042715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204.48742983042715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5.6843418860808015E-14</v>
      </c>
      <c r="FF190" s="17">
        <f>FE190*VLOOKUP('Données projet'!$B$16,Paramètres!$A$1:$I$89,3,0)*VLOOKUP('Données projet'!$B$16,Paramètres!$A$1:$I$89,5,0)</f>
        <v>4.4337866711430253E-14</v>
      </c>
      <c r="FG190" s="13">
        <f t="shared" si="182"/>
        <v>7.3222115536967035E-13</v>
      </c>
      <c r="FH190" s="20">
        <f t="shared" si="183"/>
        <v>1.3525069634579169E-12</v>
      </c>
      <c r="FI190" s="59">
        <f t="shared" si="131"/>
        <v>291.03968578777591</v>
      </c>
      <c r="FJ190" s="59">
        <f ca="1">AVERAGE(OFFSET($FI$3,0,0,'Données projet'!$E$16+1,1))-AVERAGE(OFFSET($H$3,0,0,'Données projet'!$E$16+1,1))</f>
        <v>302.04287561738482</v>
      </c>
      <c r="FK190" s="59">
        <f t="shared" si="156"/>
        <v>296.09828774694802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9.9715857456043118</v>
      </c>
      <c r="FR190" s="21">
        <f>EXP(-LN(2)/25)*FR189+(1-EXP(-LN(2)/25))/(LN(2)/25)*Calculateur!FM190*Calculateur!FO190*VLOOKUP('Données projet'!$B$16,Paramètres!$A$1:$I$89,3,0)*0.475*44/12</f>
        <v>1.9314862161148412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11.903071961719153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-2.8421709430404007E-14</v>
      </c>
      <c r="GA190" s="17">
        <f>FZ190*VLOOKUP('Données projet'!$B$17,Paramètres!$A$1:$I$89,3,0)*VLOOKUP('Données projet'!$B$17,Paramètres!$A$1:$I$89,5,0)</f>
        <v>-2.3942448024172337E-14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385.41819366740276</v>
      </c>
      <c r="GF190" s="59">
        <f t="shared" si="158"/>
        <v>262.4625391252718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38.940204999780903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38.940204999780903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69.374459760302159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3.3000000000000003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12.100000000000001</v>
      </c>
      <c r="H191" s="67">
        <f t="shared" si="110"/>
        <v>208.26666666666665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4.8316906031686813E-13</v>
      </c>
      <c r="O191" s="13">
        <f>N191*VLOOKUP('Données projet'!$B$9,Paramètres!$A$1:$I$89,3,0)*VLOOKUP('Données projet'!$B$9,Paramètres!$A$1:$I$89,5,0)</f>
        <v>4.3717136577470225E-13</v>
      </c>
      <c r="P191" s="13">
        <f t="shared" si="141"/>
        <v>5.5313598682231701E-12</v>
      </c>
      <c r="Q191" s="20">
        <f t="shared" si="162"/>
        <v>1.039519189921296E-11</v>
      </c>
      <c r="R191" s="59">
        <f t="shared" si="109"/>
        <v>291.07947544487268</v>
      </c>
      <c r="S191" s="59">
        <f ca="1">AVERAGE(OFFSET($R$3,0,0,'Données projet'!$E$9+1,1))-AVERAGE(OFFSET($H$3,0,0,'Données projet'!$E$9+1,1))</f>
        <v>612.09138396952153</v>
      </c>
      <c r="T191" s="59">
        <f t="shared" si="142"/>
        <v>282.284310393542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168.51736596051026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168.51736596051026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4.8993342716130437E-13</v>
      </c>
      <c r="AK191" s="13">
        <f t="shared" si="164"/>
        <v>6.1172634040517391E-12</v>
      </c>
      <c r="AL191" s="20">
        <f t="shared" si="165"/>
        <v>1.1507534481029384E-11</v>
      </c>
      <c r="AM191" s="59">
        <f t="shared" si="113"/>
        <v>291.07947544487376</v>
      </c>
      <c r="AN191" s="59">
        <f ca="1">AVERAGE(OFFSET($AM$3,0,0,'Données projet'!$E$10+1,1))-AVERAGE(OFFSET($H$3,0,0,'Données projet'!$E$10+1,1))</f>
        <v>676.7112666359476</v>
      </c>
      <c r="AO191" s="59">
        <f t="shared" si="144"/>
        <v>309.67876644201385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188.85566874884771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188.85566874884771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4.8239598982036122E-13</v>
      </c>
      <c r="BF191" s="13">
        <f t="shared" si="167"/>
        <v>6.0340313790498689E-12</v>
      </c>
      <c r="BG191" s="20">
        <f t="shared" si="168"/>
        <v>1.1349444334115651E-11</v>
      </c>
      <c r="BH191" s="59">
        <f t="shared" si="116"/>
        <v>291.07947544487365</v>
      </c>
      <c r="BI191" s="59">
        <f ca="1">AVERAGE(OFFSET($BH$3,0,0,'Données projet'!$E$11+1,1))-AVERAGE(OFFSET($H$3,0,0,'Données projet'!$E$11+1,1))</f>
        <v>667.4887768032404</v>
      </c>
      <c r="BJ191" s="59">
        <f t="shared" si="146"/>
        <v>305.76944302827178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185.95019692194234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185.95019692194234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4.5978367779753168E-13</v>
      </c>
      <c r="CA191" s="13">
        <f t="shared" si="170"/>
        <v>5.7834153259568991E-12</v>
      </c>
      <c r="CB191" s="20">
        <f t="shared" si="171"/>
        <v>1.0873571598205634E-11</v>
      </c>
      <c r="CC191" s="59">
        <f t="shared" si="119"/>
        <v>291.07947544487314</v>
      </c>
      <c r="CD191" s="59">
        <f ca="1">AVERAGE(OFFSET($CC$3,0,0,'Données projet'!$E$12+1,1))-AVERAGE(OFFSET($H$3,0,0,'Données projet'!$E$12+1,1))</f>
        <v>639.80378676828764</v>
      </c>
      <c r="CE191" s="59">
        <f t="shared" si="148"/>
        <v>294.03328334345281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177.23378144122634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177.23378144122634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-1.7053025658242404E-13</v>
      </c>
      <c r="CU191" s="17">
        <f>CT191*VLOOKUP('Données projet'!$B$13,Paramètres!$A$1:$I$89,3,0)*VLOOKUP('Données projet'!$B$13,Paramètres!$A$1:$I$89,5,0)</f>
        <v>-1.4897523215040567E-13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340.64710509454375</v>
      </c>
      <c r="CZ191" s="59">
        <f t="shared" si="150"/>
        <v>329.6409514360613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11.493133619843869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11.493133619843869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4.8316906031686813E-13</v>
      </c>
      <c r="DP191" s="17">
        <f>DO191*VLOOKUP('Données projet'!$B$14,Paramètres!$A$1:$I$89,3,0)*VLOOKUP('Données projet'!$B$14,Paramètres!$A$1:$I$89,5,0)</f>
        <v>4.6732111513847483E-13</v>
      </c>
      <c r="DQ191" s="13">
        <f t="shared" si="176"/>
        <v>5.8671100737071438E-12</v>
      </c>
      <c r="DR191" s="20">
        <f t="shared" si="177"/>
        <v>1.1032467653906121E-11</v>
      </c>
      <c r="DS191" s="59">
        <f t="shared" si="125"/>
        <v>291.07947544487331</v>
      </c>
      <c r="DT191" s="59">
        <f ca="1">AVERAGE(OFFSET($DS$3,0,0,'Données projet'!$E$14+1,1))-AVERAGE(OFFSET($H$3,0,0,'Données projet'!$E$14+1,1))</f>
        <v>649.03508893149228</v>
      </c>
      <c r="DU191" s="59">
        <f t="shared" si="152"/>
        <v>297.94672581383213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180.13925326813165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180.13925326813165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4.8316906031686813E-13</v>
      </c>
      <c r="EK191" s="17">
        <f>EJ191*VLOOKUP('Données projet'!$B$15,Paramètres!$A$1:$I$89,3,0)*VLOOKUP('Données projet'!$B$15,Paramètres!$A$1:$I$89,5,0)</f>
        <v>5.2008317652507685E-13</v>
      </c>
      <c r="EL191" s="13">
        <f t="shared" si="179"/>
        <v>6.4487270587740506E-12</v>
      </c>
      <c r="EM191" s="20">
        <f t="shared" si="180"/>
        <v>1.213734449314598E-11</v>
      </c>
      <c r="EN191" s="59">
        <f t="shared" si="128"/>
        <v>291.07947544487445</v>
      </c>
      <c r="EO191" s="59">
        <f ca="1">AVERAGE(OFFSET($EN$3,0,0,'Données projet'!$E$15+1,1))-AVERAGE(OFFSET($H$3,0,0,'Données projet'!$E$15+1,1))</f>
        <v>713.57333631602273</v>
      </c>
      <c r="EP191" s="59">
        <f t="shared" si="154"/>
        <v>325.30302392555359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200.4775560564691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200.4775560564691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5.6843418860808015E-14</v>
      </c>
      <c r="FF191" s="17">
        <f>FE191*VLOOKUP('Données projet'!$B$16,Paramètres!$A$1:$I$89,3,0)*VLOOKUP('Données projet'!$B$16,Paramètres!$A$1:$I$89,5,0)</f>
        <v>4.4337866711430253E-14</v>
      </c>
      <c r="FG191" s="13">
        <f t="shared" si="182"/>
        <v>7.3222115536967035E-13</v>
      </c>
      <c r="FH191" s="20">
        <f t="shared" si="183"/>
        <v>1.3525069634579169E-12</v>
      </c>
      <c r="FI191" s="59">
        <f t="shared" si="131"/>
        <v>291.07947544486365</v>
      </c>
      <c r="FJ191" s="59">
        <f ca="1">AVERAGE(OFFSET($FI$3,0,0,'Données projet'!$E$16+1,1))-AVERAGE(OFFSET($H$3,0,0,'Données projet'!$E$16+1,1))</f>
        <v>302.04287561738482</v>
      </c>
      <c r="FK191" s="59">
        <f t="shared" si="156"/>
        <v>296.09828774694802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9.7760490311997614</v>
      </c>
      <c r="FR191" s="21">
        <f>EXP(-LN(2)/25)*FR190+(1-EXP(-LN(2)/25))/(LN(2)/25)*Calculateur!FM191*Calculateur!FO191*VLOOKUP('Données projet'!$B$16,Paramètres!$A$1:$I$89,3,0)*0.475*44/12</f>
        <v>1.8786696239627352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11.654718655162497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-2.8421709430404007E-14</v>
      </c>
      <c r="GA191" s="17">
        <f>FZ191*VLOOKUP('Données projet'!$B$17,Paramètres!$A$1:$I$89,3,0)*VLOOKUP('Données projet'!$B$17,Paramètres!$A$1:$I$89,5,0)</f>
        <v>-2.3942448024172337E-14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385.41819366740276</v>
      </c>
      <c r="GF191" s="59">
        <f t="shared" si="158"/>
        <v>262.4625391252718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38.176611330915016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38.176611330915016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69.385311484962443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3.3000000000000003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12.100000000000001</v>
      </c>
      <c r="H192" s="67">
        <f t="shared" si="110"/>
        <v>208.26666666666665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4.8316906031686813E-13</v>
      </c>
      <c r="O192" s="13">
        <f>N192*VLOOKUP('Données projet'!$B$9,Paramètres!$A$1:$I$89,3,0)*VLOOKUP('Données projet'!$B$9,Paramètres!$A$1:$I$89,5,0)</f>
        <v>4.3717136577470225E-13</v>
      </c>
      <c r="P192" s="13">
        <f t="shared" si="141"/>
        <v>5.5313598682231701E-12</v>
      </c>
      <c r="Q192" s="20">
        <f t="shared" si="162"/>
        <v>1.039519189921296E-11</v>
      </c>
      <c r="R192" s="59">
        <f t="shared" si="109"/>
        <v>291.11857484036631</v>
      </c>
      <c r="S192" s="59">
        <f ca="1">AVERAGE(OFFSET($R$3,0,0,'Données projet'!$E$9+1,1))-AVERAGE(OFFSET($H$3,0,0,'Données projet'!$E$9+1,1))</f>
        <v>612.09138396952153</v>
      </c>
      <c r="T192" s="59">
        <f t="shared" si="142"/>
        <v>282.284310393542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165.21284319946867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165.21284319946867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4.8993342716130437E-13</v>
      </c>
      <c r="AK192" s="13">
        <f t="shared" si="164"/>
        <v>6.1172634040517391E-12</v>
      </c>
      <c r="AL192" s="20">
        <f t="shared" si="165"/>
        <v>1.1507534481029384E-11</v>
      </c>
      <c r="AM192" s="59">
        <f t="shared" si="113"/>
        <v>291.11857484036739</v>
      </c>
      <c r="AN192" s="59">
        <f ca="1">AVERAGE(OFFSET($AM$3,0,0,'Données projet'!$E$10+1,1))-AVERAGE(OFFSET($H$3,0,0,'Données projet'!$E$10+1,1))</f>
        <v>676.7112666359476</v>
      </c>
      <c r="AO192" s="59">
        <f t="shared" si="144"/>
        <v>309.67876644201385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185.15232427526661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185.15232427526661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4.8239598982036122E-13</v>
      </c>
      <c r="BF192" s="13">
        <f t="shared" si="167"/>
        <v>6.0340313790498689E-12</v>
      </c>
      <c r="BG192" s="20">
        <f t="shared" si="168"/>
        <v>1.1349444334115651E-11</v>
      </c>
      <c r="BH192" s="59">
        <f t="shared" si="116"/>
        <v>291.11857484036727</v>
      </c>
      <c r="BI192" s="59">
        <f ca="1">AVERAGE(OFFSET($BH$3,0,0,'Données projet'!$E$11+1,1))-AVERAGE(OFFSET($H$3,0,0,'Données projet'!$E$11+1,1))</f>
        <v>667.4887768032404</v>
      </c>
      <c r="BJ192" s="59">
        <f t="shared" si="146"/>
        <v>305.76944302827178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182.30382697872403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182.30382697872403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4.5978367779753168E-13</v>
      </c>
      <c r="CA192" s="13">
        <f t="shared" si="170"/>
        <v>5.7834153259568991E-12</v>
      </c>
      <c r="CB192" s="20">
        <f t="shared" si="171"/>
        <v>1.0873571598205634E-11</v>
      </c>
      <c r="CC192" s="59">
        <f t="shared" si="119"/>
        <v>291.11857484036676</v>
      </c>
      <c r="CD192" s="59">
        <f ca="1">AVERAGE(OFFSET($CC$3,0,0,'Données projet'!$E$12+1,1))-AVERAGE(OFFSET($H$3,0,0,'Données projet'!$E$12+1,1))</f>
        <v>639.80378676828764</v>
      </c>
      <c r="CE192" s="59">
        <f t="shared" si="148"/>
        <v>294.03328334345281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173.75833508909639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173.75833508909639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-1.7053025658242404E-13</v>
      </c>
      <c r="CU192" s="17">
        <f>CT192*VLOOKUP('Données projet'!$B$13,Paramètres!$A$1:$I$89,3,0)*VLOOKUP('Données projet'!$B$13,Paramètres!$A$1:$I$89,5,0)</f>
        <v>-1.4897523215040567E-13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340.64710509454375</v>
      </c>
      <c r="CZ192" s="59">
        <f t="shared" si="150"/>
        <v>329.6409514360613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11.267760279678047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11.267760279678047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4.8316906031686813E-13</v>
      </c>
      <c r="DP192" s="17">
        <f>DO192*VLOOKUP('Données projet'!$B$14,Paramètres!$A$1:$I$89,3,0)*VLOOKUP('Données projet'!$B$14,Paramètres!$A$1:$I$89,5,0)</f>
        <v>4.6732111513847483E-13</v>
      </c>
      <c r="DQ192" s="13">
        <f t="shared" si="176"/>
        <v>5.8671100737071438E-12</v>
      </c>
      <c r="DR192" s="20">
        <f t="shared" si="177"/>
        <v>1.1032467653906121E-11</v>
      </c>
      <c r="DS192" s="59">
        <f t="shared" si="125"/>
        <v>291.11857484036693</v>
      </c>
      <c r="DT192" s="59">
        <f ca="1">AVERAGE(OFFSET($DS$3,0,0,'Données projet'!$E$14+1,1))-AVERAGE(OFFSET($H$3,0,0,'Données projet'!$E$14+1,1))</f>
        <v>649.03508893149228</v>
      </c>
      <c r="DU192" s="59">
        <f t="shared" si="152"/>
        <v>297.94672581383213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176.60683238563891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176.60683238563891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4.8316906031686813E-13</v>
      </c>
      <c r="EK192" s="17">
        <f>EJ192*VLOOKUP('Données projet'!$B$15,Paramètres!$A$1:$I$89,3,0)*VLOOKUP('Données projet'!$B$15,Paramètres!$A$1:$I$89,5,0)</f>
        <v>5.2008317652507685E-13</v>
      </c>
      <c r="EL192" s="13">
        <f t="shared" si="179"/>
        <v>6.4487270587740506E-12</v>
      </c>
      <c r="EM192" s="20">
        <f t="shared" si="180"/>
        <v>1.213734449314598E-11</v>
      </c>
      <c r="EN192" s="59">
        <f t="shared" si="128"/>
        <v>291.11857484036807</v>
      </c>
      <c r="EO192" s="59">
        <f ca="1">AVERAGE(OFFSET($EN$3,0,0,'Données projet'!$E$15+1,1))-AVERAGE(OFFSET($H$3,0,0,'Données projet'!$E$15+1,1))</f>
        <v>713.57333631602273</v>
      </c>
      <c r="EP192" s="59">
        <f t="shared" si="154"/>
        <v>325.30302392555359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196.54631346143685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196.54631346143685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5.6843418860808015E-14</v>
      </c>
      <c r="FF192" s="17">
        <f>FE192*VLOOKUP('Données projet'!$B$16,Paramètres!$A$1:$I$89,3,0)*VLOOKUP('Données projet'!$B$16,Paramètres!$A$1:$I$89,5,0)</f>
        <v>4.4337866711430253E-14</v>
      </c>
      <c r="FG192" s="13">
        <f t="shared" si="182"/>
        <v>7.3222115536967035E-13</v>
      </c>
      <c r="FH192" s="20">
        <f t="shared" si="183"/>
        <v>1.3525069634579169E-12</v>
      </c>
      <c r="FI192" s="59">
        <f t="shared" si="131"/>
        <v>291.11857484035727</v>
      </c>
      <c r="FJ192" s="59">
        <f ca="1">AVERAGE(OFFSET($FI$3,0,0,'Données projet'!$E$16+1,1))-AVERAGE(OFFSET($H$3,0,0,'Données projet'!$E$16+1,1))</f>
        <v>302.04287561738482</v>
      </c>
      <c r="FK192" s="59">
        <f t="shared" si="156"/>
        <v>296.09828774694802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9.5843466724990662</v>
      </c>
      <c r="FR192" s="21">
        <f>EXP(-LN(2)/25)*FR191+(1-EXP(-LN(2)/25))/(LN(2)/25)*Calculateur!FM192*Calculateur!FO192*VLOOKUP('Données projet'!$B$16,Paramètres!$A$1:$I$89,3,0)*0.475*44/12</f>
        <v>1.8272973043005325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11.411643976799599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-2.8421709430404007E-14</v>
      </c>
      <c r="GA192" s="17">
        <f>FZ192*VLOOKUP('Données projet'!$B$17,Paramètres!$A$1:$I$89,3,0)*VLOOKUP('Données projet'!$B$17,Paramètres!$A$1:$I$89,5,0)</f>
        <v>-2.3942448024172337E-14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385.41819366740276</v>
      </c>
      <c r="GF192" s="59">
        <f t="shared" si="158"/>
        <v>262.4625391252718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37.427991268149441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37.427991268149441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69.395974956460705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3.3000000000000003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12.100000000000001</v>
      </c>
      <c r="H193" s="67">
        <f t="shared" si="110"/>
        <v>208.26666666666665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4.8316906031686813E-13</v>
      </c>
      <c r="O193" s="13">
        <f>N193*VLOOKUP('Données projet'!$B$9,Paramètres!$A$1:$I$89,3,0)*VLOOKUP('Données projet'!$B$9,Paramètres!$A$1:$I$89,5,0)</f>
        <v>4.3717136577470225E-13</v>
      </c>
      <c r="P193" s="13">
        <f t="shared" si="141"/>
        <v>5.5313598682231701E-12</v>
      </c>
      <c r="Q193" s="20">
        <f t="shared" si="162"/>
        <v>1.039519189921296E-11</v>
      </c>
      <c r="R193" s="59">
        <f t="shared" si="109"/>
        <v>291.15699594876128</v>
      </c>
      <c r="S193" s="59">
        <f ca="1">AVERAGE(OFFSET($R$3,0,0,'Données projet'!$E$9+1,1))-AVERAGE(OFFSET($H$3,0,0,'Données projet'!$E$9+1,1))</f>
        <v>612.09138396952153</v>
      </c>
      <c r="T193" s="59">
        <f t="shared" si="142"/>
        <v>282.284310393542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161.97312011421124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161.97312011421124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4.8993342716130437E-13</v>
      </c>
      <c r="AK193" s="13">
        <f t="shared" si="164"/>
        <v>6.1172634040517391E-12</v>
      </c>
      <c r="AL193" s="20">
        <f t="shared" si="165"/>
        <v>1.1507534481029384E-11</v>
      </c>
      <c r="AM193" s="59">
        <f t="shared" si="113"/>
        <v>291.15699594876236</v>
      </c>
      <c r="AN193" s="59">
        <f ca="1">AVERAGE(OFFSET($AM$3,0,0,'Données projet'!$E$10+1,1))-AVERAGE(OFFSET($H$3,0,0,'Données projet'!$E$10+1,1))</f>
        <v>676.7112666359476</v>
      </c>
      <c r="AO193" s="59">
        <f t="shared" si="144"/>
        <v>309.67876644201385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181.52160012799536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181.52160012799536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4.8239598982036122E-13</v>
      </c>
      <c r="BF193" s="13">
        <f t="shared" si="167"/>
        <v>6.0340313790498689E-12</v>
      </c>
      <c r="BG193" s="20">
        <f t="shared" si="168"/>
        <v>1.1349444334115651E-11</v>
      </c>
      <c r="BH193" s="59">
        <f t="shared" si="116"/>
        <v>291.15699594876224</v>
      </c>
      <c r="BI193" s="59">
        <f ca="1">AVERAGE(OFFSET($BH$3,0,0,'Données projet'!$E$11+1,1))-AVERAGE(OFFSET($H$3,0,0,'Données projet'!$E$11+1,1))</f>
        <v>667.4887768032404</v>
      </c>
      <c r="BJ193" s="59">
        <f t="shared" si="146"/>
        <v>305.76944302827178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178.72896012602618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178.72896012602618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4.5978367779753168E-13</v>
      </c>
      <c r="CA193" s="13">
        <f t="shared" si="170"/>
        <v>5.7834153259568991E-12</v>
      </c>
      <c r="CB193" s="20">
        <f t="shared" si="171"/>
        <v>1.0873571598205634E-11</v>
      </c>
      <c r="CC193" s="59">
        <f t="shared" si="119"/>
        <v>291.15699594876173</v>
      </c>
      <c r="CD193" s="59">
        <f ca="1">AVERAGE(OFFSET($CC$3,0,0,'Données projet'!$E$12+1,1))-AVERAGE(OFFSET($H$3,0,0,'Données projet'!$E$12+1,1))</f>
        <v>639.80378676828764</v>
      </c>
      <c r="CE193" s="59">
        <f t="shared" si="148"/>
        <v>294.03328334345281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170.35104012011874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170.35104012011874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-1.7053025658242404E-13</v>
      </c>
      <c r="CU193" s="17">
        <f>CT193*VLOOKUP('Données projet'!$B$13,Paramètres!$A$1:$I$89,3,0)*VLOOKUP('Données projet'!$B$13,Paramètres!$A$1:$I$89,5,0)</f>
        <v>-1.4897523215040567E-13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340.64710509454375</v>
      </c>
      <c r="CZ193" s="59">
        <f t="shared" si="150"/>
        <v>329.6409514360613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11.046806373248712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11.046806373248712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4.8316906031686813E-13</v>
      </c>
      <c r="DP193" s="17">
        <f>DO193*VLOOKUP('Données projet'!$B$14,Paramètres!$A$1:$I$89,3,0)*VLOOKUP('Données projet'!$B$14,Paramètres!$A$1:$I$89,5,0)</f>
        <v>4.6732111513847483E-13</v>
      </c>
      <c r="DQ193" s="13">
        <f t="shared" si="176"/>
        <v>5.8671100737071438E-12</v>
      </c>
      <c r="DR193" s="20">
        <f t="shared" si="177"/>
        <v>1.1032467653906121E-11</v>
      </c>
      <c r="DS193" s="59">
        <f t="shared" si="125"/>
        <v>291.1569959487619</v>
      </c>
      <c r="DT193" s="59">
        <f ca="1">AVERAGE(OFFSET($DS$3,0,0,'Données projet'!$E$14+1,1))-AVERAGE(OFFSET($H$3,0,0,'Données projet'!$E$14+1,1))</f>
        <v>649.03508893149228</v>
      </c>
      <c r="DU193" s="59">
        <f t="shared" si="152"/>
        <v>297.94672581383213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173.14368012208786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173.14368012208786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4.8316906031686813E-13</v>
      </c>
      <c r="EK193" s="17">
        <f>EJ193*VLOOKUP('Données projet'!$B$15,Paramètres!$A$1:$I$89,3,0)*VLOOKUP('Données projet'!$B$15,Paramètres!$A$1:$I$89,5,0)</f>
        <v>5.2008317652507685E-13</v>
      </c>
      <c r="EL193" s="13">
        <f t="shared" si="179"/>
        <v>6.4487270587740506E-12</v>
      </c>
      <c r="EM193" s="20">
        <f t="shared" si="180"/>
        <v>1.213734449314598E-11</v>
      </c>
      <c r="EN193" s="59">
        <f t="shared" si="128"/>
        <v>291.15699594876304</v>
      </c>
      <c r="EO193" s="59">
        <f ca="1">AVERAGE(OFFSET($EN$3,0,0,'Données projet'!$E$15+1,1))-AVERAGE(OFFSET($H$3,0,0,'Données projet'!$E$15+1,1))</f>
        <v>713.57333631602273</v>
      </c>
      <c r="EP193" s="59">
        <f t="shared" si="154"/>
        <v>325.30302392555359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192.69216013587197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192.69216013587197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5.6843418860808015E-14</v>
      </c>
      <c r="FF193" s="17">
        <f>FE193*VLOOKUP('Données projet'!$B$16,Paramètres!$A$1:$I$89,3,0)*VLOOKUP('Données projet'!$B$16,Paramètres!$A$1:$I$89,5,0)</f>
        <v>4.4337866711430253E-14</v>
      </c>
      <c r="FG193" s="13">
        <f t="shared" si="182"/>
        <v>7.3222115536967035E-13</v>
      </c>
      <c r="FH193" s="20">
        <f t="shared" si="183"/>
        <v>1.3525069634579169E-12</v>
      </c>
      <c r="FI193" s="59">
        <f t="shared" si="131"/>
        <v>291.15699594875224</v>
      </c>
      <c r="FJ193" s="59">
        <f ca="1">AVERAGE(OFFSET($FI$3,0,0,'Données projet'!$E$16+1,1))-AVERAGE(OFFSET($H$3,0,0,'Données projet'!$E$16+1,1))</f>
        <v>302.04287561738482</v>
      </c>
      <c r="FK193" s="59">
        <f t="shared" si="156"/>
        <v>296.09828774694802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9.3964034801255973</v>
      </c>
      <c r="FR193" s="21">
        <f>EXP(-LN(2)/25)*FR192+(1-EXP(-LN(2)/25))/(LN(2)/25)*Calculateur!FM193*Calculateur!FO193*VLOOKUP('Données projet'!$B$16,Paramètres!$A$1:$I$89,3,0)*0.475*44/12</f>
        <v>1.7773297634210456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11.173733243546643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-2.8421709430404007E-14</v>
      </c>
      <c r="GA193" s="17">
        <f>FZ193*VLOOKUP('Données projet'!$B$17,Paramètres!$A$1:$I$89,3,0)*VLOOKUP('Données projet'!$B$17,Paramètres!$A$1:$I$89,5,0)</f>
        <v>-2.3942448024172337E-14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385.41819366740276</v>
      </c>
      <c r="GF193" s="59">
        <f t="shared" si="158"/>
        <v>262.4625391252718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36.694051188201549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36.694051188201549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69.406453440568413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3.3000000000000003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12.100000000000001</v>
      </c>
      <c r="H194" s="67">
        <f t="shared" si="110"/>
        <v>208.26666666666665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4.8316906031686813E-13</v>
      </c>
      <c r="O194" s="13">
        <f>N194*VLOOKUP('Données projet'!$B$9,Paramètres!$A$1:$I$89,3,0)*VLOOKUP('Données projet'!$B$9,Paramètres!$A$1:$I$89,5,0)</f>
        <v>4.3717136577470225E-13</v>
      </c>
      <c r="P194" s="13">
        <f t="shared" si="141"/>
        <v>5.5313598682231701E-12</v>
      </c>
      <c r="Q194" s="20">
        <f t="shared" si="162"/>
        <v>1.039519189921296E-11</v>
      </c>
      <c r="R194" s="59">
        <f t="shared" si="109"/>
        <v>291.19475053682226</v>
      </c>
      <c r="S194" s="59">
        <f ca="1">AVERAGE(OFFSET($R$3,0,0,'Données projet'!$E$9+1,1))-AVERAGE(OFFSET($H$3,0,0,'Données projet'!$E$9+1,1))</f>
        <v>612.09138396952153</v>
      </c>
      <c r="T194" s="59">
        <f t="shared" si="142"/>
        <v>282.284310393542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158.79692602261974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158.79692602261974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4.8993342716130437E-13</v>
      </c>
      <c r="AK194" s="13">
        <f t="shared" si="164"/>
        <v>6.1172634040517391E-12</v>
      </c>
      <c r="AL194" s="20">
        <f t="shared" si="165"/>
        <v>1.1507534481029384E-11</v>
      </c>
      <c r="AM194" s="59">
        <f t="shared" si="113"/>
        <v>291.19475053682334</v>
      </c>
      <c r="AN194" s="59">
        <f ca="1">AVERAGE(OFFSET($AM$3,0,0,'Données projet'!$E$10+1,1))-AVERAGE(OFFSET($H$3,0,0,'Données projet'!$E$10+1,1))</f>
        <v>676.7112666359476</v>
      </c>
      <c r="AO194" s="59">
        <f t="shared" si="144"/>
        <v>309.67876644201385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177.96207226672902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177.96207226672902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4.8239598982036122E-13</v>
      </c>
      <c r="BF194" s="13">
        <f t="shared" si="167"/>
        <v>6.0340313790498689E-12</v>
      </c>
      <c r="BG194" s="20">
        <f t="shared" si="168"/>
        <v>1.1349444334115651E-11</v>
      </c>
      <c r="BH194" s="59">
        <f t="shared" si="116"/>
        <v>291.19475053682322</v>
      </c>
      <c r="BI194" s="59">
        <f ca="1">AVERAGE(OFFSET($BH$3,0,0,'Données projet'!$E$11+1,1))-AVERAGE(OFFSET($H$3,0,0,'Données projet'!$E$11+1,1))</f>
        <v>667.4887768032404</v>
      </c>
      <c r="BJ194" s="59">
        <f t="shared" si="146"/>
        <v>305.76944302827178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175.22419423185625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175.22419423185625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4.5978367779753168E-13</v>
      </c>
      <c r="CA194" s="13">
        <f t="shared" si="170"/>
        <v>5.7834153259568991E-12</v>
      </c>
      <c r="CB194" s="20">
        <f t="shared" si="171"/>
        <v>1.0873571598205634E-11</v>
      </c>
      <c r="CC194" s="59">
        <f t="shared" si="119"/>
        <v>291.19475053682271</v>
      </c>
      <c r="CD194" s="59">
        <f ca="1">AVERAGE(OFFSET($CC$3,0,0,'Données projet'!$E$12+1,1))-AVERAGE(OFFSET($H$3,0,0,'Données projet'!$E$12+1,1))</f>
        <v>639.80378676828764</v>
      </c>
      <c r="CE194" s="59">
        <f t="shared" si="148"/>
        <v>294.03328334345281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167.01056012723802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167.01056012723802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-1.7053025658242404E-13</v>
      </c>
      <c r="CU194" s="17">
        <f>CT194*VLOOKUP('Données projet'!$B$13,Paramètres!$A$1:$I$89,3,0)*VLOOKUP('Données projet'!$B$13,Paramètres!$A$1:$I$89,5,0)</f>
        <v>-1.4897523215040567E-13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340.64710509454375</v>
      </c>
      <c r="CZ194" s="59">
        <f t="shared" si="150"/>
        <v>329.6409514360613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10.830185238155881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10.830185238155881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4.8316906031686813E-13</v>
      </c>
      <c r="DP194" s="17">
        <f>DO194*VLOOKUP('Données projet'!$B$14,Paramètres!$A$1:$I$89,3,0)*VLOOKUP('Données projet'!$B$14,Paramètres!$A$1:$I$89,5,0)</f>
        <v>4.6732111513847483E-13</v>
      </c>
      <c r="DQ194" s="13">
        <f t="shared" si="176"/>
        <v>5.8671100737071438E-12</v>
      </c>
      <c r="DR194" s="20">
        <f t="shared" si="177"/>
        <v>1.1032467653906121E-11</v>
      </c>
      <c r="DS194" s="59">
        <f t="shared" si="125"/>
        <v>291.19475053682288</v>
      </c>
      <c r="DT194" s="59">
        <f ca="1">AVERAGE(OFFSET($DS$3,0,0,'Données projet'!$E$14+1,1))-AVERAGE(OFFSET($H$3,0,0,'Données projet'!$E$14+1,1))</f>
        <v>649.03508893149228</v>
      </c>
      <c r="DU194" s="59">
        <f t="shared" si="152"/>
        <v>297.94672581383213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169.74843816211074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169.74843816211074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4.8316906031686813E-13</v>
      </c>
      <c r="EK194" s="17">
        <f>EJ194*VLOOKUP('Données projet'!$B$15,Paramètres!$A$1:$I$89,3,0)*VLOOKUP('Données projet'!$B$15,Paramètres!$A$1:$I$89,5,0)</f>
        <v>5.2008317652507685E-13</v>
      </c>
      <c r="EL194" s="13">
        <f t="shared" si="179"/>
        <v>6.4487270587740506E-12</v>
      </c>
      <c r="EM194" s="20">
        <f t="shared" si="180"/>
        <v>1.213734449314598E-11</v>
      </c>
      <c r="EN194" s="59">
        <f t="shared" si="128"/>
        <v>291.19475053682402</v>
      </c>
      <c r="EO194" s="59">
        <f ca="1">AVERAGE(OFFSET($EN$3,0,0,'Données projet'!$E$15+1,1))-AVERAGE(OFFSET($H$3,0,0,'Données projet'!$E$15+1,1))</f>
        <v>713.57333631602273</v>
      </c>
      <c r="EP194" s="59">
        <f t="shared" si="154"/>
        <v>325.30302392555359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188.91358440622002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188.91358440622002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5.6843418860808015E-14</v>
      </c>
      <c r="FF194" s="17">
        <f>FE194*VLOOKUP('Données projet'!$B$16,Paramètres!$A$1:$I$89,3,0)*VLOOKUP('Données projet'!$B$16,Paramètres!$A$1:$I$89,5,0)</f>
        <v>4.4337866711430253E-14</v>
      </c>
      <c r="FG194" s="13">
        <f t="shared" si="182"/>
        <v>7.3222115536967035E-13</v>
      </c>
      <c r="FH194" s="20">
        <f t="shared" si="183"/>
        <v>1.3525069634579169E-12</v>
      </c>
      <c r="FI194" s="59">
        <f t="shared" si="131"/>
        <v>291.19475053681322</v>
      </c>
      <c r="FJ194" s="59">
        <f ca="1">AVERAGE(OFFSET($FI$3,0,0,'Données projet'!$E$16+1,1))-AVERAGE(OFFSET($H$3,0,0,'Données projet'!$E$16+1,1))</f>
        <v>302.04287561738482</v>
      </c>
      <c r="FK194" s="59">
        <f t="shared" si="156"/>
        <v>296.09828774694802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9.2121457391205439</v>
      </c>
      <c r="FR194" s="21">
        <f>EXP(-LN(2)/25)*FR193+(1-EXP(-LN(2)/25))/(LN(2)/25)*Calculateur!FM194*Calculateur!FO194*VLOOKUP('Données projet'!$B$16,Paramètres!$A$1:$I$89,3,0)*0.475*44/12</f>
        <v>1.728728587574587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10.94087432669513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-2.8421709430404007E-14</v>
      </c>
      <c r="GA194" s="17">
        <f>FZ194*VLOOKUP('Données projet'!$B$17,Paramètres!$A$1:$I$89,3,0)*VLOOKUP('Données projet'!$B$17,Paramètres!$A$1:$I$89,5,0)</f>
        <v>-2.3942448024172337E-14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385.41819366740276</v>
      </c>
      <c r="GF194" s="59">
        <f t="shared" si="158"/>
        <v>262.4625391252718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35.974503225562188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35.974503225562188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69.416750146403231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3.3000000000000003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12.100000000000001</v>
      </c>
      <c r="H195" s="67">
        <f t="shared" si="110"/>
        <v>208.26666666666665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4.8316906031686813E-13</v>
      </c>
      <c r="O195" s="13">
        <f>N195*VLOOKUP('Données projet'!$B$9,Paramètres!$A$1:$I$89,3,0)*VLOOKUP('Données projet'!$B$9,Paramètres!$A$1:$I$89,5,0)</f>
        <v>4.3717136577470225E-13</v>
      </c>
      <c r="P195" s="13">
        <f t="shared" si="141"/>
        <v>5.5313598682231701E-12</v>
      </c>
      <c r="Q195" s="20">
        <f t="shared" si="162"/>
        <v>1.039519189921296E-11</v>
      </c>
      <c r="R195" s="59">
        <f t="shared" ref="R195:R203" si="191">Q195+(I195+J195)*44/12</f>
        <v>291.23185016718708</v>
      </c>
      <c r="S195" s="59">
        <f ca="1">AVERAGE(OFFSET($R$3,0,0,'Données projet'!$E$9+1,1))-AVERAGE(OFFSET($H$3,0,0,'Données projet'!$E$9+1,1))</f>
        <v>612.09138396952153</v>
      </c>
      <c r="T195" s="59">
        <f t="shared" si="142"/>
        <v>282.284310393542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155.68301515987724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155.68301515987724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4.8993342716130437E-13</v>
      </c>
      <c r="AK195" s="13">
        <f t="shared" si="164"/>
        <v>6.1172634040517391E-12</v>
      </c>
      <c r="AL195" s="20">
        <f t="shared" si="165"/>
        <v>1.1507534481029384E-11</v>
      </c>
      <c r="AM195" s="59">
        <f t="shared" si="113"/>
        <v>291.23185016718816</v>
      </c>
      <c r="AN195" s="59">
        <f ca="1">AVERAGE(OFFSET($AM$3,0,0,'Données projet'!$E$10+1,1))-AVERAGE(OFFSET($H$3,0,0,'Données projet'!$E$10+1,1))</f>
        <v>676.7112666359476</v>
      </c>
      <c r="AO195" s="59">
        <f t="shared" si="144"/>
        <v>309.67876644201385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174.47234457572452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174.47234457572452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4.8239598982036122E-13</v>
      </c>
      <c r="BF195" s="13">
        <f t="shared" si="167"/>
        <v>6.0340313790498689E-12</v>
      </c>
      <c r="BG195" s="20">
        <f t="shared" si="168"/>
        <v>1.1349444334115651E-11</v>
      </c>
      <c r="BH195" s="59">
        <f t="shared" si="116"/>
        <v>291.23185016718804</v>
      </c>
      <c r="BI195" s="59">
        <f ca="1">AVERAGE(OFFSET($BH$3,0,0,'Données projet'!$E$11+1,1))-AVERAGE(OFFSET($H$3,0,0,'Données projet'!$E$11+1,1))</f>
        <v>667.4887768032404</v>
      </c>
      <c r="BJ195" s="59">
        <f t="shared" si="146"/>
        <v>305.76944302827178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171.78815465917486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171.78815465917486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4.5978367779753168E-13</v>
      </c>
      <c r="CA195" s="13">
        <f t="shared" si="170"/>
        <v>5.7834153259568991E-12</v>
      </c>
      <c r="CB195" s="20">
        <f t="shared" si="171"/>
        <v>1.0873571598205634E-11</v>
      </c>
      <c r="CC195" s="59">
        <f t="shared" si="119"/>
        <v>291.23185016718753</v>
      </c>
      <c r="CD195" s="59">
        <f ca="1">AVERAGE(OFFSET($CC$3,0,0,'Données projet'!$E$12+1,1))-AVERAGE(OFFSET($H$3,0,0,'Données projet'!$E$12+1,1))</f>
        <v>639.80378676828764</v>
      </c>
      <c r="CE195" s="59">
        <f t="shared" si="148"/>
        <v>294.03328334345281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163.7355849095261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163.7355849095261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-1.7053025658242404E-13</v>
      </c>
      <c r="CU195" s="17">
        <f>CT195*VLOOKUP('Données projet'!$B$13,Paramètres!$A$1:$I$89,3,0)*VLOOKUP('Données projet'!$B$13,Paramètres!$A$1:$I$89,5,0)</f>
        <v>-1.4897523215040567E-13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340.64710509454375</v>
      </c>
      <c r="CZ195" s="59">
        <f t="shared" si="150"/>
        <v>329.6409514360613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10.617811911396375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10.617811911396375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4.8316906031686813E-13</v>
      </c>
      <c r="DP195" s="17">
        <f>DO195*VLOOKUP('Données projet'!$B$14,Paramètres!$A$1:$I$89,3,0)*VLOOKUP('Données projet'!$B$14,Paramètres!$A$1:$I$89,5,0)</f>
        <v>4.6732111513847483E-13</v>
      </c>
      <c r="DQ195" s="13">
        <f t="shared" si="176"/>
        <v>5.8671100737071438E-12</v>
      </c>
      <c r="DR195" s="20">
        <f t="shared" si="177"/>
        <v>1.1032467653906121E-11</v>
      </c>
      <c r="DS195" s="59">
        <f t="shared" si="125"/>
        <v>291.2318501671877</v>
      </c>
      <c r="DT195" s="59">
        <f ca="1">AVERAGE(OFFSET($DS$3,0,0,'Données projet'!$E$14+1,1))-AVERAGE(OFFSET($H$3,0,0,'Données projet'!$E$14+1,1))</f>
        <v>649.03508893149228</v>
      </c>
      <c r="DU195" s="59">
        <f t="shared" si="152"/>
        <v>297.94672581383213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166.41977482607567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166.41977482607567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4.8316906031686813E-13</v>
      </c>
      <c r="EK195" s="17">
        <f>EJ195*VLOOKUP('Données projet'!$B$15,Paramètres!$A$1:$I$89,3,0)*VLOOKUP('Données projet'!$B$15,Paramètres!$A$1:$I$89,5,0)</f>
        <v>5.2008317652507685E-13</v>
      </c>
      <c r="EL195" s="13">
        <f t="shared" si="179"/>
        <v>6.4487270587740506E-12</v>
      </c>
      <c r="EM195" s="20">
        <f t="shared" si="180"/>
        <v>1.213734449314598E-11</v>
      </c>
      <c r="EN195" s="59">
        <f t="shared" si="128"/>
        <v>291.23185016718884</v>
      </c>
      <c r="EO195" s="59">
        <f ca="1">AVERAGE(OFFSET($EN$3,0,0,'Données projet'!$E$15+1,1))-AVERAGE(OFFSET($H$3,0,0,'Données projet'!$E$15+1,1))</f>
        <v>713.57333631602273</v>
      </c>
      <c r="EP195" s="59">
        <f t="shared" si="154"/>
        <v>325.30302392555359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185.20910424192292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185.20910424192292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5.6843418860808015E-14</v>
      </c>
      <c r="FF195" s="17">
        <f>FE195*VLOOKUP('Données projet'!$B$16,Paramètres!$A$1:$I$89,3,0)*VLOOKUP('Données projet'!$B$16,Paramètres!$A$1:$I$89,5,0)</f>
        <v>4.4337866711430253E-14</v>
      </c>
      <c r="FG195" s="13">
        <f t="shared" si="182"/>
        <v>7.3222115536967035E-13</v>
      </c>
      <c r="FH195" s="20">
        <f t="shared" si="183"/>
        <v>1.3525069634579169E-12</v>
      </c>
      <c r="FI195" s="59">
        <f t="shared" si="131"/>
        <v>291.23185016717804</v>
      </c>
      <c r="FJ195" s="59">
        <f ca="1">AVERAGE(OFFSET($FI$3,0,0,'Données projet'!$E$16+1,1))-AVERAGE(OFFSET($H$3,0,0,'Données projet'!$E$16+1,1))</f>
        <v>302.04287561738482</v>
      </c>
      <c r="FK195" s="59">
        <f t="shared" si="156"/>
        <v>296.09828774694802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9.0315011800304745</v>
      </c>
      <c r="FR195" s="21">
        <f>EXP(-LN(2)/25)*FR194+(1-EXP(-LN(2)/25))/(LN(2)/25)*Calculateur!FM195*Calculateur!FO195*VLOOKUP('Données projet'!$B$16,Paramètres!$A$1:$I$89,3,0)*0.475*44/12</f>
        <v>1.6814564134374745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10.71295759346795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-2.8421709430404007E-14</v>
      </c>
      <c r="GA195" s="17">
        <f>FZ195*VLOOKUP('Données projet'!$B$17,Paramètres!$A$1:$I$89,3,0)*VLOOKUP('Données projet'!$B$17,Paramètres!$A$1:$I$89,5,0)</f>
        <v>-2.3942448024172337E-14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385.41819366740276</v>
      </c>
      <c r="GF195" s="59">
        <f t="shared" si="158"/>
        <v>262.4625391252718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35.26906515958926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35.26906515958926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69.426868227411816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3.3000000000000003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12.100000000000001</v>
      </c>
      <c r="H196" s="67">
        <f t="shared" ref="H196:H203" si="192">(B196+E196+F196)*44/12+(C196+D196)*0.475*44/12</f>
        <v>208.26666666666665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4.8316906031686813E-13</v>
      </c>
      <c r="O196" s="13">
        <f>N196*VLOOKUP('Données projet'!$B$9,Paramètres!$A$1:$I$89,3,0)*VLOOKUP('Données projet'!$B$9,Paramètres!$A$1:$I$89,5,0)</f>
        <v>4.3717136577470225E-13</v>
      </c>
      <c r="P196" s="13">
        <f t="shared" si="141"/>
        <v>5.5313598682231701E-12</v>
      </c>
      <c r="Q196" s="20">
        <f t="shared" si="162"/>
        <v>1.039519189921296E-11</v>
      </c>
      <c r="R196" s="59">
        <f t="shared" si="191"/>
        <v>291.26830620190731</v>
      </c>
      <c r="S196" s="59">
        <f ca="1">AVERAGE(OFFSET($R$3,0,0,'Données projet'!$E$9+1,1))-AVERAGE(OFFSET($H$3,0,0,'Données projet'!$E$9+1,1))</f>
        <v>612.09138396952153</v>
      </c>
      <c r="T196" s="59">
        <f t="shared" si="142"/>
        <v>282.284310393542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152.63016618985506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152.63016618985506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4.8993342716130437E-13</v>
      </c>
      <c r="AK196" s="13">
        <f t="shared" si="164"/>
        <v>6.1172634040517391E-12</v>
      </c>
      <c r="AL196" s="20">
        <f t="shared" si="165"/>
        <v>1.1507534481029384E-11</v>
      </c>
      <c r="AM196" s="59">
        <f t="shared" ref="AM196:AM203" si="193">AL196+(AD196+AE196)*44/12</f>
        <v>291.26830620190839</v>
      </c>
      <c r="AN196" s="59">
        <f ca="1">AVERAGE(OFFSET($AM$3,0,0,'Données projet'!$E$10+1,1))-AVERAGE(OFFSET($H$3,0,0,'Données projet'!$E$10+1,1))</f>
        <v>676.7112666359476</v>
      </c>
      <c r="AO196" s="59">
        <f t="shared" si="144"/>
        <v>309.67876644201385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171.05104831621688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171.05104831621688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4.8239598982036122E-13</v>
      </c>
      <c r="BF196" s="13">
        <f t="shared" si="167"/>
        <v>6.0340313790498689E-12</v>
      </c>
      <c r="BG196" s="20">
        <f t="shared" si="168"/>
        <v>1.1349444334115651E-11</v>
      </c>
      <c r="BH196" s="59">
        <f t="shared" ref="BH196:BH203" si="194">BG196+(AY196+AZ196)*44/12</f>
        <v>291.26830620190827</v>
      </c>
      <c r="BI196" s="59">
        <f ca="1">AVERAGE(OFFSET($BH$3,0,0,'Données projet'!$E$11+1,1))-AVERAGE(OFFSET($H$3,0,0,'Données projet'!$E$11+1,1))</f>
        <v>667.4887768032404</v>
      </c>
      <c r="BJ196" s="59">
        <f t="shared" si="146"/>
        <v>305.76944302827178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168.41949372673659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168.41949372673659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4.5978367779753168E-13</v>
      </c>
      <c r="CA196" s="13">
        <f t="shared" si="170"/>
        <v>5.7834153259568991E-12</v>
      </c>
      <c r="CB196" s="20">
        <f t="shared" si="171"/>
        <v>1.0873571598205634E-11</v>
      </c>
      <c r="CC196" s="59">
        <f t="shared" ref="CC196:CC203" si="195">CB196+(BT196+BU196)*44/12</f>
        <v>291.26830620190776</v>
      </c>
      <c r="CD196" s="59">
        <f ca="1">AVERAGE(OFFSET($CC$3,0,0,'Données projet'!$E$12+1,1))-AVERAGE(OFFSET($H$3,0,0,'Données projet'!$E$12+1,1))</f>
        <v>639.80378676828764</v>
      </c>
      <c r="CE196" s="59">
        <f t="shared" si="148"/>
        <v>294.03328334345281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160.52482995829587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160.52482995829587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-1.7053025658242404E-13</v>
      </c>
      <c r="CU196" s="17">
        <f>CT196*VLOOKUP('Données projet'!$B$13,Paramètres!$A$1:$I$89,3,0)*VLOOKUP('Données projet'!$B$13,Paramètres!$A$1:$I$89,5,0)</f>
        <v>-1.4897523215040567E-13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340.64710509454375</v>
      </c>
      <c r="CZ196" s="59">
        <f t="shared" si="150"/>
        <v>329.6409514360613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10.409603096039683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10.409603096039683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4.8316906031686813E-13</v>
      </c>
      <c r="DP196" s="17">
        <f>DO196*VLOOKUP('Données projet'!$B$14,Paramètres!$A$1:$I$89,3,0)*VLOOKUP('Données projet'!$B$14,Paramètres!$A$1:$I$89,5,0)</f>
        <v>4.6732111513847483E-13</v>
      </c>
      <c r="DQ196" s="13">
        <f t="shared" si="176"/>
        <v>5.8671100737071438E-12</v>
      </c>
      <c r="DR196" s="20">
        <f t="shared" si="177"/>
        <v>1.1032467653906121E-11</v>
      </c>
      <c r="DS196" s="59">
        <f t="shared" ref="DS196:DS203" si="197">DR196+(DJ196+DK196)*44/12</f>
        <v>291.26830620190793</v>
      </c>
      <c r="DT196" s="59">
        <f ca="1">AVERAGE(OFFSET($DS$3,0,0,'Données projet'!$E$14+1,1))-AVERAGE(OFFSET($H$3,0,0,'Données projet'!$E$14+1,1))</f>
        <v>649.03508893149228</v>
      </c>
      <c r="DU196" s="59">
        <f t="shared" si="152"/>
        <v>297.94672581383213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163.15638454777607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163.15638454777607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4.8316906031686813E-13</v>
      </c>
      <c r="EK196" s="17">
        <f>EJ196*VLOOKUP('Données projet'!$B$15,Paramètres!$A$1:$I$89,3,0)*VLOOKUP('Données projet'!$B$15,Paramètres!$A$1:$I$89,5,0)</f>
        <v>5.2008317652507685E-13</v>
      </c>
      <c r="EL196" s="13">
        <f t="shared" si="179"/>
        <v>6.4487270587740506E-12</v>
      </c>
      <c r="EM196" s="20">
        <f t="shared" si="180"/>
        <v>1.213734449314598E-11</v>
      </c>
      <c r="EN196" s="59">
        <f t="shared" ref="EN196:EN203" si="198">EM196+(EE196+EF196)*44/12</f>
        <v>291.26830620190907</v>
      </c>
      <c r="EO196" s="59">
        <f ca="1">AVERAGE(OFFSET($EN$3,0,0,'Données projet'!$E$15+1,1))-AVERAGE(OFFSET($H$3,0,0,'Données projet'!$E$15+1,1))</f>
        <v>713.57333631602273</v>
      </c>
      <c r="EP196" s="59">
        <f t="shared" si="154"/>
        <v>325.30302392555359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181.57726667413789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181.57726667413789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5.6843418860808015E-14</v>
      </c>
      <c r="FF196" s="17">
        <f>FE196*VLOOKUP('Données projet'!$B$16,Paramètres!$A$1:$I$89,3,0)*VLOOKUP('Données projet'!$B$16,Paramètres!$A$1:$I$89,5,0)</f>
        <v>4.4337866711430253E-14</v>
      </c>
      <c r="FG196" s="13">
        <f t="shared" si="182"/>
        <v>7.3222115536967035E-13</v>
      </c>
      <c r="FH196" s="20">
        <f t="shared" si="183"/>
        <v>1.3525069634579169E-12</v>
      </c>
      <c r="FI196" s="59">
        <f t="shared" ref="FI196:FI203" si="199">FH196+(EZ196+FA196)*44/12</f>
        <v>291.26830620189827</v>
      </c>
      <c r="FJ196" s="59">
        <f ca="1">AVERAGE(OFFSET($FI$3,0,0,'Données projet'!$E$16+1,1))-AVERAGE(OFFSET($H$3,0,0,'Données projet'!$E$16+1,1))</f>
        <v>302.04287561738482</v>
      </c>
      <c r="FK196" s="59">
        <f t="shared" si="156"/>
        <v>296.09828774694802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8.8543989505618601</v>
      </c>
      <c r="FR196" s="21">
        <f>EXP(-LN(2)/25)*FR195+(1-EXP(-LN(2)/25))/(LN(2)/25)*Calculateur!FM196*Calculateur!FO196*VLOOKUP('Données projet'!$B$16,Paramètres!$A$1:$I$89,3,0)*0.475*44/12</f>
        <v>1.6354768993880771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10.489875849949938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-2.8421709430404007E-14</v>
      </c>
      <c r="GA196" s="17">
        <f>FZ196*VLOOKUP('Données projet'!$B$17,Paramètres!$A$1:$I$89,3,0)*VLOOKUP('Données projet'!$B$17,Paramètres!$A$1:$I$89,5,0)</f>
        <v>-2.3942448024172337E-14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385.41819366740276</v>
      </c>
      <c r="GF196" s="59">
        <f t="shared" si="158"/>
        <v>262.4625391252718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34.577460303815329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34.577460303815329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69.436810782335527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3.3000000000000003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12.100000000000001</v>
      </c>
      <c r="H197" s="67">
        <f t="shared" si="192"/>
        <v>208.26666666666665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4.8316906031686813E-13</v>
      </c>
      <c r="O197" s="13">
        <f>N197*VLOOKUP('Données projet'!$B$9,Paramètres!$A$1:$I$89,3,0)*VLOOKUP('Données projet'!$B$9,Paramètres!$A$1:$I$89,5,0)</f>
        <v>4.3717136577470225E-13</v>
      </c>
      <c r="P197" s="13">
        <f t="shared" ref="P197:P203" si="203">EXP(-1.0587+0.8836*LN(O197)+0.284)</f>
        <v>5.5313598682231701E-12</v>
      </c>
      <c r="Q197" s="20">
        <f t="shared" si="162"/>
        <v>1.039519189921296E-11</v>
      </c>
      <c r="R197" s="59">
        <f t="shared" si="191"/>
        <v>291.30412980592877</v>
      </c>
      <c r="S197" s="59">
        <f ca="1">AVERAGE(OFFSET($R$3,0,0,'Données projet'!$E$9+1,1))-AVERAGE(OFFSET($H$3,0,0,'Données projet'!$E$9+1,1))</f>
        <v>612.09138396952153</v>
      </c>
      <c r="T197" s="59">
        <f t="shared" ref="T197:T203" si="204">$T$3</f>
        <v>282.284310393542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149.637181726081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149.637181726081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4.8993342716130437E-13</v>
      </c>
      <c r="AK197" s="13">
        <f t="shared" si="164"/>
        <v>6.1172634040517391E-12</v>
      </c>
      <c r="AL197" s="20">
        <f t="shared" si="165"/>
        <v>1.1507534481029384E-11</v>
      </c>
      <c r="AM197" s="59">
        <f t="shared" si="193"/>
        <v>291.30412980592985</v>
      </c>
      <c r="AN197" s="59">
        <f ca="1">AVERAGE(OFFSET($AM$3,0,0,'Données projet'!$E$10+1,1))-AVERAGE(OFFSET($H$3,0,0,'Données projet'!$E$10+1,1))</f>
        <v>676.7112666359476</v>
      </c>
      <c r="AO197" s="59">
        <f t="shared" ref="AO197:AO203" si="205">$AO$3</f>
        <v>309.67876644201385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167.69684158957352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167.69684158957352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4.8239598982036122E-13</v>
      </c>
      <c r="BF197" s="13">
        <f t="shared" si="167"/>
        <v>6.0340313790498689E-12</v>
      </c>
      <c r="BG197" s="20">
        <f t="shared" si="168"/>
        <v>1.1349444334115651E-11</v>
      </c>
      <c r="BH197" s="59">
        <f t="shared" si="194"/>
        <v>291.30412980592973</v>
      </c>
      <c r="BI197" s="59">
        <f ca="1">AVERAGE(OFFSET($BH$3,0,0,'Données projet'!$E$11+1,1))-AVERAGE(OFFSET($H$3,0,0,'Données projet'!$E$11+1,1))</f>
        <v>667.4887768032404</v>
      </c>
      <c r="BJ197" s="59">
        <f t="shared" ref="BJ197:BJ203" si="206">$BJ$3</f>
        <v>305.76944302827178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165.11689018050313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165.11689018050313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4.5978367779753168E-13</v>
      </c>
      <c r="CA197" s="13">
        <f t="shared" si="170"/>
        <v>5.7834153259568991E-12</v>
      </c>
      <c r="CB197" s="20">
        <f t="shared" si="171"/>
        <v>1.0873571598205634E-11</v>
      </c>
      <c r="CC197" s="59">
        <f t="shared" si="195"/>
        <v>291.30412980592922</v>
      </c>
      <c r="CD197" s="59">
        <f ca="1">AVERAGE(OFFSET($CC$3,0,0,'Données projet'!$E$12+1,1))-AVERAGE(OFFSET($H$3,0,0,'Données projet'!$E$12+1,1))</f>
        <v>639.80378676828764</v>
      </c>
      <c r="CE197" s="59">
        <f t="shared" ref="CE197:CE203" si="207">$CE$3</f>
        <v>294.03328334345281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157.37703595329211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157.37703595329211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-1.7053025658242404E-13</v>
      </c>
      <c r="CU197" s="17">
        <f>CT197*VLOOKUP('Données projet'!$B$13,Paramètres!$A$1:$I$89,3,0)*VLOOKUP('Données projet'!$B$13,Paramètres!$A$1:$I$89,5,0)</f>
        <v>-1.4897523215040567E-13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340.64710509454375</v>
      </c>
      <c r="CZ197" s="59">
        <f t="shared" ref="CZ197:CZ203" si="208">$CZ$3</f>
        <v>329.6409514360613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10.2054771285573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10.2054771285573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4.8316906031686813E-13</v>
      </c>
      <c r="DP197" s="17">
        <f>DO197*VLOOKUP('Données projet'!$B$14,Paramètres!$A$1:$I$89,3,0)*VLOOKUP('Données projet'!$B$14,Paramètres!$A$1:$I$89,5,0)</f>
        <v>4.6732111513847483E-13</v>
      </c>
      <c r="DQ197" s="13">
        <f t="shared" si="176"/>
        <v>5.8671100737071438E-12</v>
      </c>
      <c r="DR197" s="20">
        <f t="shared" si="177"/>
        <v>1.1032467653906121E-11</v>
      </c>
      <c r="DS197" s="59">
        <f t="shared" si="197"/>
        <v>291.30412980592939</v>
      </c>
      <c r="DT197" s="59">
        <f ca="1">AVERAGE(OFFSET($DS$3,0,0,'Données projet'!$E$14+1,1))-AVERAGE(OFFSET($H$3,0,0,'Données projet'!$E$14+1,1))</f>
        <v>649.03508893149228</v>
      </c>
      <c r="DU197" s="59">
        <f t="shared" ref="DU197:DU203" si="209">$DU$3</f>
        <v>297.94672581383213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159.95698736236241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159.95698736236241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4.8316906031686813E-13</v>
      </c>
      <c r="EK197" s="17">
        <f>EJ197*VLOOKUP('Données projet'!$B$15,Paramètres!$A$1:$I$89,3,0)*VLOOKUP('Données projet'!$B$15,Paramètres!$A$1:$I$89,5,0)</f>
        <v>5.2008317652507685E-13</v>
      </c>
      <c r="EL197" s="13">
        <f t="shared" si="179"/>
        <v>6.4487270587740506E-12</v>
      </c>
      <c r="EM197" s="20">
        <f t="shared" si="180"/>
        <v>1.213734449314598E-11</v>
      </c>
      <c r="EN197" s="59">
        <f t="shared" si="198"/>
        <v>291.30412980593053</v>
      </c>
      <c r="EO197" s="59">
        <f ca="1">AVERAGE(OFFSET($EN$3,0,0,'Données projet'!$E$15+1,1))-AVERAGE(OFFSET($H$3,0,0,'Données projet'!$E$15+1,1))</f>
        <v>713.57333631602273</v>
      </c>
      <c r="EP197" s="59">
        <f t="shared" ref="EP197:EP203" si="210">$EP$3</f>
        <v>325.30302392555359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178.01664722585494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178.01664722585494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5.6843418860808015E-14</v>
      </c>
      <c r="FF197" s="17">
        <f>FE197*VLOOKUP('Données projet'!$B$16,Paramètres!$A$1:$I$89,3,0)*VLOOKUP('Données projet'!$B$16,Paramètres!$A$1:$I$89,5,0)</f>
        <v>4.4337866711430253E-14</v>
      </c>
      <c r="FG197" s="13">
        <f t="shared" si="182"/>
        <v>7.3222115536967035E-13</v>
      </c>
      <c r="FH197" s="20">
        <f t="shared" si="183"/>
        <v>1.3525069634579169E-12</v>
      </c>
      <c r="FI197" s="59">
        <f t="shared" si="199"/>
        <v>291.30412980591973</v>
      </c>
      <c r="FJ197" s="59">
        <f ca="1">AVERAGE(OFFSET($FI$3,0,0,'Données projet'!$E$16+1,1))-AVERAGE(OFFSET($H$3,0,0,'Données projet'!$E$16+1,1))</f>
        <v>302.04287561738482</v>
      </c>
      <c r="FK197" s="59">
        <f t="shared" ref="FK197:FK203" si="211">$FK$3</f>
        <v>296.09828774694802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8.6807695877914313</v>
      </c>
      <c r="FR197" s="21">
        <f>EXP(-LN(2)/25)*FR196+(1-EXP(-LN(2)/25))/(LN(2)/25)*Calculateur!FM197*Calculateur!FO197*VLOOKUP('Données projet'!$B$16,Paramètres!$A$1:$I$89,3,0)*0.475*44/12</f>
        <v>1.5907546975683178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10.271524285359749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-2.8421709430404007E-14</v>
      </c>
      <c r="GA197" s="17">
        <f>FZ197*VLOOKUP('Données projet'!$B$17,Paramètres!$A$1:$I$89,3,0)*VLOOKUP('Données projet'!$B$17,Paramètres!$A$1:$I$89,5,0)</f>
        <v>-2.3942448024172337E-14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385.41819366740276</v>
      </c>
      <c r="GF197" s="59">
        <f t="shared" ref="GF197:GF203" si="212">$GF$3</f>
        <v>262.4625391252718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33.899417397425815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33.899417397425815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69.446580856159557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3.3000000000000003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12.100000000000001</v>
      </c>
      <c r="H198" s="67">
        <f t="shared" si="192"/>
        <v>208.26666666666665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4.8316906031686813E-13</v>
      </c>
      <c r="O198" s="13">
        <f>N198*VLOOKUP('Données projet'!$B$9,Paramètres!$A$1:$I$89,3,0)*VLOOKUP('Données projet'!$B$9,Paramètres!$A$1:$I$89,5,0)</f>
        <v>4.3717136577470225E-13</v>
      </c>
      <c r="P198" s="13">
        <f t="shared" si="203"/>
        <v>5.5313598682231701E-12</v>
      </c>
      <c r="Q198" s="20">
        <f t="shared" si="162"/>
        <v>1.039519189921296E-11</v>
      </c>
      <c r="R198" s="59">
        <f t="shared" si="191"/>
        <v>291.33933195050997</v>
      </c>
      <c r="S198" s="59">
        <f ca="1">AVERAGE(OFFSET($R$3,0,0,'Données projet'!$E$9+1,1))-AVERAGE(OFFSET($H$3,0,0,'Données projet'!$E$9+1,1))</f>
        <v>612.09138396952153</v>
      </c>
      <c r="T198" s="59">
        <f t="shared" si="204"/>
        <v>282.284310393542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146.70288786210128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146.70288786210128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4.8993342716130437E-13</v>
      </c>
      <c r="AK198" s="13">
        <f t="shared" si="164"/>
        <v>6.1172634040517391E-12</v>
      </c>
      <c r="AL198" s="20">
        <f t="shared" si="165"/>
        <v>1.1507534481029384E-11</v>
      </c>
      <c r="AM198" s="59">
        <f t="shared" si="193"/>
        <v>291.33933195051105</v>
      </c>
      <c r="AN198" s="59">
        <f ca="1">AVERAGE(OFFSET($AM$3,0,0,'Données projet'!$E$10+1,1))-AVERAGE(OFFSET($H$3,0,0,'Données projet'!$E$10+1,1))</f>
        <v>676.7112666359476</v>
      </c>
      <c r="AO198" s="59">
        <f t="shared" si="205"/>
        <v>309.67876644201385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164.40840881097554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164.40840881097554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4.8239598982036122E-13</v>
      </c>
      <c r="BF198" s="13">
        <f t="shared" si="167"/>
        <v>6.0340313790498689E-12</v>
      </c>
      <c r="BG198" s="20">
        <f t="shared" si="168"/>
        <v>1.1349444334115651E-11</v>
      </c>
      <c r="BH198" s="59">
        <f t="shared" si="194"/>
        <v>291.33933195051094</v>
      </c>
      <c r="BI198" s="59">
        <f ca="1">AVERAGE(OFFSET($BH$3,0,0,'Données projet'!$E$11+1,1))-AVERAGE(OFFSET($H$3,0,0,'Données projet'!$E$11+1,1))</f>
        <v>667.4887768032404</v>
      </c>
      <c r="BJ198" s="59">
        <f t="shared" si="206"/>
        <v>305.76944302827178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161.87904867542207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161.87904867542207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4.5978367779753168E-13</v>
      </c>
      <c r="CA198" s="13">
        <f t="shared" si="170"/>
        <v>5.7834153259568991E-12</v>
      </c>
      <c r="CB198" s="20">
        <f t="shared" si="171"/>
        <v>1.0873571598205634E-11</v>
      </c>
      <c r="CC198" s="59">
        <f t="shared" si="195"/>
        <v>291.33933195051043</v>
      </c>
      <c r="CD198" s="59">
        <f ca="1">AVERAGE(OFFSET($CC$3,0,0,'Données projet'!$E$12+1,1))-AVERAGE(OFFSET($H$3,0,0,'Données projet'!$E$12+1,1))</f>
        <v>639.80378676828764</v>
      </c>
      <c r="CE198" s="59">
        <f t="shared" si="207"/>
        <v>294.03328334345281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154.2909682687617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154.2909682687617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-1.7053025658242404E-13</v>
      </c>
      <c r="CU198" s="17">
        <f>CT198*VLOOKUP('Données projet'!$B$13,Paramètres!$A$1:$I$89,3,0)*VLOOKUP('Données projet'!$B$13,Paramètres!$A$1:$I$89,5,0)</f>
        <v>-1.4897523215040567E-13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340.64710509454375</v>
      </c>
      <c r="CZ198" s="59">
        <f t="shared" si="208"/>
        <v>329.6409514360613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10.005353946792699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10.005353946792699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4.8316906031686813E-13</v>
      </c>
      <c r="DP198" s="17">
        <f>DO198*VLOOKUP('Données projet'!$B$14,Paramètres!$A$1:$I$89,3,0)*VLOOKUP('Données projet'!$B$14,Paramètres!$A$1:$I$89,5,0)</f>
        <v>4.6732111513847483E-13</v>
      </c>
      <c r="DQ198" s="13">
        <f t="shared" si="176"/>
        <v>5.8671100737071438E-12</v>
      </c>
      <c r="DR198" s="20">
        <f t="shared" si="177"/>
        <v>1.1032467653906121E-11</v>
      </c>
      <c r="DS198" s="59">
        <f t="shared" si="197"/>
        <v>291.3393319505106</v>
      </c>
      <c r="DT198" s="59">
        <f ca="1">AVERAGE(OFFSET($DS$3,0,0,'Données projet'!$E$14+1,1))-AVERAGE(OFFSET($H$3,0,0,'Données projet'!$E$14+1,1))</f>
        <v>649.03508893149228</v>
      </c>
      <c r="DU198" s="59">
        <f t="shared" si="209"/>
        <v>297.94672581383213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156.82032840431512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156.82032840431512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4.8316906031686813E-13</v>
      </c>
      <c r="EK198" s="17">
        <f>EJ198*VLOOKUP('Données projet'!$B$15,Paramètres!$A$1:$I$89,3,0)*VLOOKUP('Données projet'!$B$15,Paramètres!$A$1:$I$89,5,0)</f>
        <v>5.2008317652507685E-13</v>
      </c>
      <c r="EL198" s="13">
        <f t="shared" si="179"/>
        <v>6.4487270587740506E-12</v>
      </c>
      <c r="EM198" s="20">
        <f t="shared" si="180"/>
        <v>1.213734449314598E-11</v>
      </c>
      <c r="EN198" s="59">
        <f t="shared" si="198"/>
        <v>291.33933195051173</v>
      </c>
      <c r="EO198" s="59">
        <f ca="1">AVERAGE(OFFSET($EN$3,0,0,'Données projet'!$E$15+1,1))-AVERAGE(OFFSET($H$3,0,0,'Données projet'!$E$15+1,1))</f>
        <v>713.57333631602273</v>
      </c>
      <c r="EP198" s="59">
        <f t="shared" si="210"/>
        <v>325.30302392555359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174.52584935318941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174.52584935318941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5.6843418860808015E-14</v>
      </c>
      <c r="FF198" s="17">
        <f>FE198*VLOOKUP('Données projet'!$B$16,Paramètres!$A$1:$I$89,3,0)*VLOOKUP('Données projet'!$B$16,Paramètres!$A$1:$I$89,5,0)</f>
        <v>4.4337866711430253E-14</v>
      </c>
      <c r="FG198" s="13">
        <f t="shared" si="182"/>
        <v>7.3222115536967035E-13</v>
      </c>
      <c r="FH198" s="20">
        <f t="shared" si="183"/>
        <v>1.3525069634579169E-12</v>
      </c>
      <c r="FI198" s="59">
        <f t="shared" si="199"/>
        <v>291.33933195050093</v>
      </c>
      <c r="FJ198" s="59">
        <f ca="1">AVERAGE(OFFSET($FI$3,0,0,'Données projet'!$E$16+1,1))-AVERAGE(OFFSET($H$3,0,0,'Données projet'!$E$16+1,1))</f>
        <v>302.04287561738482</v>
      </c>
      <c r="FK198" s="59">
        <f t="shared" si="211"/>
        <v>296.09828774694802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8.5105449909214776</v>
      </c>
      <c r="FR198" s="21">
        <f>EXP(-LN(2)/25)*FR197+(1-EXP(-LN(2)/25))/(LN(2)/25)*Calculateur!FM198*Calculateur!FO198*VLOOKUP('Données projet'!$B$16,Paramètres!$A$1:$I$89,3,0)*0.475*44/12</f>
        <v>1.5472554267091583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10.057800417630636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-2.8421709430404007E-14</v>
      </c>
      <c r="GA198" s="17">
        <f>FZ198*VLOOKUP('Données projet'!$B$17,Paramètres!$A$1:$I$89,3,0)*VLOOKUP('Données projet'!$B$17,Paramètres!$A$1:$I$89,5,0)</f>
        <v>-2.3942448024172337E-14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385.41819366740276</v>
      </c>
      <c r="GF198" s="59">
        <f t="shared" si="212"/>
        <v>262.4625391252718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33.234670498865263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33.234670498865263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69.456181441045331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3.3000000000000003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12.100000000000001</v>
      </c>
      <c r="H199" s="67">
        <f t="shared" si="192"/>
        <v>208.26666666666665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4.8316906031686813E-13</v>
      </c>
      <c r="O199" s="13">
        <f>N199*VLOOKUP('Données projet'!$B$9,Paramètres!$A$1:$I$89,3,0)*VLOOKUP('Données projet'!$B$9,Paramètres!$A$1:$I$89,5,0)</f>
        <v>4.3717136577470225E-13</v>
      </c>
      <c r="P199" s="13">
        <f t="shared" si="203"/>
        <v>5.5313598682231701E-12</v>
      </c>
      <c r="Q199" s="20">
        <f t="shared" si="162"/>
        <v>1.039519189921296E-11</v>
      </c>
      <c r="R199" s="59">
        <f t="shared" si="191"/>
        <v>291.3739234165829</v>
      </c>
      <c r="S199" s="59">
        <f ca="1">AVERAGE(OFFSET($R$3,0,0,'Données projet'!$E$9+1,1))-AVERAGE(OFFSET($H$3,0,0,'Données projet'!$E$9+1,1))</f>
        <v>612.09138396952153</v>
      </c>
      <c r="T199" s="59">
        <f t="shared" si="204"/>
        <v>282.284310393542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143.82613371105165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143.82613371105165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4.8993342716130437E-13</v>
      </c>
      <c r="AK199" s="13">
        <f t="shared" si="164"/>
        <v>6.1172634040517391E-12</v>
      </c>
      <c r="AL199" s="20">
        <f t="shared" si="165"/>
        <v>1.1507534481029384E-11</v>
      </c>
      <c r="AM199" s="59">
        <f t="shared" si="193"/>
        <v>291.37392341658398</v>
      </c>
      <c r="AN199" s="59">
        <f ca="1">AVERAGE(OFFSET($AM$3,0,0,'Données projet'!$E$10+1,1))-AVERAGE(OFFSET($H$3,0,0,'Données projet'!$E$10+1,1))</f>
        <v>676.7112666359476</v>
      </c>
      <c r="AO199" s="59">
        <f t="shared" si="205"/>
        <v>309.67876644201385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161.18446019341994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161.18446019341994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4.8239598982036122E-13</v>
      </c>
      <c r="BF199" s="13">
        <f t="shared" si="167"/>
        <v>6.0340313790498689E-12</v>
      </c>
      <c r="BG199" s="20">
        <f t="shared" si="168"/>
        <v>1.1349444334115651E-11</v>
      </c>
      <c r="BH199" s="59">
        <f t="shared" si="194"/>
        <v>291.37392341658386</v>
      </c>
      <c r="BI199" s="59">
        <f ca="1">AVERAGE(OFFSET($BH$3,0,0,'Données projet'!$E$11+1,1))-AVERAGE(OFFSET($H$3,0,0,'Données projet'!$E$11+1,1))</f>
        <v>667.4887768032404</v>
      </c>
      <c r="BJ199" s="59">
        <f t="shared" si="206"/>
        <v>305.76944302827178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158.70469926736732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158.70469926736732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4.5978367779753168E-13</v>
      </c>
      <c r="CA199" s="13">
        <f t="shared" si="170"/>
        <v>5.7834153259568991E-12</v>
      </c>
      <c r="CB199" s="20">
        <f t="shared" si="171"/>
        <v>1.0873571598205634E-11</v>
      </c>
      <c r="CC199" s="59">
        <f t="shared" si="195"/>
        <v>291.37392341658335</v>
      </c>
      <c r="CD199" s="59">
        <f ca="1">AVERAGE(OFFSET($CC$3,0,0,'Données projet'!$E$12+1,1))-AVERAGE(OFFSET($H$3,0,0,'Données projet'!$E$12+1,1))</f>
        <v>639.80378676828764</v>
      </c>
      <c r="CE199" s="59">
        <f t="shared" si="207"/>
        <v>294.03328334345281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151.26541648920951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151.26541648920951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-1.7053025658242404E-13</v>
      </c>
      <c r="CU199" s="17">
        <f>CT199*VLOOKUP('Données projet'!$B$13,Paramètres!$A$1:$I$89,3,0)*VLOOKUP('Données projet'!$B$13,Paramètres!$A$1:$I$89,5,0)</f>
        <v>-1.4897523215040567E-13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340.64710509454375</v>
      </c>
      <c r="CZ199" s="59">
        <f t="shared" si="208"/>
        <v>329.6409514360613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9.8091550585594138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9.8091550585594138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4.8316906031686813E-13</v>
      </c>
      <c r="DP199" s="17">
        <f>DO199*VLOOKUP('Données projet'!$B$14,Paramètres!$A$1:$I$89,3,0)*VLOOKUP('Données projet'!$B$14,Paramètres!$A$1:$I$89,5,0)</f>
        <v>4.6732111513847483E-13</v>
      </c>
      <c r="DQ199" s="13">
        <f t="shared" si="176"/>
        <v>5.8671100737071438E-12</v>
      </c>
      <c r="DR199" s="20">
        <f t="shared" si="177"/>
        <v>1.1032467653906121E-11</v>
      </c>
      <c r="DS199" s="59">
        <f t="shared" si="197"/>
        <v>291.37392341658352</v>
      </c>
      <c r="DT199" s="59">
        <f ca="1">AVERAGE(OFFSET($DS$3,0,0,'Données projet'!$E$14+1,1))-AVERAGE(OFFSET($H$3,0,0,'Données projet'!$E$14+1,1))</f>
        <v>649.03508893149228</v>
      </c>
      <c r="DU199" s="59">
        <f t="shared" si="209"/>
        <v>297.94672581383213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153.74517741526208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153.74517741526208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4.8316906031686813E-13</v>
      </c>
      <c r="EK199" s="17">
        <f>EJ199*VLOOKUP('Données projet'!$B$15,Paramètres!$A$1:$I$89,3,0)*VLOOKUP('Données projet'!$B$15,Paramètres!$A$1:$I$89,5,0)</f>
        <v>5.2008317652507685E-13</v>
      </c>
      <c r="EL199" s="13">
        <f t="shared" si="179"/>
        <v>6.4487270587740506E-12</v>
      </c>
      <c r="EM199" s="20">
        <f t="shared" si="180"/>
        <v>1.213734449314598E-11</v>
      </c>
      <c r="EN199" s="59">
        <f t="shared" si="198"/>
        <v>291.37392341658466</v>
      </c>
      <c r="EO199" s="59">
        <f ca="1">AVERAGE(OFFSET($EN$3,0,0,'Données projet'!$E$15+1,1))-AVERAGE(OFFSET($H$3,0,0,'Données projet'!$E$15+1,1))</f>
        <v>713.57333631602273</v>
      </c>
      <c r="EP199" s="59">
        <f t="shared" si="210"/>
        <v>325.30302392555359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171.10350389763039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171.10350389763039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5.6843418860808015E-14</v>
      </c>
      <c r="FF199" s="17">
        <f>FE199*VLOOKUP('Données projet'!$B$16,Paramètres!$A$1:$I$89,3,0)*VLOOKUP('Données projet'!$B$16,Paramètres!$A$1:$I$89,5,0)</f>
        <v>4.4337866711430253E-14</v>
      </c>
      <c r="FG199" s="13">
        <f t="shared" si="182"/>
        <v>7.3222115536967035E-13</v>
      </c>
      <c r="FH199" s="20">
        <f t="shared" si="183"/>
        <v>1.3525069634579169E-12</v>
      </c>
      <c r="FI199" s="59">
        <f t="shared" si="199"/>
        <v>291.37392341657386</v>
      </c>
      <c r="FJ199" s="59">
        <f ca="1">AVERAGE(OFFSET($FI$3,0,0,'Données projet'!$E$16+1,1))-AVERAGE(OFFSET($H$3,0,0,'Données projet'!$E$16+1,1))</f>
        <v>302.04287561738482</v>
      </c>
      <c r="FK199" s="59">
        <f t="shared" si="211"/>
        <v>296.09828774694802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8.3436583945693918</v>
      </c>
      <c r="FR199" s="21">
        <f>EXP(-LN(2)/25)*FR198+(1-EXP(-LN(2)/25))/(LN(2)/25)*Calculateur!FM199*Calculateur!FO199*VLOOKUP('Données projet'!$B$16,Paramètres!$A$1:$I$89,3,0)*0.475*44/12</f>
        <v>1.5049456456991697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9.8486040402685617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-2.8421709430404007E-14</v>
      </c>
      <c r="GA199" s="17">
        <f>FZ199*VLOOKUP('Données projet'!$B$17,Paramètres!$A$1:$I$89,3,0)*VLOOKUP('Données projet'!$B$17,Paramètres!$A$1:$I$89,5,0)</f>
        <v>-2.3942448024172337E-14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385.41819366740276</v>
      </c>
      <c r="GF199" s="59">
        <f t="shared" si="212"/>
        <v>262.4625391252718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32.582958881529912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32.582958881529912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69.465615477247042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3.3000000000000003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12.100000000000001</v>
      </c>
      <c r="H200" s="67">
        <f t="shared" si="192"/>
        <v>208.26666666666665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4.8316906031686813E-13</v>
      </c>
      <c r="O200" s="13">
        <f>N200*VLOOKUP('Données projet'!$B$9,Paramètres!$A$1:$I$89,3,0)*VLOOKUP('Données projet'!$B$9,Paramètres!$A$1:$I$89,5,0)</f>
        <v>4.3717136577470225E-13</v>
      </c>
      <c r="P200" s="13">
        <f t="shared" si="203"/>
        <v>5.5313598682231701E-12</v>
      </c>
      <c r="Q200" s="20">
        <f t="shared" si="162"/>
        <v>1.039519189921296E-11</v>
      </c>
      <c r="R200" s="59">
        <f t="shared" si="191"/>
        <v>291.40791479805432</v>
      </c>
      <c r="S200" s="59">
        <f ca="1">AVERAGE(OFFSET($R$3,0,0,'Données projet'!$E$9+1,1))-AVERAGE(OFFSET($H$3,0,0,'Données projet'!$E$9+1,1))</f>
        <v>612.09138396952153</v>
      </c>
      <c r="T200" s="59">
        <f t="shared" si="204"/>
        <v>282.284310393542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141.00579095425735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141.00579095425735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4.8993342716130437E-13</v>
      </c>
      <c r="AK200" s="13">
        <f t="shared" si="164"/>
        <v>6.1172634040517391E-12</v>
      </c>
      <c r="AL200" s="20">
        <f t="shared" si="165"/>
        <v>1.1507534481029384E-11</v>
      </c>
      <c r="AM200" s="59">
        <f t="shared" si="193"/>
        <v>291.4079147980554</v>
      </c>
      <c r="AN200" s="59">
        <f ca="1">AVERAGE(OFFSET($AM$3,0,0,'Données projet'!$E$10+1,1))-AVERAGE(OFFSET($H$3,0,0,'Données projet'!$E$10+1,1))</f>
        <v>676.7112666359476</v>
      </c>
      <c r="AO200" s="59">
        <f t="shared" si="205"/>
        <v>309.67876644201385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158.0237312418401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158.0237312418401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4.8239598982036122E-13</v>
      </c>
      <c r="BF200" s="13">
        <f t="shared" si="167"/>
        <v>6.0340313790498689E-12</v>
      </c>
      <c r="BG200" s="20">
        <f t="shared" si="168"/>
        <v>1.1349444334115651E-11</v>
      </c>
      <c r="BH200" s="59">
        <f t="shared" si="194"/>
        <v>291.40791479805529</v>
      </c>
      <c r="BI200" s="59">
        <f ca="1">AVERAGE(OFFSET($BH$3,0,0,'Données projet'!$E$11+1,1))-AVERAGE(OFFSET($H$3,0,0,'Données projet'!$E$11+1,1))</f>
        <v>667.4887768032404</v>
      </c>
      <c r="BJ200" s="59">
        <f t="shared" si="206"/>
        <v>305.76944302827178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155.59259691504255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155.59259691504255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4.5978367779753168E-13</v>
      </c>
      <c r="CA200" s="13">
        <f t="shared" si="170"/>
        <v>5.7834153259568991E-12</v>
      </c>
      <c r="CB200" s="20">
        <f t="shared" si="171"/>
        <v>1.0873571598205634E-11</v>
      </c>
      <c r="CC200" s="59">
        <f t="shared" si="195"/>
        <v>291.40791479805478</v>
      </c>
      <c r="CD200" s="59">
        <f ca="1">AVERAGE(OFFSET($CC$3,0,0,'Données projet'!$E$12+1,1))-AVERAGE(OFFSET($H$3,0,0,'Données projet'!$E$12+1,1))</f>
        <v>639.80378676828764</v>
      </c>
      <c r="CE200" s="59">
        <f t="shared" si="207"/>
        <v>294.03328334345281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148.29919393464999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148.29919393464999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-1.7053025658242404E-13</v>
      </c>
      <c r="CU200" s="17">
        <f>CT200*VLOOKUP('Données projet'!$B$13,Paramètres!$A$1:$I$89,3,0)*VLOOKUP('Données projet'!$B$13,Paramètres!$A$1:$I$89,5,0)</f>
        <v>-1.4897523215040567E-13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340.64710509454375</v>
      </c>
      <c r="CZ200" s="59">
        <f t="shared" si="208"/>
        <v>329.6409514360613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9.6168035108548775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9.6168035108548775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4.8316906031686813E-13</v>
      </c>
      <c r="DP200" s="17">
        <f>DO200*VLOOKUP('Données projet'!$B$14,Paramètres!$A$1:$I$89,3,0)*VLOOKUP('Données projet'!$B$14,Paramètres!$A$1:$I$89,5,0)</f>
        <v>4.6732111513847483E-13</v>
      </c>
      <c r="DQ200" s="13">
        <f t="shared" si="176"/>
        <v>5.8671100737071438E-12</v>
      </c>
      <c r="DR200" s="20">
        <f t="shared" si="177"/>
        <v>1.1032467653906121E-11</v>
      </c>
      <c r="DS200" s="59">
        <f t="shared" si="197"/>
        <v>291.40791479805495</v>
      </c>
      <c r="DT200" s="59">
        <f ca="1">AVERAGE(OFFSET($DS$3,0,0,'Données projet'!$E$14+1,1))-AVERAGE(OFFSET($H$3,0,0,'Données projet'!$E$14+1,1))</f>
        <v>649.03508893149228</v>
      </c>
      <c r="DU200" s="59">
        <f t="shared" si="209"/>
        <v>297.94672581383213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150.73032826144748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150.73032826144748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4.8316906031686813E-13</v>
      </c>
      <c r="EK200" s="17">
        <f>EJ200*VLOOKUP('Données projet'!$B$15,Paramètres!$A$1:$I$89,3,0)*VLOOKUP('Données projet'!$B$15,Paramètres!$A$1:$I$89,5,0)</f>
        <v>5.2008317652507685E-13</v>
      </c>
      <c r="EL200" s="13">
        <f t="shared" si="179"/>
        <v>6.4487270587740506E-12</v>
      </c>
      <c r="EM200" s="20">
        <f t="shared" si="180"/>
        <v>1.213734449314598E-11</v>
      </c>
      <c r="EN200" s="59">
        <f t="shared" si="198"/>
        <v>291.40791479805608</v>
      </c>
      <c r="EO200" s="59">
        <f ca="1">AVERAGE(OFFSET($EN$3,0,0,'Données projet'!$E$15+1,1))-AVERAGE(OFFSET($H$3,0,0,'Données projet'!$E$15+1,1))</f>
        <v>713.57333631602273</v>
      </c>
      <c r="EP200" s="59">
        <f t="shared" si="210"/>
        <v>325.30302392555359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167.74826854903026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167.74826854903026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5.6843418860808015E-14</v>
      </c>
      <c r="FF200" s="17">
        <f>FE200*VLOOKUP('Données projet'!$B$16,Paramètres!$A$1:$I$89,3,0)*VLOOKUP('Données projet'!$B$16,Paramètres!$A$1:$I$89,5,0)</f>
        <v>4.4337866711430253E-14</v>
      </c>
      <c r="FG200" s="13">
        <f t="shared" si="182"/>
        <v>7.3222115536967035E-13</v>
      </c>
      <c r="FH200" s="20">
        <f t="shared" si="183"/>
        <v>1.3525069634579169E-12</v>
      </c>
      <c r="FI200" s="59">
        <f t="shared" si="199"/>
        <v>291.40791479804528</v>
      </c>
      <c r="FJ200" s="59">
        <f ca="1">AVERAGE(OFFSET($FI$3,0,0,'Données projet'!$E$16+1,1))-AVERAGE(OFFSET($H$3,0,0,'Données projet'!$E$16+1,1))</f>
        <v>302.04287561738482</v>
      </c>
      <c r="FK200" s="59">
        <f t="shared" si="211"/>
        <v>296.09828774694802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8.180044342580997</v>
      </c>
      <c r="FR200" s="21">
        <f>EXP(-LN(2)/25)*FR199+(1-EXP(-LN(2)/25))/(LN(2)/25)*Calculateur!FM200*Calculateur!FO200*VLOOKUP('Données projet'!$B$16,Paramètres!$A$1:$I$89,3,0)*0.475*44/12</f>
        <v>1.4637928278758741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9.6438371704568713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-2.8421709430404007E-14</v>
      </c>
      <c r="GA200" s="17">
        <f>FZ200*VLOOKUP('Données projet'!$B$17,Paramètres!$A$1:$I$89,3,0)*VLOOKUP('Données projet'!$B$17,Paramètres!$A$1:$I$89,5,0)</f>
        <v>-2.3942448024172337E-14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385.41819366740276</v>
      </c>
      <c r="GF200" s="59">
        <f t="shared" si="212"/>
        <v>262.4625391252718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31.944026931505668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31.944026931505668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69.474885854011987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3.3000000000000003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12.100000000000001</v>
      </c>
      <c r="H201" s="67">
        <f t="shared" si="192"/>
        <v>208.26666666666665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4.8316906031686813E-13</v>
      </c>
      <c r="O201" s="13">
        <f>N201*VLOOKUP('Données projet'!$B$9,Paramètres!$A$1:$I$89,3,0)*VLOOKUP('Données projet'!$B$9,Paramètres!$A$1:$I$89,5,0)</f>
        <v>4.3717136577470225E-13</v>
      </c>
      <c r="P201" s="13">
        <f t="shared" si="203"/>
        <v>5.5313598682231701E-12</v>
      </c>
      <c r="Q201" s="20">
        <f t="shared" si="162"/>
        <v>1.039519189921296E-11</v>
      </c>
      <c r="R201" s="59">
        <f t="shared" si="191"/>
        <v>291.44131650505068</v>
      </c>
      <c r="S201" s="59">
        <f ca="1">AVERAGE(OFFSET($R$3,0,0,'Données projet'!$E$9+1,1))-AVERAGE(OFFSET($H$3,0,0,'Données projet'!$E$9+1,1))</f>
        <v>612.09138396952153</v>
      </c>
      <c r="T201" s="59">
        <f t="shared" si="204"/>
        <v>282.284310393542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138.24075339868455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138.24075339868455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4.8993342716130437E-13</v>
      </c>
      <c r="AK201" s="13">
        <f t="shared" si="164"/>
        <v>6.1172634040517391E-12</v>
      </c>
      <c r="AL201" s="20">
        <f t="shared" si="165"/>
        <v>1.1507534481029384E-11</v>
      </c>
      <c r="AM201" s="59">
        <f t="shared" si="193"/>
        <v>291.44131650505176</v>
      </c>
      <c r="AN201" s="59">
        <f ca="1">AVERAGE(OFFSET($AM$3,0,0,'Données projet'!$E$10+1,1))-AVERAGE(OFFSET($H$3,0,0,'Données projet'!$E$10+1,1))</f>
        <v>676.7112666359476</v>
      </c>
      <c r="AO201" s="59">
        <f t="shared" si="205"/>
        <v>309.67876644201385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154.92498225714644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154.92498225714644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4.8239598982036122E-13</v>
      </c>
      <c r="BF201" s="13">
        <f t="shared" si="167"/>
        <v>6.0340313790498689E-12</v>
      </c>
      <c r="BG201" s="20">
        <f t="shared" si="168"/>
        <v>1.1349444334115651E-11</v>
      </c>
      <c r="BH201" s="59">
        <f t="shared" si="194"/>
        <v>291.44131650505165</v>
      </c>
      <c r="BI201" s="59">
        <f ca="1">AVERAGE(OFFSET($BH$3,0,0,'Données projet'!$E$11+1,1))-AVERAGE(OFFSET($H$3,0,0,'Données projet'!$E$11+1,1))</f>
        <v>667.4887768032404</v>
      </c>
      <c r="BJ201" s="59">
        <f t="shared" si="206"/>
        <v>305.76944302827178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152.54152099165188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152.54152099165188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4.5978367779753168E-13</v>
      </c>
      <c r="CA201" s="13">
        <f t="shared" si="170"/>
        <v>5.7834153259568991E-12</v>
      </c>
      <c r="CB201" s="20">
        <f t="shared" si="171"/>
        <v>1.0873571598205634E-11</v>
      </c>
      <c r="CC201" s="59">
        <f t="shared" si="195"/>
        <v>291.44131650505113</v>
      </c>
      <c r="CD201" s="59">
        <f ca="1">AVERAGE(OFFSET($CC$3,0,0,'Données projet'!$E$12+1,1))-AVERAGE(OFFSET($H$3,0,0,'Données projet'!$E$12+1,1))</f>
        <v>639.80378676828764</v>
      </c>
      <c r="CE201" s="59">
        <f t="shared" si="207"/>
        <v>294.03328334345281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145.39113719516826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145.39113719516826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-1.7053025658242404E-13</v>
      </c>
      <c r="CU201" s="17">
        <f>CT201*VLOOKUP('Données projet'!$B$13,Paramètres!$A$1:$I$89,3,0)*VLOOKUP('Données projet'!$B$13,Paramètres!$A$1:$I$89,5,0)</f>
        <v>-1.4897523215040567E-13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340.64710509454375</v>
      </c>
      <c r="CZ201" s="59">
        <f t="shared" si="208"/>
        <v>329.6409514360613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9.4282238596779688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9.4282238596779688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4.8316906031686813E-13</v>
      </c>
      <c r="DP201" s="17">
        <f>DO201*VLOOKUP('Données projet'!$B$14,Paramètres!$A$1:$I$89,3,0)*VLOOKUP('Données projet'!$B$14,Paramètres!$A$1:$I$89,5,0)</f>
        <v>4.6732111513847483E-13</v>
      </c>
      <c r="DQ201" s="13">
        <f t="shared" si="176"/>
        <v>5.8671100737071438E-12</v>
      </c>
      <c r="DR201" s="20">
        <f t="shared" si="177"/>
        <v>1.1032467653906121E-11</v>
      </c>
      <c r="DS201" s="59">
        <f t="shared" si="197"/>
        <v>291.4413165050513</v>
      </c>
      <c r="DT201" s="59">
        <f ca="1">AVERAGE(OFFSET($DS$3,0,0,'Données projet'!$E$14+1,1))-AVERAGE(OFFSET($H$3,0,0,'Données projet'!$E$14+1,1))</f>
        <v>649.03508893149228</v>
      </c>
      <c r="DU201" s="59">
        <f t="shared" si="209"/>
        <v>297.94672581383213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147.77459846066276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147.77459846066276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4.8316906031686813E-13</v>
      </c>
      <c r="EK201" s="17">
        <f>EJ201*VLOOKUP('Données projet'!$B$15,Paramètres!$A$1:$I$89,3,0)*VLOOKUP('Données projet'!$B$15,Paramètres!$A$1:$I$89,5,0)</f>
        <v>5.2008317652507685E-13</v>
      </c>
      <c r="EL201" s="13">
        <f t="shared" si="179"/>
        <v>6.4487270587740506E-12</v>
      </c>
      <c r="EM201" s="20">
        <f t="shared" si="180"/>
        <v>1.213734449314598E-11</v>
      </c>
      <c r="EN201" s="59">
        <f t="shared" si="198"/>
        <v>291.44131650505244</v>
      </c>
      <c r="EO201" s="59">
        <f ca="1">AVERAGE(OFFSET($EN$3,0,0,'Données projet'!$E$15+1,1))-AVERAGE(OFFSET($H$3,0,0,'Données projet'!$E$15+1,1))</f>
        <v>713.57333631602273</v>
      </c>
      <c r="EP201" s="59">
        <f t="shared" si="210"/>
        <v>325.30302392555359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164.45882731912468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164.45882731912468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5.6843418860808015E-14</v>
      </c>
      <c r="FF201" s="17">
        <f>FE201*VLOOKUP('Données projet'!$B$16,Paramètres!$A$1:$I$89,3,0)*VLOOKUP('Données projet'!$B$16,Paramètres!$A$1:$I$89,5,0)</f>
        <v>4.4337866711430253E-14</v>
      </c>
      <c r="FG201" s="13">
        <f t="shared" si="182"/>
        <v>7.3222115536967035E-13</v>
      </c>
      <c r="FH201" s="20">
        <f t="shared" si="183"/>
        <v>1.3525069634579169E-12</v>
      </c>
      <c r="FI201" s="59">
        <f t="shared" si="199"/>
        <v>291.44131650504164</v>
      </c>
      <c r="FJ201" s="59">
        <f ca="1">AVERAGE(OFFSET($FI$3,0,0,'Données projet'!$E$16+1,1))-AVERAGE(OFFSET($H$3,0,0,'Données projet'!$E$16+1,1))</f>
        <v>302.04287561738482</v>
      </c>
      <c r="FK201" s="59">
        <f t="shared" si="211"/>
        <v>296.09828774694802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8.0196386623573765</v>
      </c>
      <c r="FR201" s="21">
        <f>EXP(-LN(2)/25)*FR200+(1-EXP(-LN(2)/25))/(LN(2)/25)*Calculateur!FM201*Calculateur!FO201*VLOOKUP('Données projet'!$B$16,Paramètres!$A$1:$I$89,3,0)*0.475*44/12</f>
        <v>1.423765336020089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9.443403998377466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-2.8421709430404007E-14</v>
      </c>
      <c r="GA201" s="17">
        <f>FZ201*VLOOKUP('Données projet'!$B$17,Paramètres!$A$1:$I$89,3,0)*VLOOKUP('Données projet'!$B$17,Paramètres!$A$1:$I$89,5,0)</f>
        <v>-2.3942448024172337E-14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385.41819366740276</v>
      </c>
      <c r="GF201" s="59">
        <f t="shared" si="212"/>
        <v>262.4625391252718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31.317624047311391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31.317624047311391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69.483995410465525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3.3000000000000003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12.100000000000001</v>
      </c>
      <c r="H202" s="67">
        <f t="shared" si="192"/>
        <v>208.26666666666665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4.8316906031686813E-13</v>
      </c>
      <c r="O202" s="13">
        <f>N202*VLOOKUP('Données projet'!$B$9,Paramètres!$A$1:$I$89,3,0)*VLOOKUP('Données projet'!$B$9,Paramètres!$A$1:$I$89,5,0)</f>
        <v>4.3717136577470225E-13</v>
      </c>
      <c r="P202" s="13">
        <f t="shared" si="203"/>
        <v>5.5313598682231701E-12</v>
      </c>
      <c r="Q202" s="20">
        <f t="shared" si="162"/>
        <v>1.039519189921296E-11</v>
      </c>
      <c r="R202" s="59">
        <f t="shared" si="191"/>
        <v>291.47413876710561</v>
      </c>
      <c r="S202" s="59">
        <f ca="1">AVERAGE(OFFSET($R$3,0,0,'Données projet'!$E$9+1,1))-AVERAGE(OFFSET($H$3,0,0,'Données projet'!$E$9+1,1))</f>
        <v>612.09138396952153</v>
      </c>
      <c r="T202" s="59">
        <f t="shared" si="204"/>
        <v>282.284310393542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135.52993654307016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135.52993654307016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4.8993342716130437E-13</v>
      </c>
      <c r="AK202" s="13">
        <f t="shared" si="164"/>
        <v>6.1172634040517391E-12</v>
      </c>
      <c r="AL202" s="20">
        <f t="shared" si="165"/>
        <v>1.1507534481029384E-11</v>
      </c>
      <c r="AM202" s="59">
        <f t="shared" si="193"/>
        <v>291.47413876710669</v>
      </c>
      <c r="AN202" s="59">
        <f ca="1">AVERAGE(OFFSET($AM$3,0,0,'Données projet'!$E$10+1,1))-AVERAGE(OFFSET($H$3,0,0,'Données projet'!$E$10+1,1))</f>
        <v>676.7112666359476</v>
      </c>
      <c r="AO202" s="59">
        <f t="shared" si="205"/>
        <v>309.67876644201385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151.88699784999238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151.88699784999238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4.8239598982036122E-13</v>
      </c>
      <c r="BF202" s="13">
        <f t="shared" si="167"/>
        <v>6.0340313790498689E-12</v>
      </c>
      <c r="BG202" s="20">
        <f t="shared" si="168"/>
        <v>1.1349444334115651E-11</v>
      </c>
      <c r="BH202" s="59">
        <f t="shared" si="194"/>
        <v>291.47413876710658</v>
      </c>
      <c r="BI202" s="59">
        <f ca="1">AVERAGE(OFFSET($BH$3,0,0,'Données projet'!$E$11+1,1))-AVERAGE(OFFSET($H$3,0,0,'Données projet'!$E$11+1,1))</f>
        <v>667.4887768032404</v>
      </c>
      <c r="BJ202" s="59">
        <f t="shared" si="206"/>
        <v>305.76944302827178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149.55027480614635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149.55027480614635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4.5978367779753168E-13</v>
      </c>
      <c r="CA202" s="13">
        <f t="shared" si="170"/>
        <v>5.7834153259568991E-12</v>
      </c>
      <c r="CB202" s="20">
        <f t="shared" si="171"/>
        <v>1.0873571598205634E-11</v>
      </c>
      <c r="CC202" s="59">
        <f t="shared" si="195"/>
        <v>291.47413876710607</v>
      </c>
      <c r="CD202" s="59">
        <f ca="1">AVERAGE(OFFSET($CC$3,0,0,'Données projet'!$E$12+1,1))-AVERAGE(OFFSET($H$3,0,0,'Données projet'!$E$12+1,1))</f>
        <v>639.80378676828764</v>
      </c>
      <c r="CE202" s="59">
        <f t="shared" si="207"/>
        <v>294.03328334345281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142.5401056746083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142.5401056746083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-1.7053025658242404E-13</v>
      </c>
      <c r="CU202" s="17">
        <f>CT202*VLOOKUP('Données projet'!$B$13,Paramètres!$A$1:$I$89,3,0)*VLOOKUP('Données projet'!$B$13,Paramètres!$A$1:$I$89,5,0)</f>
        <v>-1.4897523215040567E-13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340.64710509454375</v>
      </c>
      <c r="CZ202" s="59">
        <f t="shared" si="208"/>
        <v>329.6409514360613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9.2433421404384095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9.2433421404384095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4.8316906031686813E-13</v>
      </c>
      <c r="DP202" s="17">
        <f>DO202*VLOOKUP('Données projet'!$B$14,Paramètres!$A$1:$I$89,3,0)*VLOOKUP('Données projet'!$B$14,Paramètres!$A$1:$I$89,5,0)</f>
        <v>4.6732111513847483E-13</v>
      </c>
      <c r="DQ202" s="13">
        <f t="shared" si="176"/>
        <v>5.8671100737071438E-12</v>
      </c>
      <c r="DR202" s="20">
        <f t="shared" si="177"/>
        <v>1.1032467653906121E-11</v>
      </c>
      <c r="DS202" s="59">
        <f t="shared" si="197"/>
        <v>291.47413876710624</v>
      </c>
      <c r="DT202" s="59">
        <f ca="1">AVERAGE(OFFSET($DS$3,0,0,'Données projet'!$E$14+1,1))-AVERAGE(OFFSET($H$3,0,0,'Données projet'!$E$14+1,1))</f>
        <v>649.03508893149228</v>
      </c>
      <c r="DU202" s="59">
        <f t="shared" si="209"/>
        <v>297.94672581383213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144.87682871845428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144.87682871845428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4.8316906031686813E-13</v>
      </c>
      <c r="EK202" s="17">
        <f>EJ202*VLOOKUP('Données projet'!$B$15,Paramètres!$A$1:$I$89,3,0)*VLOOKUP('Données projet'!$B$15,Paramètres!$A$1:$I$89,5,0)</f>
        <v>5.2008317652507685E-13</v>
      </c>
      <c r="EL202" s="13">
        <f t="shared" si="179"/>
        <v>6.4487270587740506E-12</v>
      </c>
      <c r="EM202" s="20">
        <f t="shared" si="180"/>
        <v>1.213734449314598E-11</v>
      </c>
      <c r="EN202" s="59">
        <f t="shared" si="198"/>
        <v>291.47413876710738</v>
      </c>
      <c r="EO202" s="59">
        <f ca="1">AVERAGE(OFFSET($EN$3,0,0,'Données projet'!$E$15+1,1))-AVERAGE(OFFSET($H$3,0,0,'Données projet'!$E$15+1,1))</f>
        <v>713.57333631602273</v>
      </c>
      <c r="EP202" s="59">
        <f t="shared" si="210"/>
        <v>325.30302392555359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161.23389002537652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161.23389002537652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5.6843418860808015E-14</v>
      </c>
      <c r="FF202" s="17">
        <f>FE202*VLOOKUP('Données projet'!$B$16,Paramètres!$A$1:$I$89,3,0)*VLOOKUP('Données projet'!$B$16,Paramètres!$A$1:$I$89,5,0)</f>
        <v>4.4337866711430253E-14</v>
      </c>
      <c r="FG202" s="13">
        <f t="shared" si="182"/>
        <v>7.3222115536967035E-13</v>
      </c>
      <c r="FH202" s="20">
        <f t="shared" si="183"/>
        <v>1.3525069634579169E-12</v>
      </c>
      <c r="FI202" s="59">
        <f t="shared" si="199"/>
        <v>291.47413876709658</v>
      </c>
      <c r="FJ202" s="59">
        <f ca="1">AVERAGE(OFFSET($FI$3,0,0,'Données projet'!$E$16+1,1))-AVERAGE(OFFSET($H$3,0,0,'Données projet'!$E$16+1,1))</f>
        <v>302.04287561738482</v>
      </c>
      <c r="FK202" s="59">
        <f t="shared" si="211"/>
        <v>296.09828774694802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7.8623784396851368</v>
      </c>
      <c r="FR202" s="21">
        <f>EXP(-LN(2)/25)*FR201+(1-EXP(-LN(2)/25))/(LN(2)/25)*Calculateur!FM202*Calculateur!FO202*VLOOKUP('Données projet'!$B$16,Paramètres!$A$1:$I$89,3,0)*0.475*44/12</f>
        <v>1.3848323980340547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9.2472108377191908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-2.8421709430404007E-14</v>
      </c>
      <c r="GA202" s="17">
        <f>FZ202*VLOOKUP('Données projet'!$B$17,Paramètres!$A$1:$I$89,3,0)*VLOOKUP('Données projet'!$B$17,Paramètres!$A$1:$I$89,5,0)</f>
        <v>-2.3942448024172337E-14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385.41819366740276</v>
      </c>
      <c r="GF202" s="59">
        <f t="shared" si="212"/>
        <v>262.4625391252718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30.70350454160813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30.70350454160813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69.492946936480507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3.3000000000000003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53.5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12.100000000000001</v>
      </c>
      <c r="H203" s="67">
        <f t="shared" si="192"/>
        <v>208.26666666666665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4.8316906031686813E-13</v>
      </c>
      <c r="O203" s="13">
        <f>N203*VLOOKUP('Données projet'!$B$9,Paramètres!$A$1:$I$89,3,0)*VLOOKUP('Données projet'!$B$9,Paramètres!$A$1:$I$89,5,0)</f>
        <v>4.3717136577470225E-13</v>
      </c>
      <c r="P203" s="13">
        <f t="shared" si="203"/>
        <v>5.5313598682231701E-12</v>
      </c>
      <c r="Q203" s="20">
        <f t="shared" si="162"/>
        <v>1.039519189921296E-11</v>
      </c>
      <c r="R203" s="59">
        <f t="shared" si="191"/>
        <v>291.50639163629347</v>
      </c>
      <c r="S203" s="59">
        <f ca="1">AVERAGE(OFFSET($R$3,0,0,'Données projet'!$E$9+1,1))-AVERAGE(OFFSET($H$3,0,0,'Données projet'!$E$9+1,1))</f>
        <v>612.09138396952153</v>
      </c>
      <c r="T203" s="59">
        <f t="shared" si="204"/>
        <v>282.284310393542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132.87227715255935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132.87227715255935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4.8993342716130437E-13</v>
      </c>
      <c r="AK203" s="13">
        <f t="shared" si="164"/>
        <v>6.1172634040517391E-12</v>
      </c>
      <c r="AL203" s="20">
        <f t="shared" si="165"/>
        <v>1.1507534481029384E-11</v>
      </c>
      <c r="AM203" s="59">
        <f t="shared" si="193"/>
        <v>291.50639163629455</v>
      </c>
      <c r="AN203" s="59">
        <f ca="1">AVERAGE(OFFSET($AM$3,0,0,'Données projet'!$E$10+1,1))-AVERAGE(OFFSET($H$3,0,0,'Données projet'!$E$10+1,1))</f>
        <v>676.7112666359476</v>
      </c>
      <c r="AO203" s="59">
        <f t="shared" si="205"/>
        <v>309.67876644201385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148.90858646407509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148.90858646407509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4.8239598982036122E-13</v>
      </c>
      <c r="BF203" s="13">
        <f t="shared" si="167"/>
        <v>6.0340313790498689E-12</v>
      </c>
      <c r="BG203" s="20">
        <f t="shared" si="168"/>
        <v>1.1349444334115651E-11</v>
      </c>
      <c r="BH203" s="59">
        <f t="shared" si="194"/>
        <v>291.50639163629444</v>
      </c>
      <c r="BI203" s="59">
        <f ca="1">AVERAGE(OFFSET($BH$3,0,0,'Données projet'!$E$11+1,1))-AVERAGE(OFFSET($H$3,0,0,'Données projet'!$E$11+1,1))</f>
        <v>667.4887768032404</v>
      </c>
      <c r="BJ203" s="59">
        <f t="shared" si="206"/>
        <v>305.76944302827178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146.61768513385854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146.61768513385854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4.5978367779753168E-13</v>
      </c>
      <c r="CA203" s="13">
        <f t="shared" si="170"/>
        <v>5.7834153259568991E-12</v>
      </c>
      <c r="CB203" s="20">
        <f t="shared" si="171"/>
        <v>1.0873571598205634E-11</v>
      </c>
      <c r="CC203" s="59">
        <f t="shared" si="195"/>
        <v>291.50639163629393</v>
      </c>
      <c r="CD203" s="59">
        <f ca="1">AVERAGE(OFFSET($CC$3,0,0,'Données projet'!$E$12+1,1))-AVERAGE(OFFSET($H$3,0,0,'Données projet'!$E$12+1,1))</f>
        <v>639.80378676828764</v>
      </c>
      <c r="CE203" s="59">
        <f t="shared" si="207"/>
        <v>294.03328334345281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139.744981143209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139.744981143209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-1.7053025658242404E-13</v>
      </c>
      <c r="CU203" s="17">
        <f>CT203*VLOOKUP('Données projet'!$B$13,Paramètres!$A$1:$I$89,3,0)*VLOOKUP('Données projet'!$B$13,Paramètres!$A$1:$I$89,5,0)</f>
        <v>-1.4897523215040567E-13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340.64710509454375</v>
      </c>
      <c r="CZ203" s="59">
        <f t="shared" si="208"/>
        <v>329.6409514360613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9.0620858389464232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9.0620858389464232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4.8316906031686813E-13</v>
      </c>
      <c r="DP203" s="17">
        <f>DO203*VLOOKUP('Données projet'!$B$14,Paramètres!$A$1:$I$89,3,0)*VLOOKUP('Données projet'!$B$14,Paramètres!$A$1:$I$89,5,0)</f>
        <v>4.6732111513847483E-13</v>
      </c>
      <c r="DQ203" s="13">
        <f t="shared" si="176"/>
        <v>5.8671100737071438E-12</v>
      </c>
      <c r="DR203" s="20">
        <f t="shared" si="177"/>
        <v>1.1032467653906121E-11</v>
      </c>
      <c r="DS203" s="59">
        <f t="shared" si="197"/>
        <v>291.5063916362941</v>
      </c>
      <c r="DT203" s="59">
        <f ca="1">AVERAGE(OFFSET($DS$3,0,0,'Données projet'!$E$14+1,1))-AVERAGE(OFFSET($H$3,0,0,'Données projet'!$E$14+1,1))</f>
        <v>649.03508893149228</v>
      </c>
      <c r="DU203" s="59">
        <f t="shared" si="209"/>
        <v>297.94672581383213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142.03588247342549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142.03588247342549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4.8316906031686813E-13</v>
      </c>
      <c r="EK203" s="17">
        <f>EJ203*VLOOKUP('Données projet'!$B$15,Paramètres!$A$1:$I$89,3,0)*VLOOKUP('Données projet'!$B$15,Paramètres!$A$1:$I$89,5,0)</f>
        <v>5.2008317652507685E-13</v>
      </c>
      <c r="EL203" s="13">
        <f t="shared" si="179"/>
        <v>6.4487270587740506E-12</v>
      </c>
      <c r="EM203" s="20">
        <f t="shared" si="180"/>
        <v>1.213734449314598E-11</v>
      </c>
      <c r="EN203" s="59">
        <f t="shared" si="198"/>
        <v>291.50639163629523</v>
      </c>
      <c r="EO203" s="59">
        <f ca="1">AVERAGE(OFFSET($EN$3,0,0,'Données projet'!$E$15+1,1))-AVERAGE(OFFSET($H$3,0,0,'Données projet'!$E$15+1,1))</f>
        <v>713.57333631602273</v>
      </c>
      <c r="EP203" s="59">
        <f t="shared" si="210"/>
        <v>325.30302392555359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158.07219178494125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158.07219178494125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5.6843418860808015E-14</v>
      </c>
      <c r="FF203" s="17">
        <f>FE203*VLOOKUP('Données projet'!$B$16,Paramètres!$A$1:$I$89,3,0)*VLOOKUP('Données projet'!$B$16,Paramètres!$A$1:$I$89,5,0)</f>
        <v>4.4337866711430253E-14</v>
      </c>
      <c r="FG203" s="13">
        <f t="shared" si="182"/>
        <v>7.3222115536967035E-13</v>
      </c>
      <c r="FH203" s="20">
        <f t="shared" si="183"/>
        <v>1.3525069634579169E-12</v>
      </c>
      <c r="FI203" s="59">
        <f t="shared" si="199"/>
        <v>291.50639163628443</v>
      </c>
      <c r="FJ203" s="59">
        <f ca="1">AVERAGE(OFFSET($FI$3,0,0,'Données projet'!$E$16+1,1))-AVERAGE(OFFSET($H$3,0,0,'Données projet'!$E$16+1,1))</f>
        <v>302.04287561738482</v>
      </c>
      <c r="FK203" s="59">
        <f t="shared" si="211"/>
        <v>296.09828774694802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7.7082019940602358</v>
      </c>
      <c r="FR203" s="21">
        <f>EXP(-LN(2)/25)*FR202+(1-EXP(-LN(2)/25))/(LN(2)/25)*Calculateur!FM203*Calculateur!FO203*VLOOKUP('Données projet'!$B$16,Paramètres!$A$1:$I$89,3,0)*0.475*44/12</f>
        <v>1.3469640832846428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9.0551660773448788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-2.8421709430404007E-14</v>
      </c>
      <c r="GA203" s="17">
        <f>FZ203*VLOOKUP('Données projet'!$B$17,Paramètres!$A$1:$I$89,3,0)*VLOOKUP('Données projet'!$B$17,Paramètres!$A$1:$I$89,5,0)</f>
        <v>-2.3942448024172337E-14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385.41819366740276</v>
      </c>
      <c r="GF203" s="59">
        <f t="shared" si="212"/>
        <v>262.4625391252718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30.101427544835797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30.101427544835797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69.50174317353175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1.1289835501862808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1.1289835501862808</v>
      </c>
      <c r="BV205" s="82">
        <f>EXP(LN('Données projet'!B114)/'Données projet'!A114)</f>
        <v>1.1289835501862808</v>
      </c>
      <c r="CQ205" s="82">
        <f>EXP(LN('Données projet'!B140)/'Données projet'!A140)</f>
        <v>1.2721747796233518</v>
      </c>
      <c r="DL205" s="82">
        <f>EXP(LN('Données projet'!B166)/'Données projet'!A166)</f>
        <v>1.1289835501862808</v>
      </c>
      <c r="EG205" s="82">
        <f>EXP(LN('Données projet'!B192)/'Données projet'!A192)</f>
        <v>1.1289835501862808</v>
      </c>
      <c r="FB205" s="82">
        <f>EXP(LN('Données projet'!B218)/'Données projet'!A218)</f>
        <v>1.2788040393997409</v>
      </c>
      <c r="FW205" s="82">
        <f>EXP(LN('Données projet'!B244)/'Données projet'!A244)</f>
        <v>1.1398946049533631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A6" sqref="A6: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1.4379444444444442</v>
      </c>
      <c r="C6" s="147">
        <f ca="1">IF(OR('Données projet'!B9="",'Données projet'!C9="",'Données projet'!C9=0%),0,Calculateur!S3)</f>
        <v>612.09138396952153</v>
      </c>
      <c r="D6" s="147">
        <f>IF(OR('Données projet'!B9="",'Données projet'!C9="",'Données projet'!C9=0%),0,Calculateur!T3)</f>
        <v>282.284310393542</v>
      </c>
      <c r="E6" s="147">
        <f ca="1">MIN(C6,D6)</f>
        <v>282.284310393542</v>
      </c>
      <c r="F6" s="147">
        <f ca="1">E6*B6</f>
        <v>405.90915588422479</v>
      </c>
      <c r="G6" s="147">
        <f ca="1">F6*(100%-'Données projet'!$C$24)*(100%-'Données projet'!$C$25)*(100%-'Données projet'!$C$26)*(100%-'Données projet'!$C$27)</f>
        <v>328.78641626622209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328.78641626622209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0.27150000000000002</v>
      </c>
      <c r="C7" s="147">
        <f ca="1">IF(OR('Données projet'!B10="",'Données projet'!C10="",'Données projet'!C10=0%),0,Calculateur!AN3)</f>
        <v>676.7112666359476</v>
      </c>
      <c r="D7" s="147">
        <f>IF(OR('Données projet'!B10="",'Données projet'!C10="",'Données projet'!C10=0%),0,Calculateur!AO3)</f>
        <v>309.67876644201385</v>
      </c>
      <c r="E7" s="147">
        <f t="shared" ref="E7:E15" ca="1" si="0">MIN(C7,D7)</f>
        <v>309.67876644201385</v>
      </c>
      <c r="F7" s="147">
        <f t="shared" ref="F7:F15" ca="1" si="1">E7*B7</f>
        <v>84.077785089006767</v>
      </c>
      <c r="G7" s="147">
        <f ca="1">F7*(100%-'Données projet'!$C$24)*(100%-'Données projet'!$C$25)*(100%-'Données projet'!$C$26)*(100%-'Données projet'!$C$27)</f>
        <v>68.103005922095477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68.103005922095477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tauzin</v>
      </c>
      <c r="B8" s="154">
        <f>'Données projet'!D11</f>
        <v>0.27150000000000002</v>
      </c>
      <c r="C8" s="147">
        <f ca="1">IF(OR('Données projet'!B11="",'Données projet'!C11="",'Données projet'!C11=0%),0,Calculateur!BI3)</f>
        <v>667.4887768032404</v>
      </c>
      <c r="D8" s="147">
        <f>IF(OR('Données projet'!B11="",'Données projet'!C11="",'Données projet'!C11=0%),0,Calculateur!BJ3)</f>
        <v>305.76944302827178</v>
      </c>
      <c r="E8" s="147">
        <f t="shared" ca="1" si="0"/>
        <v>305.76944302827178</v>
      </c>
      <c r="F8" s="147">
        <f t="shared" ca="1" si="1"/>
        <v>83.0164037821758</v>
      </c>
      <c r="G8" s="147">
        <f ca="1">F8*(100%-'Données projet'!$C$24)*(100%-'Données projet'!$C$25)*(100%-'Données projet'!$C$26)*(100%-'Données projet'!$C$27)</f>
        <v>67.243287063562391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67.243287063562391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Charme</v>
      </c>
      <c r="B9" s="154">
        <f>'Données projet'!D12</f>
        <v>1.448</v>
      </c>
      <c r="C9" s="147">
        <f ca="1">IF(OR('Données projet'!B12="",'Données projet'!C12="",'Données projet'!C12=0%),0,Calculateur!CD3)</f>
        <v>639.80378676828764</v>
      </c>
      <c r="D9" s="147">
        <f>IF(OR('Données projet'!B12="",'Données projet'!C12="",'Données projet'!C12=0%),0,Calculateur!CE3)</f>
        <v>294.03328334345281</v>
      </c>
      <c r="E9" s="147">
        <f t="shared" ca="1" si="0"/>
        <v>294.03328334345281</v>
      </c>
      <c r="F9" s="147">
        <f t="shared" ca="1" si="1"/>
        <v>425.76019428131963</v>
      </c>
      <c r="G9" s="147">
        <f ca="1">F9*(100%-'Données projet'!$C$24)*(100%-'Données projet'!$C$25)*(100%-'Données projet'!$C$26)*(100%-'Données projet'!$C$27)</f>
        <v>344.86575736786892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344.86575736786892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Erable champêtre</v>
      </c>
      <c r="B10" s="154">
        <f>'Données projet'!D13</f>
        <v>0.35194444444444439</v>
      </c>
      <c r="C10" s="147">
        <f ca="1">IF(OR('Données projet'!B13="",'Données projet'!C13="",'Données projet'!C13=0%),0,Calculateur!CY3)</f>
        <v>340.64710509454375</v>
      </c>
      <c r="D10" s="147">
        <f>IF(OR('Données projet'!B13="",'Données projet'!C13="",'Données projet'!C13=0%),0,Calculateur!CZ3)</f>
        <v>329.6409514360613</v>
      </c>
      <c r="E10" s="147">
        <f t="shared" ca="1" si="0"/>
        <v>329.6409514360613</v>
      </c>
      <c r="F10" s="147">
        <f t="shared" ca="1" si="1"/>
        <v>116.01530151930267</v>
      </c>
      <c r="G10" s="147">
        <f ca="1">F10*(100%-'Données projet'!$C$24)*(100%-'Données projet'!$C$25)*(100%-'Données projet'!$C$26)*(100%-'Données projet'!$C$27)</f>
        <v>93.97239423063516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8.7106249999999985</v>
      </c>
      <c r="K10" s="151">
        <f>J10*(100%-'Données projet'!$C$24)*(100%-'Données projet'!$C$25)*(100%-'Données projet'!$C$26)*(100%-'Données projet'!$C$27)</f>
        <v>7.0556062499999985</v>
      </c>
      <c r="L10" s="152">
        <f t="shared" ca="1" si="2"/>
        <v>101.02800048063516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Alisier torminal</v>
      </c>
      <c r="B11" s="154">
        <f>'Données projet'!D14</f>
        <v>0.22122222222222218</v>
      </c>
      <c r="C11" s="147">
        <f ca="1">IF(OR('Données projet'!B14="",'Données projet'!C14="",'Données projet'!C14=0%),0,Calculateur!DT3)</f>
        <v>649.03508893149228</v>
      </c>
      <c r="D11" s="147">
        <f>IF(OR('Données projet'!B14="",'Données projet'!C14="",'Données projet'!C14=0%),0,Calculateur!DU3)</f>
        <v>297.94672581383213</v>
      </c>
      <c r="E11" s="147">
        <f t="shared" ca="1" si="0"/>
        <v>297.94672581383213</v>
      </c>
      <c r="F11" s="147">
        <f t="shared" ca="1" si="1"/>
        <v>65.912436788371068</v>
      </c>
      <c r="G11" s="147">
        <f ca="1">F11*(100%-'Données projet'!$C$24)*(100%-'Données projet'!$C$25)*(100%-'Données projet'!$C$26)*(100%-'Données projet'!$C$27)</f>
        <v>53.389073798580569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53.389073798580569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Cormier</v>
      </c>
      <c r="B12" s="154">
        <f>'Données projet'!D15</f>
        <v>8.044444444444443E-2</v>
      </c>
      <c r="C12" s="147">
        <f ca="1">IF(OR('Données projet'!B15="",'Données projet'!C15="",'Données projet'!C15=0%),0,Calculateur!EO3)</f>
        <v>713.57333631602273</v>
      </c>
      <c r="D12" s="147">
        <f>IF(OR('Données projet'!B15="",'Données projet'!C15="",'Données projet'!C15=0%),0,Calculateur!EP3)</f>
        <v>325.30302392555359</v>
      </c>
      <c r="E12" s="147">
        <f t="shared" ca="1" si="0"/>
        <v>325.30302392555359</v>
      </c>
      <c r="F12" s="147">
        <f t="shared" ca="1" si="1"/>
        <v>26.168821035788973</v>
      </c>
      <c r="G12" s="147">
        <f ca="1">F12*(100%-'Données projet'!$C$24)*(100%-'Données projet'!$C$25)*(100%-'Données projet'!$C$26)*(100%-'Données projet'!$C$27)</f>
        <v>21.196745038989071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21.196745038989071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Merisier</v>
      </c>
      <c r="B13" s="154">
        <f>'Données projet'!D16</f>
        <v>8.044444444444443E-2</v>
      </c>
      <c r="C13" s="147">
        <f ca="1">IF(OR('Données projet'!B16="",'Données projet'!C16="",'Données projet'!C16=0%),0,Calculateur!FJ3)</f>
        <v>302.04287561738482</v>
      </c>
      <c r="D13" s="147">
        <f>IF(OR('Données projet'!B16="",'Données projet'!C16="",'Données projet'!C16=0%),0,Calculateur!FK3)</f>
        <v>296.09828774694802</v>
      </c>
      <c r="E13" s="147">
        <f t="shared" ca="1" si="0"/>
        <v>296.09828774694802</v>
      </c>
      <c r="F13" s="147">
        <f t="shared" ca="1" si="1"/>
        <v>23.819462258754481</v>
      </c>
      <c r="G13" s="147">
        <f ca="1">F13*(100%-'Données projet'!$C$24)*(100%-'Données projet'!$C$25)*(100%-'Données projet'!$C$26)*(100%-'Données projet'!$C$27)</f>
        <v>19.293764429591128</v>
      </c>
      <c r="H13" s="155">
        <f>IF(OR('Données projet'!B16="",'Données projet'!C16="",'Données projet'!C16=0%),0,AVERAGE(Calculateur!$FT$3:$FT$33)*B13)</f>
        <v>0.20650419426763042</v>
      </c>
      <c r="I13" s="149">
        <f>H13*(100%-'Données projet'!$C$24)*(100%-'Données projet'!$C$25)*(100%-'Données projet'!$C$26)*(100%-'Données projet'!$C$27)</f>
        <v>0.16726839735678065</v>
      </c>
      <c r="J13" s="150">
        <f>IF(OR('Données projet'!C16="",'Données projet'!C16=0%),0,SUM(Calculateur!$FM$3:$FM$33)*VLOOKUP('Données projet'!$B$16,Paramètres!$A$1:$I$89,9,0)*B13)</f>
        <v>1.1061111111111108</v>
      </c>
      <c r="K13" s="151">
        <f>J13*(100%-'Données projet'!$C$24)*(100%-'Données projet'!$C$25)*(100%-'Données projet'!$C$26)*(100%-'Données projet'!$C$27)</f>
        <v>0.8959499999999998</v>
      </c>
      <c r="L13" s="152">
        <f t="shared" ca="1" si="2"/>
        <v>20.35698282694791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Chêne pédonculé</v>
      </c>
      <c r="B14" s="154">
        <f>'Données projet'!D17</f>
        <v>0.67372222222222222</v>
      </c>
      <c r="C14" s="147">
        <f ca="1">IF(OR('Données projet'!B17="",'Données projet'!C17="",'Données projet'!C17=0%),0,Calculateur!GE3)</f>
        <v>385.41819366740276</v>
      </c>
      <c r="D14" s="147">
        <f>IF(OR('Données projet'!B17="",'Données projet'!C17="",'Données projet'!C17=0%),0,Calculateur!GF3)</f>
        <v>262.4625391252718</v>
      </c>
      <c r="E14" s="147">
        <f t="shared" ca="1" si="0"/>
        <v>262.4625391252718</v>
      </c>
      <c r="F14" s="147">
        <f t="shared" ca="1" si="1"/>
        <v>176.82684510956506</v>
      </c>
      <c r="G14" s="147">
        <f ca="1">F14*(100%-'Données projet'!$C$24)*(100%-'Données projet'!$C$25)*(100%-'Données projet'!$C$26)*(100%-'Données projet'!$C$27)</f>
        <v>143.2297445387477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143.2297445387477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1407.5064057485092</v>
      </c>
      <c r="G16" s="166">
        <f t="shared" ca="1" si="3"/>
        <v>1140.0801886562924</v>
      </c>
      <c r="H16" s="167">
        <f t="shared" si="3"/>
        <v>0.20650419426763042</v>
      </c>
      <c r="I16" s="167">
        <f t="shared" si="3"/>
        <v>0.16726839735678065</v>
      </c>
      <c r="J16" s="168">
        <f t="shared" si="3"/>
        <v>9.8167361111111084</v>
      </c>
      <c r="K16" s="168">
        <f t="shared" si="3"/>
        <v>7.9515562499999985</v>
      </c>
      <c r="L16" s="169">
        <f t="shared" ca="1" si="3"/>
        <v>1148.1990133036493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tauzin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Merisier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Chêne pédonculé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11" zoomScale="80" zoomScaleNormal="80" workbookViewId="0">
      <selection activeCell="U31" sqref="U3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5" t="s">
        <v>315</v>
      </c>
      <c r="I4" s="265"/>
      <c r="K4" s="307" t="s">
        <v>253</v>
      </c>
      <c r="L4" s="30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9" t="s">
        <v>310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-5588.0544100256611</v>
      </c>
      <c r="U10" s="178">
        <f>'Données projet'!D9</f>
        <v>1.4379444444444442</v>
      </c>
      <c r="V10" s="177">
        <f>U10*T10</f>
        <v>-8035.3117941496757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-7185.3982776768562</v>
      </c>
      <c r="U11" s="178">
        <f>'Données projet'!D10</f>
        <v>0.27150000000000002</v>
      </c>
      <c r="V11" s="177">
        <f t="shared" ref="V11" si="0">U11*T11</f>
        <v>-1950.8356323892665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tauzin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-7866.5763571682128</v>
      </c>
      <c r="U12" s="178">
        <f>'Données projet'!D11</f>
        <v>0.27150000000000002</v>
      </c>
      <c r="V12" s="177">
        <f t="shared" ref="V12:V19" si="1">U12*T12</f>
        <v>-2135.7754809711701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-3342.9759978640855</v>
      </c>
      <c r="U13" s="178">
        <f>'Données projet'!D12</f>
        <v>1.448</v>
      </c>
      <c r="V13" s="177">
        <f t="shared" si="1"/>
        <v>-4840.6292449071952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-5497.435570009714</v>
      </c>
      <c r="U14" s="178">
        <f>'Données projet'!D13</f>
        <v>0.35194444444444439</v>
      </c>
      <c r="V14" s="177">
        <f t="shared" si="1"/>
        <v>-1934.7919075561963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1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-8794.612484645193</v>
      </c>
      <c r="U15" s="178">
        <f>'Données projet'!D14</f>
        <v>0.22122222222222218</v>
      </c>
      <c r="V15" s="177">
        <f t="shared" si="1"/>
        <v>-1945.5637174365083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0"/>
      <c r="H16" s="190"/>
      <c r="I16" s="191"/>
      <c r="J16" s="202"/>
      <c r="K16" s="208"/>
      <c r="L16" s="307" t="s">
        <v>254</v>
      </c>
      <c r="M16" s="308"/>
      <c r="N16" s="2"/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-10145.742708738195</v>
      </c>
      <c r="U16" s="178">
        <f>'Données projet'!D15</f>
        <v>8.044444444444443E-2</v>
      </c>
      <c r="V16" s="177">
        <f t="shared" si="1"/>
        <v>-816.16863568071687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(330+570+330+(500/5.4))+((1.25+0.8+0.18)*2210/'Données projet'!D9)</f>
        <v>4749.9155458823971</v>
      </c>
      <c r="F17" s="230"/>
      <c r="G17" s="310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Merisier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-5444.7376096334428</v>
      </c>
      <c r="U17" s="178">
        <f>'Données projet'!D16</f>
        <v>8.044444444444443E-2</v>
      </c>
      <c r="V17" s="177">
        <f t="shared" si="1"/>
        <v>-437.99889215273464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310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>Chêne pédonculé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-6576.9754199116833</v>
      </c>
      <c r="U18" s="178">
        <f>'Données projet'!D17</f>
        <v>0.67372222222222222</v>
      </c>
      <c r="V18" s="177">
        <f t="shared" si="1"/>
        <v>-4431.0544954038323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1542.4873318823595</v>
      </c>
      <c r="F19" s="230"/>
      <c r="G19" s="310"/>
      <c r="H19" s="212" t="s">
        <v>178</v>
      </c>
      <c r="I19" s="212" t="s">
        <v>287</v>
      </c>
      <c r="J19" s="93"/>
      <c r="K19" s="173"/>
      <c r="L19" s="307" t="s">
        <v>288</v>
      </c>
      <c r="M19" s="30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310"/>
      <c r="H20" s="190">
        <v>1</v>
      </c>
      <c r="I20" s="191">
        <f>20+(400/'Données projet'!C5+20)+(200/'Données projet'!C5+10)</f>
        <v>160.49723756906079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66.832412523020253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43.21</v>
      </c>
      <c r="C23" s="193">
        <v>58</v>
      </c>
      <c r="D23" s="182">
        <f>B23*C23</f>
        <v>2506.1799999999998</v>
      </c>
      <c r="E23" s="193"/>
      <c r="F23" s="230"/>
      <c r="H23" s="190">
        <v>4</v>
      </c>
      <c r="I23" s="191">
        <v>20</v>
      </c>
      <c r="K23" s="208"/>
      <c r="L23" s="309" t="s">
        <v>260</v>
      </c>
      <c r="M23" s="309"/>
      <c r="N23" s="309"/>
      <c r="O23" s="23"/>
      <c r="P23" s="23"/>
      <c r="Q23" s="234"/>
      <c r="R23" s="23"/>
      <c r="S23" s="36" t="s">
        <v>264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-31867.64557615286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35.58</v>
      </c>
      <c r="C24" s="193">
        <v>58</v>
      </c>
      <c r="D24" s="182">
        <f t="shared" ref="D24:D42" si="2">B24*C24</f>
        <v>2063.64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565.00958768918292</v>
      </c>
      <c r="K24" s="208"/>
      <c r="O24" s="23"/>
      <c r="P24" s="23"/>
      <c r="Q24" s="234"/>
      <c r="R24" s="23"/>
      <c r="S24" s="36" t="s">
        <v>261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44.93</v>
      </c>
      <c r="C25" s="193">
        <v>58</v>
      </c>
      <c r="D25" s="182">
        <f t="shared" si="2"/>
        <v>2605.94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6">
        <f ca="1">T23-T24</f>
        <v>-31867.64557615286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49.91</v>
      </c>
      <c r="C26" s="193">
        <v>106</v>
      </c>
      <c r="D26" s="182">
        <f t="shared" si="2"/>
        <v>5290.46</v>
      </c>
      <c r="E26" s="193"/>
      <c r="F26" s="233"/>
      <c r="G26" s="229"/>
      <c r="H26" s="190">
        <v>7</v>
      </c>
      <c r="I26" s="191">
        <v>20</v>
      </c>
      <c r="K26" s="208"/>
      <c r="L26" s="293" t="s">
        <v>258</v>
      </c>
      <c r="M26" s="294"/>
      <c r="N26" s="294"/>
      <c r="O26" s="294"/>
      <c r="P26" s="295"/>
      <c r="Q26" s="234"/>
      <c r="R26" s="23"/>
      <c r="S26" s="186" t="s">
        <v>265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74</v>
      </c>
      <c r="B27" s="181">
        <f>'Données projet'!D40</f>
        <v>47.4</v>
      </c>
      <c r="C27" s="193">
        <v>106</v>
      </c>
      <c r="D27" s="182">
        <f t="shared" si="2"/>
        <v>5024.3999999999996</v>
      </c>
      <c r="E27" s="193"/>
      <c r="F27" s="233"/>
      <c r="G27" s="229"/>
      <c r="H27" s="190">
        <v>8</v>
      </c>
      <c r="I27" s="191">
        <v>20</v>
      </c>
      <c r="K27" s="208"/>
      <c r="L27" s="296"/>
      <c r="M27" s="297"/>
      <c r="N27" s="297"/>
      <c r="O27" s="297"/>
      <c r="P27" s="298"/>
      <c r="Q27" s="234"/>
      <c r="R27" s="23"/>
      <c r="S27" s="302" t="s">
        <v>267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84</v>
      </c>
      <c r="B28" s="181">
        <f>'Données projet'!D41</f>
        <v>61.47</v>
      </c>
      <c r="C28" s="193">
        <v>106</v>
      </c>
      <c r="D28" s="182">
        <f t="shared" si="2"/>
        <v>6515.82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 t="s">
        <v>329</v>
      </c>
      <c r="T28" s="23"/>
      <c r="U28" s="23">
        <v>-1625.3</v>
      </c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94</v>
      </c>
      <c r="B29" s="181">
        <f>'Données projet'!D42</f>
        <v>61.85</v>
      </c>
      <c r="C29" s="193">
        <v>106</v>
      </c>
      <c r="D29" s="182">
        <f t="shared" si="2"/>
        <v>6556.1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104</v>
      </c>
      <c r="B30" s="181">
        <f>'Données projet'!D43</f>
        <v>60.19</v>
      </c>
      <c r="C30" s="193">
        <v>106</v>
      </c>
      <c r="D30" s="182">
        <f t="shared" si="2"/>
        <v>6380.1399999999994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311">
        <f>SUM(E17:E22)*U10+SUM(E$48:E53)*U11+SUM(E79:E84)*U12+SUM(E110:E115)*U13+SUM(E141:E146)*U14+SUM(E172:E177)*U15+SUM(E203:E208)*U16+SUM(E234:E239)*U17+SUM(E265:E270)*U18+SUM(E296:E301)*U19+1798.2</f>
        <v>38790.725764403287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114</v>
      </c>
      <c r="B31" s="181">
        <f>'Données projet'!D44</f>
        <v>56.07</v>
      </c>
      <c r="C31" s="193">
        <v>106</v>
      </c>
      <c r="D31" s="182">
        <f t="shared" si="2"/>
        <v>5943.42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1292.9992592592594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124</v>
      </c>
      <c r="B32" s="181">
        <f>'Données projet'!D45</f>
        <v>52.53</v>
      </c>
      <c r="C32" s="193">
        <v>106</v>
      </c>
      <c r="D32" s="182">
        <f t="shared" si="2"/>
        <v>5568.18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134</v>
      </c>
      <c r="B33" s="181">
        <f>'Données projet'!D46</f>
        <v>54.95</v>
      </c>
      <c r="C33" s="193">
        <v>106</v>
      </c>
      <c r="D33" s="182">
        <f t="shared" si="2"/>
        <v>5824.7000000000007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41583.725023662548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144</v>
      </c>
      <c r="B34" s="181">
        <f>'Données projet'!D47</f>
        <v>56.01</v>
      </c>
      <c r="C34" s="193">
        <v>106</v>
      </c>
      <c r="D34" s="182">
        <f t="shared" si="2"/>
        <v>5937.0599999999995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154</v>
      </c>
      <c r="B35" s="181">
        <f>'Données projet'!D48</f>
        <v>55.13</v>
      </c>
      <c r="C35" s="193">
        <v>106</v>
      </c>
      <c r="D35" s="182">
        <f t="shared" si="2"/>
        <v>5843.7800000000007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164</v>
      </c>
      <c r="B36" s="181">
        <f>'Données projet'!D49</f>
        <v>59.58</v>
      </c>
      <c r="C36" s="193">
        <v>106</v>
      </c>
      <c r="D36" s="182">
        <f t="shared" si="2"/>
        <v>6315.48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174</v>
      </c>
      <c r="B37" s="181">
        <f>'Données projet'!D50</f>
        <v>214.77</v>
      </c>
      <c r="C37" s="193">
        <v>106</v>
      </c>
      <c r="D37" s="182">
        <f t="shared" si="2"/>
        <v>22765.620000000003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177</v>
      </c>
      <c r="B38" s="181">
        <f>'Données projet'!D51</f>
        <v>115.19</v>
      </c>
      <c r="C38" s="193">
        <v>106</v>
      </c>
      <c r="D38" s="182">
        <f t="shared" si="2"/>
        <v>12210.14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180</v>
      </c>
      <c r="B39" s="181">
        <f>'Données projet'!D52</f>
        <v>77.72</v>
      </c>
      <c r="C39" s="193">
        <v>106</v>
      </c>
      <c r="D39" s="182">
        <f t="shared" si="2"/>
        <v>8238.32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183</v>
      </c>
      <c r="B40" s="181">
        <f>'Données projet'!D53</f>
        <v>169.76</v>
      </c>
      <c r="C40" s="193">
        <v>106</v>
      </c>
      <c r="D40" s="182">
        <f t="shared" si="2"/>
        <v>17994.559999999998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(330+570+330+(500/5.4))+((1.25+0.8+0.18)*450/'Données projet'!D10)</f>
        <v>5018.7251892776749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1582.8087783916512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18.5</v>
      </c>
      <c r="D54" s="179">
        <f>B54*C54</f>
        <v>799.38499999999999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18.5</v>
      </c>
      <c r="D55" s="179">
        <f t="shared" ref="D55:D73" si="4">B55*C55</f>
        <v>658.23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18.5</v>
      </c>
      <c r="D56" s="179">
        <f t="shared" si="4"/>
        <v>831.20500000000004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32</v>
      </c>
      <c r="D57" s="179">
        <f t="shared" si="4"/>
        <v>1597.12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32</v>
      </c>
      <c r="D58" s="179">
        <f t="shared" si="4"/>
        <v>1516.8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32</v>
      </c>
      <c r="D59" s="179">
        <f t="shared" si="4"/>
        <v>1967.04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32</v>
      </c>
      <c r="D60" s="179">
        <f t="shared" si="4"/>
        <v>1979.2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32</v>
      </c>
      <c r="D61" s="179">
        <f t="shared" si="4"/>
        <v>1926.08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32</v>
      </c>
      <c r="D62" s="179">
        <f t="shared" si="4"/>
        <v>1794.24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32</v>
      </c>
      <c r="D63" s="179">
        <f t="shared" si="4"/>
        <v>1680.96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32</v>
      </c>
      <c r="D64" s="179">
        <f t="shared" si="4"/>
        <v>1758.4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32</v>
      </c>
      <c r="D65" s="179">
        <f t="shared" si="4"/>
        <v>1792.32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32</v>
      </c>
      <c r="D66" s="179">
        <f t="shared" si="4"/>
        <v>1764.16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32</v>
      </c>
      <c r="D67" s="179">
        <f t="shared" si="4"/>
        <v>1906.56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32</v>
      </c>
      <c r="D68" s="179">
        <f t="shared" si="4"/>
        <v>6872.64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32</v>
      </c>
      <c r="D69" s="179">
        <f t="shared" si="4"/>
        <v>3686.08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32</v>
      </c>
      <c r="D70" s="179">
        <f t="shared" si="4"/>
        <v>2487.04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32</v>
      </c>
      <c r="D71" s="179">
        <f t="shared" si="4"/>
        <v>5432.32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tauzin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(330+570+330+(500/5.4))+((1.65+0.8+0.18)*450/'Données projet'!D11)</f>
        <v>5681.708614692041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1682.256292203806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>
        <v>18.5</v>
      </c>
      <c r="D85" s="179">
        <f>B85*C85</f>
        <v>799.38499999999999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>
        <v>18.5</v>
      </c>
      <c r="D86" s="179">
        <f t="shared" ref="D86:D104" si="6">B86*C86</f>
        <v>658.23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>
        <v>18.5</v>
      </c>
      <c r="D87" s="179">
        <f t="shared" si="6"/>
        <v>831.20500000000004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>
        <v>32</v>
      </c>
      <c r="D88" s="179">
        <f t="shared" si="6"/>
        <v>1597.12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>
        <v>32</v>
      </c>
      <c r="D89" s="179">
        <f t="shared" si="6"/>
        <v>1516.8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>
        <v>32</v>
      </c>
      <c r="D90" s="179">
        <f t="shared" si="6"/>
        <v>1967.04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>
        <v>32</v>
      </c>
      <c r="D91" s="179">
        <f t="shared" si="6"/>
        <v>1979.2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>
        <v>32</v>
      </c>
      <c r="D92" s="179">
        <f t="shared" si="6"/>
        <v>1926.08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>
        <v>32</v>
      </c>
      <c r="D93" s="179">
        <f t="shared" si="6"/>
        <v>1794.24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>
        <v>32</v>
      </c>
      <c r="D94" s="179">
        <f t="shared" si="6"/>
        <v>1680.96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>
        <v>32</v>
      </c>
      <c r="D95" s="179">
        <f t="shared" si="6"/>
        <v>1758.4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>
        <v>32</v>
      </c>
      <c r="D96" s="179">
        <f t="shared" si="6"/>
        <v>1792.32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>
        <v>32</v>
      </c>
      <c r="D97" s="179">
        <f t="shared" si="6"/>
        <v>1764.16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>
        <v>32</v>
      </c>
      <c r="D98" s="179">
        <f t="shared" si="6"/>
        <v>1906.56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>
        <v>32</v>
      </c>
      <c r="D99" s="179">
        <f t="shared" si="6"/>
        <v>6872.64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>
        <v>32</v>
      </c>
      <c r="D100" s="179">
        <f t="shared" si="6"/>
        <v>3686.08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>
        <v>32</v>
      </c>
      <c r="D101" s="179">
        <f t="shared" si="6"/>
        <v>2487.04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>
        <v>32</v>
      </c>
      <c r="D102" s="179">
        <f t="shared" si="6"/>
        <v>5432.32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(330+570+330+(500/5.4))+((0.64+0.8+0.18)*2295/'Données projet'!D12)</f>
        <v>3890.2030898301614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400+430+15%*E110</f>
        <v>1413.5304634745241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18.5</v>
      </c>
      <c r="D116" s="179">
        <f>B116*C116</f>
        <v>799.38499999999999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18.5</v>
      </c>
      <c r="D117" s="179">
        <f t="shared" ref="D117:D135" si="8">B117*C117</f>
        <v>658.23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18.5</v>
      </c>
      <c r="D118" s="179">
        <f t="shared" si="8"/>
        <v>831.20500000000004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32</v>
      </c>
      <c r="D119" s="179">
        <f t="shared" si="8"/>
        <v>1597.12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32</v>
      </c>
      <c r="D120" s="179">
        <f t="shared" si="8"/>
        <v>1516.8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32</v>
      </c>
      <c r="D121" s="179">
        <f t="shared" si="8"/>
        <v>1967.04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32</v>
      </c>
      <c r="D122" s="179">
        <f t="shared" si="8"/>
        <v>1979.2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32</v>
      </c>
      <c r="D123" s="179">
        <f t="shared" si="8"/>
        <v>1926.08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32</v>
      </c>
      <c r="D124" s="179">
        <f t="shared" si="8"/>
        <v>1794.24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32</v>
      </c>
      <c r="D125" s="179">
        <f t="shared" si="8"/>
        <v>1680.96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32</v>
      </c>
      <c r="D126" s="179">
        <f t="shared" si="8"/>
        <v>1758.4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32</v>
      </c>
      <c r="D127" s="179">
        <f t="shared" si="8"/>
        <v>1792.32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32</v>
      </c>
      <c r="D128" s="179">
        <f t="shared" si="8"/>
        <v>1764.16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32</v>
      </c>
      <c r="D129" s="179">
        <f t="shared" si="8"/>
        <v>1906.56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32</v>
      </c>
      <c r="D130" s="179">
        <f t="shared" si="8"/>
        <v>6872.64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32</v>
      </c>
      <c r="D131" s="179">
        <f t="shared" si="8"/>
        <v>3686.08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32</v>
      </c>
      <c r="D132" s="179">
        <f t="shared" si="8"/>
        <v>2487.04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32</v>
      </c>
      <c r="D133" s="179">
        <f t="shared" si="8"/>
        <v>5432.32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(330+570+330+(500/5.4))+((1.17+0.8+0.18)*585/'Données projet'!D13)</f>
        <v>4896.3100353708096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>220+430</f>
        <v>650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400+430+15%*E141</f>
        <v>1564.4465053056215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f>220+430</f>
        <v>650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5">
        <f>'Données projet'!D140</f>
        <v>15</v>
      </c>
      <c r="C147" s="191">
        <v>5</v>
      </c>
      <c r="D147" s="182">
        <f>B147*C147</f>
        <v>75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28</v>
      </c>
      <c r="C148" s="191">
        <v>5</v>
      </c>
      <c r="D148" s="182">
        <f t="shared" ref="D148:D166" si="10">B148*C148</f>
        <v>140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5">
        <f>'Données projet'!D142</f>
        <v>28</v>
      </c>
      <c r="C149" s="191">
        <v>5</v>
      </c>
      <c r="D149" s="182">
        <f t="shared" si="10"/>
        <v>140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5">
        <f>'Données projet'!D143</f>
        <v>28</v>
      </c>
      <c r="C150" s="191">
        <v>5</v>
      </c>
      <c r="D150" s="182">
        <f t="shared" si="10"/>
        <v>140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5">
        <f>'Données projet'!D144</f>
        <v>28</v>
      </c>
      <c r="C151" s="191">
        <v>5</v>
      </c>
      <c r="D151" s="182">
        <f t="shared" si="10"/>
        <v>140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5">
        <f>'Données projet'!D145</f>
        <v>28</v>
      </c>
      <c r="C152" s="191">
        <v>5</v>
      </c>
      <c r="D152" s="182">
        <f t="shared" si="10"/>
        <v>140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5">
        <f>'Données projet'!D146</f>
        <v>22</v>
      </c>
      <c r="C153" s="191">
        <v>15.5</v>
      </c>
      <c r="D153" s="182">
        <f t="shared" si="10"/>
        <v>341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5">
        <f>'Données projet'!D147</f>
        <v>17</v>
      </c>
      <c r="C154" s="191">
        <v>15.5</v>
      </c>
      <c r="D154" s="182">
        <f t="shared" si="10"/>
        <v>263.5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5">
        <f>'Données projet'!D148</f>
        <v>13</v>
      </c>
      <c r="C155" s="191">
        <v>15.5</v>
      </c>
      <c r="D155" s="182">
        <f t="shared" si="10"/>
        <v>201.5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5">
        <f>'Données projet'!D149</f>
        <v>12</v>
      </c>
      <c r="C156" s="191">
        <v>15.5</v>
      </c>
      <c r="D156" s="182">
        <f t="shared" si="10"/>
        <v>186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5">
        <f>'Données projet'!D150</f>
        <v>11</v>
      </c>
      <c r="C157" s="191">
        <v>26</v>
      </c>
      <c r="D157" s="182">
        <f t="shared" si="10"/>
        <v>286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5">
        <f>'Données projet'!D151</f>
        <v>10</v>
      </c>
      <c r="C158" s="191">
        <v>26</v>
      </c>
      <c r="D158" s="182">
        <f t="shared" si="10"/>
        <v>260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5">
        <f>'Données projet'!D152</f>
        <v>9</v>
      </c>
      <c r="C159" s="191">
        <v>26</v>
      </c>
      <c r="D159" s="182">
        <f t="shared" si="10"/>
        <v>234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5">
        <f>'Données projet'!D153</f>
        <v>275</v>
      </c>
      <c r="C160" s="191">
        <v>26</v>
      </c>
      <c r="D160" s="182">
        <f t="shared" si="10"/>
        <v>7150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(330+570+330+(500/5.4))+((2.6+0.8+0.18)*325/'Données projet'!D14)</f>
        <v>6582.0099707945028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f>220+430</f>
        <v>650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f>400+430+15%*E172</f>
        <v>1817.3014956191755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f>220+430</f>
        <v>650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42</v>
      </c>
      <c r="B178" s="181">
        <f>'Données projet'!D166</f>
        <v>43.21</v>
      </c>
      <c r="C178" s="193">
        <v>21.5</v>
      </c>
      <c r="D178" s="179">
        <f>B178*C178</f>
        <v>929.01499999999999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50</v>
      </c>
      <c r="B179" s="181">
        <f>'Données projet'!D167</f>
        <v>35.58</v>
      </c>
      <c r="C179" s="193">
        <v>21.5</v>
      </c>
      <c r="D179" s="179">
        <f t="shared" ref="D179:D197" si="11">B179*C179</f>
        <v>764.96999999999991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58</v>
      </c>
      <c r="B180" s="181">
        <f>'Données projet'!D168</f>
        <v>44.93</v>
      </c>
      <c r="C180" s="193">
        <v>21.5</v>
      </c>
      <c r="D180" s="179">
        <f t="shared" si="11"/>
        <v>965.995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66</v>
      </c>
      <c r="B181" s="181">
        <f>'Données projet'!D169</f>
        <v>49.91</v>
      </c>
      <c r="C181" s="193">
        <v>38</v>
      </c>
      <c r="D181" s="179">
        <f t="shared" si="11"/>
        <v>1896.58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74</v>
      </c>
      <c r="B182" s="181">
        <f>'Données projet'!D170</f>
        <v>47.4</v>
      </c>
      <c r="C182" s="193">
        <v>38</v>
      </c>
      <c r="D182" s="179">
        <f t="shared" si="11"/>
        <v>1801.2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84</v>
      </c>
      <c r="B183" s="181">
        <f>'Données projet'!D171</f>
        <v>61.47</v>
      </c>
      <c r="C183" s="193">
        <v>38</v>
      </c>
      <c r="D183" s="179">
        <f t="shared" si="11"/>
        <v>2335.86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94</v>
      </c>
      <c r="B184" s="181">
        <f>'Données projet'!D172</f>
        <v>61.85</v>
      </c>
      <c r="C184" s="193">
        <v>38</v>
      </c>
      <c r="D184" s="179">
        <f t="shared" si="11"/>
        <v>2350.3000000000002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104</v>
      </c>
      <c r="B185" s="181">
        <f>'Données projet'!D173</f>
        <v>60.19</v>
      </c>
      <c r="C185" s="193">
        <v>38</v>
      </c>
      <c r="D185" s="179">
        <f t="shared" si="11"/>
        <v>2287.2199999999998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114</v>
      </c>
      <c r="B186" s="181">
        <f>'Données projet'!D174</f>
        <v>56.07</v>
      </c>
      <c r="C186" s="193">
        <v>38</v>
      </c>
      <c r="D186" s="179">
        <f t="shared" si="11"/>
        <v>2130.66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124</v>
      </c>
      <c r="B187" s="181">
        <f>'Données projet'!D175</f>
        <v>52.53</v>
      </c>
      <c r="C187" s="193">
        <v>38</v>
      </c>
      <c r="D187" s="179">
        <f t="shared" si="11"/>
        <v>1996.14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134</v>
      </c>
      <c r="B188" s="181">
        <f>'Données projet'!D176</f>
        <v>54.95</v>
      </c>
      <c r="C188" s="193">
        <v>38</v>
      </c>
      <c r="D188" s="179">
        <f t="shared" si="11"/>
        <v>2088.1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144</v>
      </c>
      <c r="B189" s="181">
        <f>'Données projet'!D177</f>
        <v>56.01</v>
      </c>
      <c r="C189" s="193">
        <v>38</v>
      </c>
      <c r="D189" s="179">
        <f t="shared" si="11"/>
        <v>2128.38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154</v>
      </c>
      <c r="B190" s="181">
        <f>'Données projet'!D178</f>
        <v>55.13</v>
      </c>
      <c r="C190" s="193">
        <v>38</v>
      </c>
      <c r="D190" s="179">
        <f t="shared" si="11"/>
        <v>2094.94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164</v>
      </c>
      <c r="B191" s="181">
        <f>'Données projet'!D179</f>
        <v>59.58</v>
      </c>
      <c r="C191" s="193">
        <v>38</v>
      </c>
      <c r="D191" s="179">
        <f t="shared" si="11"/>
        <v>2264.04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174</v>
      </c>
      <c r="B192" s="181">
        <f>'Données projet'!D180</f>
        <v>214.77</v>
      </c>
      <c r="C192" s="193">
        <v>38</v>
      </c>
      <c r="D192" s="179">
        <f t="shared" si="11"/>
        <v>8161.26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177</v>
      </c>
      <c r="B193" s="181">
        <f>'Données projet'!D181</f>
        <v>115.19</v>
      </c>
      <c r="C193" s="193">
        <v>38</v>
      </c>
      <c r="D193" s="179">
        <f t="shared" si="11"/>
        <v>4377.22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180</v>
      </c>
      <c r="B194" s="181">
        <f>'Données projet'!D182</f>
        <v>77.72</v>
      </c>
      <c r="C194" s="193">
        <v>38</v>
      </c>
      <c r="D194" s="179">
        <f t="shared" si="11"/>
        <v>2953.36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183</v>
      </c>
      <c r="B195" s="181">
        <f>'Données projet'!D183</f>
        <v>169.76</v>
      </c>
      <c r="C195" s="193">
        <v>38</v>
      </c>
      <c r="D195" s="179">
        <f t="shared" si="11"/>
        <v>6450.8799999999992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(330+570+330+(500/5.4))+((3.55+0.8+0.18)*110/'Données projet'!D15)</f>
        <v>7516.9296091671786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f>220+430</f>
        <v>650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f>400+430+15%*E203</f>
        <v>1957.5394413750766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>
        <f>220+430</f>
        <v>650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42</v>
      </c>
      <c r="B209" s="181">
        <f>'Données projet'!D192</f>
        <v>43.21</v>
      </c>
      <c r="C209" s="193">
        <v>12.5</v>
      </c>
      <c r="D209" s="179">
        <f>B209*C209</f>
        <v>540.125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50</v>
      </c>
      <c r="B210" s="181">
        <f>'Données projet'!D193</f>
        <v>35.58</v>
      </c>
      <c r="C210" s="193">
        <v>12.5</v>
      </c>
      <c r="D210" s="179">
        <f t="shared" ref="D210:D228" si="12">B210*C210</f>
        <v>444.75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58</v>
      </c>
      <c r="B211" s="181">
        <f>'Données projet'!D194</f>
        <v>44.93</v>
      </c>
      <c r="C211" s="193">
        <v>12.5</v>
      </c>
      <c r="D211" s="179">
        <f t="shared" si="12"/>
        <v>561.625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66</v>
      </c>
      <c r="B212" s="181">
        <f>'Données projet'!D195</f>
        <v>49.91</v>
      </c>
      <c r="C212" s="193">
        <v>20</v>
      </c>
      <c r="D212" s="179">
        <f t="shared" si="12"/>
        <v>998.19999999999993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74</v>
      </c>
      <c r="B213" s="181">
        <f>'Données projet'!D196</f>
        <v>47.4</v>
      </c>
      <c r="C213" s="193">
        <v>20</v>
      </c>
      <c r="D213" s="179">
        <f t="shared" si="12"/>
        <v>948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84</v>
      </c>
      <c r="B214" s="181">
        <f>'Données projet'!D197</f>
        <v>61.47</v>
      </c>
      <c r="C214" s="193">
        <v>20</v>
      </c>
      <c r="D214" s="179">
        <f t="shared" si="12"/>
        <v>1229.4000000000001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94</v>
      </c>
      <c r="B215" s="181">
        <f>'Données projet'!D198</f>
        <v>61.85</v>
      </c>
      <c r="C215" s="193">
        <v>20</v>
      </c>
      <c r="D215" s="179">
        <f t="shared" si="12"/>
        <v>1237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104</v>
      </c>
      <c r="B216" s="181">
        <f>'Données projet'!D199</f>
        <v>60.19</v>
      </c>
      <c r="C216" s="193">
        <v>20</v>
      </c>
      <c r="D216" s="179">
        <f t="shared" si="12"/>
        <v>1203.8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114</v>
      </c>
      <c r="B217" s="181">
        <f>'Données projet'!D200</f>
        <v>56.07</v>
      </c>
      <c r="C217" s="193">
        <v>20</v>
      </c>
      <c r="D217" s="179">
        <f t="shared" si="12"/>
        <v>1121.4000000000001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124</v>
      </c>
      <c r="B218" s="181">
        <f>'Données projet'!D201</f>
        <v>52.53</v>
      </c>
      <c r="C218" s="193">
        <v>20</v>
      </c>
      <c r="D218" s="179">
        <f t="shared" si="12"/>
        <v>1050.5999999999999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134</v>
      </c>
      <c r="B219" s="181">
        <f>'Données projet'!D202</f>
        <v>54.95</v>
      </c>
      <c r="C219" s="193">
        <v>20</v>
      </c>
      <c r="D219" s="179">
        <f t="shared" si="12"/>
        <v>1099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144</v>
      </c>
      <c r="B220" s="181">
        <f>'Données projet'!D203</f>
        <v>56.01</v>
      </c>
      <c r="C220" s="193">
        <v>20</v>
      </c>
      <c r="D220" s="179">
        <f t="shared" si="12"/>
        <v>1120.2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154</v>
      </c>
      <c r="B221" s="181">
        <f>'Données projet'!D204</f>
        <v>55.13</v>
      </c>
      <c r="C221" s="193">
        <v>20</v>
      </c>
      <c r="D221" s="179">
        <f t="shared" si="12"/>
        <v>1102.6000000000001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164</v>
      </c>
      <c r="B222" s="181">
        <f>'Données projet'!D205</f>
        <v>59.58</v>
      </c>
      <c r="C222" s="193">
        <v>20</v>
      </c>
      <c r="D222" s="179">
        <f t="shared" si="12"/>
        <v>1191.5999999999999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174</v>
      </c>
      <c r="B223" s="181">
        <f>'Données projet'!D206</f>
        <v>214.77</v>
      </c>
      <c r="C223" s="193">
        <v>20</v>
      </c>
      <c r="D223" s="179">
        <f t="shared" si="12"/>
        <v>4295.4000000000005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177</v>
      </c>
      <c r="B224" s="181">
        <f>'Données projet'!D207</f>
        <v>115.19</v>
      </c>
      <c r="C224" s="193">
        <v>20</v>
      </c>
      <c r="D224" s="179">
        <f t="shared" si="12"/>
        <v>2303.8000000000002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180</v>
      </c>
      <c r="B225" s="181">
        <f>'Données projet'!D208</f>
        <v>77.72</v>
      </c>
      <c r="C225" s="193">
        <v>20</v>
      </c>
      <c r="D225" s="179">
        <f t="shared" si="12"/>
        <v>1554.4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183</v>
      </c>
      <c r="B226" s="181">
        <f>'Données projet'!D209</f>
        <v>169.76</v>
      </c>
      <c r="C226" s="193">
        <v>20</v>
      </c>
      <c r="D226" s="179">
        <f t="shared" si="12"/>
        <v>3395.2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Merisier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(330+570+330+(500/5.4))+((1.5+0.8+0.18)*110/'Données projet'!D16)</f>
        <v>4713.7528135870689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f>220+430</f>
        <v>650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f>400+430+15%*E234</f>
        <v>1537.0629220380602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>
        <f>220+430</f>
        <v>650</v>
      </c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15</v>
      </c>
      <c r="B240" s="181">
        <f>'Données projet'!D218</f>
        <v>3</v>
      </c>
      <c r="C240" s="193">
        <v>5</v>
      </c>
      <c r="D240" s="179">
        <f>B240*C240</f>
        <v>15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20</v>
      </c>
      <c r="B241" s="181">
        <f>'Données projet'!D219</f>
        <v>25</v>
      </c>
      <c r="C241" s="193">
        <v>5</v>
      </c>
      <c r="D241" s="179">
        <f t="shared" ref="D241:D259" si="13">B241*C241</f>
        <v>125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25</v>
      </c>
      <c r="B242" s="181">
        <f>'Données projet'!D220</f>
        <v>27</v>
      </c>
      <c r="C242" s="193">
        <v>5</v>
      </c>
      <c r="D242" s="179">
        <f t="shared" si="13"/>
        <v>135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31</v>
      </c>
      <c r="B243" s="181">
        <f>'Données projet'!D221</f>
        <v>36</v>
      </c>
      <c r="C243" s="193">
        <v>38</v>
      </c>
      <c r="D243" s="179">
        <f t="shared" si="13"/>
        <v>1368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37</v>
      </c>
      <c r="B244" s="181">
        <f>'Données projet'!D222</f>
        <v>36</v>
      </c>
      <c r="C244" s="193">
        <v>38</v>
      </c>
      <c r="D244" s="179">
        <f t="shared" si="13"/>
        <v>1368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44</v>
      </c>
      <c r="B245" s="181">
        <f>'Données projet'!D223</f>
        <v>43</v>
      </c>
      <c r="C245" s="193">
        <v>38</v>
      </c>
      <c r="D245" s="179">
        <f t="shared" si="13"/>
        <v>1634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52</v>
      </c>
      <c r="B246" s="181">
        <f>'Données projet'!D224</f>
        <v>48</v>
      </c>
      <c r="C246" s="193">
        <v>38</v>
      </c>
      <c r="D246" s="179">
        <f t="shared" si="13"/>
        <v>1824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60</v>
      </c>
      <c r="B247" s="181">
        <f>'Données projet'!D225</f>
        <v>47</v>
      </c>
      <c r="C247" s="193">
        <v>38</v>
      </c>
      <c r="D247" s="179">
        <f t="shared" si="13"/>
        <v>1786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69</v>
      </c>
      <c r="B248" s="181">
        <f>'Données projet'!D226</f>
        <v>328</v>
      </c>
      <c r="C248" s="193">
        <v>38</v>
      </c>
      <c r="D248" s="179">
        <f t="shared" si="13"/>
        <v>12464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Chêne pédonculé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f>(330+570+330+(500/5.4))+((1.6+0.8+0.18)*1080/'Données projet'!D17)</f>
        <v>5458.4217341774875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f>220+430</f>
        <v>650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f>400+430+15%*E265</f>
        <v>1648.7632601266232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>
        <f>220+430</f>
        <v>650</v>
      </c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38</v>
      </c>
      <c r="B271" s="181">
        <f>'Données projet'!D244</f>
        <v>69.08</v>
      </c>
      <c r="C271" s="193">
        <v>5</v>
      </c>
      <c r="D271" s="179">
        <f>B271*C271</f>
        <v>345.4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45</v>
      </c>
      <c r="B272" s="181">
        <f>'Données projet'!D245</f>
        <v>39.119999999999997</v>
      </c>
      <c r="C272" s="193">
        <v>54.5</v>
      </c>
      <c r="D272" s="179">
        <f t="shared" ref="D272:D290" si="14">B272*C272</f>
        <v>2132.04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52</v>
      </c>
      <c r="B273" s="181">
        <f>'Données projet'!D246</f>
        <v>40.9</v>
      </c>
      <c r="C273" s="193">
        <v>54.5</v>
      </c>
      <c r="D273" s="179">
        <f t="shared" si="14"/>
        <v>2229.0499999999997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59</v>
      </c>
      <c r="B274" s="181">
        <f>'Données projet'!D247</f>
        <v>38.119999999999997</v>
      </c>
      <c r="C274" s="193">
        <v>54.5</v>
      </c>
      <c r="D274" s="179">
        <f t="shared" si="14"/>
        <v>2077.54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67</v>
      </c>
      <c r="B275" s="181">
        <f>'Données projet'!D248</f>
        <v>38.229999999999997</v>
      </c>
      <c r="C275" s="193">
        <v>104</v>
      </c>
      <c r="D275" s="179">
        <f t="shared" si="14"/>
        <v>3975.9199999999996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75</v>
      </c>
      <c r="B276" s="181">
        <f>'Données projet'!D249</f>
        <v>38.909999999999997</v>
      </c>
      <c r="C276" s="193">
        <v>104</v>
      </c>
      <c r="D276" s="179">
        <f t="shared" si="14"/>
        <v>4046.6399999999994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83</v>
      </c>
      <c r="B277" s="181">
        <f>'Données projet'!D250</f>
        <v>44.22</v>
      </c>
      <c r="C277" s="193">
        <v>104</v>
      </c>
      <c r="D277" s="179">
        <f t="shared" si="14"/>
        <v>4598.88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93</v>
      </c>
      <c r="B278" s="181">
        <f>'Données projet'!D251</f>
        <v>59.26</v>
      </c>
      <c r="C278" s="193">
        <v>104</v>
      </c>
      <c r="D278" s="179">
        <f t="shared" si="14"/>
        <v>6163.04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103</v>
      </c>
      <c r="B279" s="181">
        <f>'Données projet'!D252</f>
        <v>58.98</v>
      </c>
      <c r="C279" s="193">
        <v>104</v>
      </c>
      <c r="D279" s="179">
        <f t="shared" si="14"/>
        <v>6133.92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113</v>
      </c>
      <c r="B280" s="181">
        <f>'Données projet'!D253</f>
        <v>59.52</v>
      </c>
      <c r="C280" s="193">
        <v>104</v>
      </c>
      <c r="D280" s="179">
        <f t="shared" si="14"/>
        <v>6190.08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123</v>
      </c>
      <c r="B281" s="181">
        <f>'Données projet'!D254</f>
        <v>175.3</v>
      </c>
      <c r="C281" s="193">
        <v>104</v>
      </c>
      <c r="D281" s="179">
        <f t="shared" si="14"/>
        <v>18231.2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125</v>
      </c>
      <c r="B282" s="181">
        <f>'Données projet'!D255</f>
        <v>60.7</v>
      </c>
      <c r="C282" s="193">
        <v>104</v>
      </c>
      <c r="D282" s="179">
        <f t="shared" si="14"/>
        <v>6312.8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127</v>
      </c>
      <c r="B283" s="181">
        <f>'Données projet'!D256</f>
        <v>39.56</v>
      </c>
      <c r="C283" s="193">
        <v>104</v>
      </c>
      <c r="D283" s="179">
        <f t="shared" si="14"/>
        <v>4114.24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130</v>
      </c>
      <c r="B284" s="181">
        <f>'Données projet'!D257</f>
        <v>96.57</v>
      </c>
      <c r="C284" s="193">
        <v>104</v>
      </c>
      <c r="D284" s="179">
        <f t="shared" si="14"/>
        <v>10043.279999999999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bb971718bb2028cd8daa6c70d6774c88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de9eda1bc47a0c80adf8b42312680782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C23F94-70D5-4D42-AB93-8BD3115A0F9D}"/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37d24cdf-bbc6-4946-8747-982d14624cd4"/>
    <ds:schemaRef ds:uri="http://purl.org/dc/dcmitype/"/>
    <ds:schemaRef ds:uri="4a0a9159-faee-4929-bc18-6e0874945fe3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2025-12-12T16:10:09Z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