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\\Bureautique\agences et bureaux\AGENCE NORD AUVERGNE BOURBONNAIS\_TIERS\_PROPRIETAIRES_\IND DE RIBAINS--AD9298\03 BOST--AD9298 1\LBC Reboisement--2025-TBO-17\LBC Montage dossier\"/>
    </mc:Choice>
  </mc:AlternateContent>
  <xr:revisionPtr revIDLastSave="0" documentId="13_ncr:1_{0AE25267-D0F9-410A-818A-8D1FC45441FB}" xr6:coauthVersionLast="47" xr6:coauthVersionMax="47" xr10:uidLastSave="{00000000-0000-0000-0000-000000000000}"/>
  <bookViews>
    <workbookView xWindow="2868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HI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B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<sst xmlns="http://schemas.openxmlformats.org/spreadsheetml/2006/main" count="1179" uniqueCount="325">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</sst>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2.5822836422111366</c:v>
                </c:pt>
                <c:pt idx="2">
                  <c:v>3.0918035815284672</c:v>
                </c:pt>
                <c:pt idx="3">
                  <c:v>3.7022337622707653</c:v>
                </c:pt>
                <c:pt idx="4">
                  <c:v>4.4336295362791462</c:v>
                </c:pt>
                <c:pt idx="5">
                  <c:v>5.3100452071463202</c:v>
                </c:pt>
                <c:pt idx="6">
                  <c:v>6.3603338288932347</c:v>
                </c:pt>
                <c:pt idx="7">
                  <c:v>7.6191074146970825</c:v>
                </c:pt>
                <c:pt idx="8">
                  <c:v>9.127889810760573</c:v>
                </c:pt>
                <c:pt idx="9">
                  <c:v>10.93650099145758</c:v>
                </c:pt>
                <c:pt idx="10">
                  <c:v>13.104719346021051</c:v>
                </c:pt>
                <c:pt idx="11">
                  <c:v>15.70427791998471</c:v>
                </c:pt>
                <c:pt idx="12">
                  <c:v>18.82126186594877</c:v>
                </c:pt>
                <c:pt idx="13">
                  <c:v>22.558987932416557</c:v>
                </c:pt>
                <c:pt idx="14">
                  <c:v>27.041463138816312</c:v>
                </c:pt>
                <c:pt idx="15">
                  <c:v>32.417539405558351</c:v>
                </c:pt>
                <c:pt idx="16">
                  <c:v>38.865904499125939</c:v>
                </c:pt>
                <c:pt idx="17">
                  <c:v>46.601078018602493</c:v>
                </c:pt>
                <c:pt idx="18">
                  <c:v>55.880615259949991</c:v>
                </c:pt>
                <c:pt idx="19">
                  <c:v>67.013762812651535</c:v>
                </c:pt>
                <c:pt idx="20">
                  <c:v>80.371859071508723</c:v>
                </c:pt>
                <c:pt idx="21">
                  <c:v>90.780755313309626</c:v>
                </c:pt>
                <c:pt idx="22">
                  <c:v>101.159756563508</c:v>
                </c:pt>
                <c:pt idx="23">
                  <c:v>111.5123681968909</c:v>
                </c:pt>
                <c:pt idx="24">
                  <c:v>121.84138944928242</c:v>
                </c:pt>
                <c:pt idx="25">
                  <c:v>132.14910489975807</c:v>
                </c:pt>
                <c:pt idx="26">
                  <c:v>130.30991517841125</c:v>
                </c:pt>
                <c:pt idx="27">
                  <c:v>143.17159315460219</c:v>
                </c:pt>
                <c:pt idx="28">
                  <c:v>156.00559553023251</c:v>
                </c:pt>
                <c:pt idx="29">
                  <c:v>168.81452176155747</c:v>
                </c:pt>
                <c:pt idx="30">
                  <c:v>181.60054396431892</c:v>
                </c:pt>
                <c:pt idx="31">
                  <c:v>158.20312733333307</c:v>
                </c:pt>
                <c:pt idx="32">
                  <c:v>173.20078203877526</c:v>
                </c:pt>
                <c:pt idx="33">
                  <c:v>188.16790577922816</c:v>
                </c:pt>
                <c:pt idx="34">
                  <c:v>203.10727009150989</c:v>
                </c:pt>
                <c:pt idx="35">
                  <c:v>218.0212050305845</c:v>
                </c:pt>
                <c:pt idx="36">
                  <c:v>232.91169554767978</c:v>
                </c:pt>
                <c:pt idx="37">
                  <c:v>247.78045187906764</c:v>
                </c:pt>
                <c:pt idx="38">
                  <c:v>262.62896212559764</c:v>
                </c:pt>
                <c:pt idx="39">
                  <c:v>277.4585323020433</c:v>
                </c:pt>
                <c:pt idx="40">
                  <c:v>292.27031736625912</c:v>
                </c:pt>
                <c:pt idx="41">
                  <c:v>231.27846408448485</c:v>
                </c:pt>
                <c:pt idx="42">
                  <c:v>246.3307552255809</c:v>
                </c:pt>
                <c:pt idx="43">
                  <c:v>261.36216312685821</c:v>
                </c:pt>
                <c:pt idx="44">
                  <c:v>276.37405808267039</c:v>
                </c:pt>
                <c:pt idx="45">
                  <c:v>291.36764931760496</c:v>
                </c:pt>
                <c:pt idx="46">
                  <c:v>306.34401140958011</c:v>
                </c:pt>
                <c:pt idx="47">
                  <c:v>321.30410527157443</c:v>
                </c:pt>
                <c:pt idx="48">
                  <c:v>336.24879501887341</c:v>
                </c:pt>
                <c:pt idx="49">
                  <c:v>351.17886167939037</c:v>
                </c:pt>
                <c:pt idx="50">
                  <c:v>366.09501444973085</c:v>
                </c:pt>
                <c:pt idx="51">
                  <c:v>304.54051042997594</c:v>
                </c:pt>
                <c:pt idx="52">
                  <c:v>318.60163823832028</c:v>
                </c:pt>
                <c:pt idx="53">
                  <c:v>332.64903051637594</c:v>
                </c:pt>
                <c:pt idx="54">
                  <c:v>346.6833490343534</c:v>
                </c:pt>
                <c:pt idx="55">
                  <c:v>360.70519760433939</c:v>
                </c:pt>
                <c:pt idx="56">
                  <c:v>374.71512925947087</c:v>
                </c:pt>
                <c:pt idx="57">
                  <c:v>388.71365230312955</c:v>
                </c:pt>
                <c:pt idx="58">
                  <c:v>402.70123544112147</c:v>
                </c:pt>
                <c:pt idx="59">
                  <c:v>416.67831216352192</c:v>
                </c:pt>
                <c:pt idx="60">
                  <c:v>430.64528450788276</c:v>
                </c:pt>
                <c:pt idx="61">
                  <c:v>367.89123357271319</c:v>
                </c:pt>
                <c:pt idx="62">
                  <c:v>380.45946570848565</c:v>
                </c:pt>
                <c:pt idx="63">
                  <c:v>393.01866845402583</c:v>
                </c:pt>
                <c:pt idx="64">
                  <c:v>405.5691710346951</c:v>
                </c:pt>
                <c:pt idx="65">
                  <c:v>418.11128063558363</c:v>
                </c:pt>
                <c:pt idx="66">
                  <c:v>430.64528450788276</c:v>
                </c:pt>
                <c:pt idx="67">
                  <c:v>443.17145181723487</c:v>
                </c:pt>
                <c:pt idx="68">
                  <c:v>455.69003527221395</c:v>
                </c:pt>
                <c:pt idx="69">
                  <c:v>468.20127256453492</c:v>
                </c:pt>
                <c:pt idx="70">
                  <c:v>480.70538764731242</c:v>
                </c:pt>
                <c:pt idx="71">
                  <c:v>416.49918364114728</c:v>
                </c:pt>
                <c:pt idx="72">
                  <c:v>427.42301388626561</c:v>
                </c:pt>
                <c:pt idx="73">
                  <c:v>438.34084207795428</c:v>
                </c:pt>
                <c:pt idx="74">
                  <c:v>449.25283880789584</c:v>
                </c:pt>
                <c:pt idx="75">
                  <c:v>460.1591657034491</c:v>
                </c:pt>
                <c:pt idx="76">
                  <c:v>471.05997610454273</c:v>
                </c:pt>
                <c:pt idx="77">
                  <c:v>481.95541567464835</c:v>
                </c:pt>
                <c:pt idx="78">
                  <c:v>492.84562295362895</c:v>
                </c:pt>
                <c:pt idx="79">
                  <c:v>503.73072985917673</c:v>
                </c:pt>
                <c:pt idx="80">
                  <c:v>514.6108621426564</c:v>
                </c:pt>
                <c:pt idx="81">
                  <c:v>449.61051233833081</c:v>
                </c:pt>
                <c:pt idx="82">
                  <c:v>459.62291917328116</c:v>
                </c:pt>
                <c:pt idx="83">
                  <c:v>469.63067067845645</c:v>
                </c:pt>
                <c:pt idx="84">
                  <c:v>479.63388006306394</c:v>
                </c:pt>
                <c:pt idx="85">
                  <c:v>489.63265542816299</c:v>
                </c:pt>
                <c:pt idx="86">
                  <c:v>499.62710009899541</c:v>
                </c:pt>
                <c:pt idx="87">
                  <c:v>509.61731292933717</c:v>
                </c:pt>
                <c:pt idx="88">
                  <c:v>519.60338858074385</c:v>
                </c:pt>
                <c:pt idx="89">
                  <c:v>529.58541777921187</c:v>
                </c:pt>
                <c:pt idx="90">
                  <c:v>539.56348755148269</c:v>
                </c:pt>
                <c:pt idx="91">
                  <c:v>473.38240056334774</c:v>
                </c:pt>
                <c:pt idx="92">
                  <c:v>482.13398547834157</c:v>
                </c:pt>
                <c:pt idx="93">
                  <c:v>490.88219577778841</c:v>
                </c:pt>
                <c:pt idx="94">
                  <c:v>499.62710009899541</c:v>
                </c:pt>
                <c:pt idx="95">
                  <c:v>508.36876447997906</c:v>
                </c:pt>
                <c:pt idx="96">
                  <c:v>517.10725250187011</c:v>
                </c:pt>
                <c:pt idx="97">
                  <c:v>525.84262542118893</c:v>
                </c:pt>
                <c:pt idx="98">
                  <c:v>534.57494229287613</c:v>
                </c:pt>
                <c:pt idx="99">
                  <c:v>543.3042600848637</c:v>
                </c:pt>
                <c:pt idx="100">
                  <c:v>552.03063378490037</c:v>
                </c:pt>
                <c:pt idx="101">
                  <c:v>6.0761376450252573E-12</c:v>
                </c:pt>
                <c:pt idx="102">
                  <c:v>6.0761376450252573E-12</c:v>
                </c:pt>
                <c:pt idx="103">
                  <c:v>6.0761376450252573E-12</c:v>
                </c:pt>
                <c:pt idx="104">
                  <c:v>6.0761376450252573E-12</c:v>
                </c:pt>
                <c:pt idx="105">
                  <c:v>6.0761376450252573E-12</c:v>
                </c:pt>
                <c:pt idx="106">
                  <c:v>6.0761376450252573E-12</c:v>
                </c:pt>
                <c:pt idx="107">
                  <c:v>6.0761376450252573E-12</c:v>
                </c:pt>
                <c:pt idx="108">
                  <c:v>6.0761376450252573E-12</c:v>
                </c:pt>
                <c:pt idx="109">
                  <c:v>6.0761376450252573E-12</c:v>
                </c:pt>
                <c:pt idx="110">
                  <c:v>6.0761376450252573E-12</c:v>
                </c:pt>
                <c:pt idx="111">
                  <c:v>6.0761376450252573E-12</c:v>
                </c:pt>
                <c:pt idx="112">
                  <c:v>6.0761376450252573E-12</c:v>
                </c:pt>
                <c:pt idx="113">
                  <c:v>6.0761376450252573E-12</c:v>
                </c:pt>
                <c:pt idx="114">
                  <c:v>6.0761376450252573E-12</c:v>
                </c:pt>
                <c:pt idx="115">
                  <c:v>6.0761376450252573E-12</c:v>
                </c:pt>
                <c:pt idx="116">
                  <c:v>6.0761376450252573E-12</c:v>
                </c:pt>
                <c:pt idx="117">
                  <c:v>6.0761376450252573E-12</c:v>
                </c:pt>
                <c:pt idx="118">
                  <c:v>6.0761376450252573E-12</c:v>
                </c:pt>
                <c:pt idx="119">
                  <c:v>6.0761376450252573E-12</c:v>
                </c:pt>
                <c:pt idx="120">
                  <c:v>6.0761376450252573E-12</c:v>
                </c:pt>
                <c:pt idx="121">
                  <c:v>6.0761376450252573E-12</c:v>
                </c:pt>
                <c:pt idx="122">
                  <c:v>6.0761376450252573E-12</c:v>
                </c:pt>
                <c:pt idx="123">
                  <c:v>6.0761376450252573E-12</c:v>
                </c:pt>
                <c:pt idx="124">
                  <c:v>6.0761376450252573E-12</c:v>
                </c:pt>
                <c:pt idx="125">
                  <c:v>6.0761376450252573E-12</c:v>
                </c:pt>
                <c:pt idx="126">
                  <c:v>6.0761376450252573E-12</c:v>
                </c:pt>
                <c:pt idx="127">
                  <c:v>6.0761376450252573E-12</c:v>
                </c:pt>
                <c:pt idx="128">
                  <c:v>6.0761376450252573E-12</c:v>
                </c:pt>
                <c:pt idx="129">
                  <c:v>6.0761376450252573E-12</c:v>
                </c:pt>
                <c:pt idx="130">
                  <c:v>6.0761376450252573E-12</c:v>
                </c:pt>
                <c:pt idx="131">
                  <c:v>6.0761376450252573E-12</c:v>
                </c:pt>
                <c:pt idx="132">
                  <c:v>6.0761376450252573E-12</c:v>
                </c:pt>
                <c:pt idx="133">
                  <c:v>6.0761376450252573E-12</c:v>
                </c:pt>
                <c:pt idx="134">
                  <c:v>6.0761376450252573E-12</c:v>
                </c:pt>
                <c:pt idx="135">
                  <c:v>6.0761376450252573E-12</c:v>
                </c:pt>
                <c:pt idx="136">
                  <c:v>6.0761376450252573E-12</c:v>
                </c:pt>
                <c:pt idx="137">
                  <c:v>6.0761376450252573E-12</c:v>
                </c:pt>
                <c:pt idx="138">
                  <c:v>6.0761376450252573E-12</c:v>
                </c:pt>
                <c:pt idx="139">
                  <c:v>6.0761376450252573E-12</c:v>
                </c:pt>
                <c:pt idx="140">
                  <c:v>6.0761376450252573E-12</c:v>
                </c:pt>
                <c:pt idx="141">
                  <c:v>6.0761376450252573E-12</c:v>
                </c:pt>
                <c:pt idx="142">
                  <c:v>6.0761376450252573E-12</c:v>
                </c:pt>
                <c:pt idx="143">
                  <c:v>6.0761376450252573E-12</c:v>
                </c:pt>
                <c:pt idx="144">
                  <c:v>6.0761376450252573E-12</c:v>
                </c:pt>
                <c:pt idx="145">
                  <c:v>6.0761376450252573E-12</c:v>
                </c:pt>
                <c:pt idx="146">
                  <c:v>6.0761376450252573E-12</c:v>
                </c:pt>
                <c:pt idx="147">
                  <c:v>6.0761376450252573E-12</c:v>
                </c:pt>
                <c:pt idx="148">
                  <c:v>6.0761376450252573E-12</c:v>
                </c:pt>
                <c:pt idx="149">
                  <c:v>6.0761376450252573E-12</c:v>
                </c:pt>
                <c:pt idx="150">
                  <c:v>6.0761376450252573E-12</c:v>
                </c:pt>
                <c:pt idx="151">
                  <c:v>6.0761376450252573E-12</c:v>
                </c:pt>
                <c:pt idx="152">
                  <c:v>6.0761376450252573E-12</c:v>
                </c:pt>
                <c:pt idx="153">
                  <c:v>6.0761376450252573E-12</c:v>
                </c:pt>
                <c:pt idx="154">
                  <c:v>6.0761376450252573E-12</c:v>
                </c:pt>
                <c:pt idx="155">
                  <c:v>6.0761376450252573E-12</c:v>
                </c:pt>
                <c:pt idx="156">
                  <c:v>6.0761376450252573E-12</c:v>
                </c:pt>
                <c:pt idx="157">
                  <c:v>6.0761376450252573E-12</c:v>
                </c:pt>
                <c:pt idx="158">
                  <c:v>6.0761376450252573E-12</c:v>
                </c:pt>
                <c:pt idx="159">
                  <c:v>6.0761376450252573E-12</c:v>
                </c:pt>
                <c:pt idx="160">
                  <c:v>6.0761376450252573E-12</c:v>
                </c:pt>
                <c:pt idx="161">
                  <c:v>6.0761376450252573E-12</c:v>
                </c:pt>
                <c:pt idx="162">
                  <c:v>6.0761376450252573E-12</c:v>
                </c:pt>
                <c:pt idx="163">
                  <c:v>6.0761376450252573E-12</c:v>
                </c:pt>
                <c:pt idx="164">
                  <c:v>6.0761376450252573E-12</c:v>
                </c:pt>
                <c:pt idx="165">
                  <c:v>6.0761376450252573E-12</c:v>
                </c:pt>
                <c:pt idx="166">
                  <c:v>6.0761376450252573E-12</c:v>
                </c:pt>
                <c:pt idx="167">
                  <c:v>6.0761376450252573E-12</c:v>
                </c:pt>
                <c:pt idx="168">
                  <c:v>6.0761376450252573E-12</c:v>
                </c:pt>
                <c:pt idx="169">
                  <c:v>6.0761376450252573E-12</c:v>
                </c:pt>
                <c:pt idx="170">
                  <c:v>6.0761376450252573E-12</c:v>
                </c:pt>
                <c:pt idx="171">
                  <c:v>6.0761376450252573E-12</c:v>
                </c:pt>
                <c:pt idx="172">
                  <c:v>6.0761376450252573E-12</c:v>
                </c:pt>
                <c:pt idx="173">
                  <c:v>6.0761376450252573E-12</c:v>
                </c:pt>
                <c:pt idx="174">
                  <c:v>6.0761376450252573E-12</c:v>
                </c:pt>
                <c:pt idx="175">
                  <c:v>6.0761376450252573E-12</c:v>
                </c:pt>
                <c:pt idx="176">
                  <c:v>6.0761376450252573E-12</c:v>
                </c:pt>
                <c:pt idx="177">
                  <c:v>6.0761376450252573E-12</c:v>
                </c:pt>
                <c:pt idx="178">
                  <c:v>6.0761376450252573E-12</c:v>
                </c:pt>
                <c:pt idx="179">
                  <c:v>6.0761376450252573E-12</c:v>
                </c:pt>
                <c:pt idx="180">
                  <c:v>6.0761376450252573E-12</c:v>
                </c:pt>
                <c:pt idx="181">
                  <c:v>6.0761376450252573E-12</c:v>
                </c:pt>
                <c:pt idx="182">
                  <c:v>6.0761376450252573E-12</c:v>
                </c:pt>
                <c:pt idx="183">
                  <c:v>6.0761376450252573E-12</c:v>
                </c:pt>
                <c:pt idx="184">
                  <c:v>6.0761376450252573E-12</c:v>
                </c:pt>
                <c:pt idx="185">
                  <c:v>6.0761376450252573E-12</c:v>
                </c:pt>
                <c:pt idx="186">
                  <c:v>6.0761376450252573E-12</c:v>
                </c:pt>
                <c:pt idx="187">
                  <c:v>6.0761376450252573E-12</c:v>
                </c:pt>
                <c:pt idx="188">
                  <c:v>6.0761376450252573E-12</c:v>
                </c:pt>
                <c:pt idx="189">
                  <c:v>6.0761376450252573E-12</c:v>
                </c:pt>
                <c:pt idx="190">
                  <c:v>6.0761376450252573E-12</c:v>
                </c:pt>
                <c:pt idx="191">
                  <c:v>6.0761376450252573E-12</c:v>
                </c:pt>
                <c:pt idx="192">
                  <c:v>6.0761376450252573E-12</c:v>
                </c:pt>
                <c:pt idx="193">
                  <c:v>6.0761376450252573E-12</c:v>
                </c:pt>
                <c:pt idx="194">
                  <c:v>6.0761376450252573E-12</c:v>
                </c:pt>
                <c:pt idx="195">
                  <c:v>6.0761376450252573E-12</c:v>
                </c:pt>
                <c:pt idx="196">
                  <c:v>6.0761376450252573E-12</c:v>
                </c:pt>
                <c:pt idx="197">
                  <c:v>6.0761376450252573E-12</c:v>
                </c:pt>
                <c:pt idx="198">
                  <c:v>6.0761376450252573E-12</c:v>
                </c:pt>
                <c:pt idx="199">
                  <c:v>6.0761376450252573E-12</c:v>
                </c:pt>
                <c:pt idx="200">
                  <c:v>6.0761376450252573E-12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900528"/>
        <c:axId val="1927903248"/>
      </c:scatterChart>
      <c:valAx>
        <c:axId val="19279005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3248"/>
        <c:crosses val="autoZero"/>
        <c:crossBetween val="midCat"/>
      </c:valAx>
      <c:valAx>
        <c:axId val="1927903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0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3504"/>
        <c:axId val="27528480"/>
      </c:scatterChart>
      <c:valAx>
        <c:axId val="2755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8480"/>
        <c:crosses val="autoZero"/>
        <c:crossBetween val="midCat"/>
      </c:valAx>
      <c:valAx>
        <c:axId val="2752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169.613452288893</c:v>
                </c:pt>
                <c:pt idx="32">
                  <c:v>185.69564922944699</c:v>
                </c:pt>
                <c:pt idx="33">
                  <c:v>201.74532528316698</c:v>
                </c:pt>
                <c:pt idx="34">
                  <c:v>217.76543262779288</c:v>
                </c:pt>
                <c:pt idx="35">
                  <c:v>233.75845318467347</c:v>
                </c:pt>
                <c:pt idx="36">
                  <c:v>249.7265012785368</c:v>
                </c:pt>
                <c:pt idx="37">
                  <c:v>265.67139861401199</c:v>
                </c:pt>
                <c:pt idx="38">
                  <c:v>281.5947302821483</c:v>
                </c:pt>
                <c:pt idx="39">
                  <c:v>297.49788742006405</c:v>
                </c:pt>
                <c:pt idx="40">
                  <c:v>313.38210026249618</c:v>
                </c:pt>
                <c:pt idx="41">
                  <c:v>247.97507238738754</c:v>
                </c:pt>
                <c:pt idx="42">
                  <c:v>264.11677214797504</c:v>
                </c:pt>
                <c:pt idx="43">
                  <c:v>280.23622755830667</c:v>
                </c:pt>
                <c:pt idx="44">
                  <c:v>296.33489822464173</c:v>
                </c:pt>
                <c:pt idx="45">
                  <c:v>312.4140721854024</c:v>
                </c:pt>
                <c:pt idx="46">
                  <c:v>328.47489405645246</c:v>
                </c:pt>
                <c:pt idx="47">
                  <c:v>344.51838738035786</c:v>
                </c:pt>
                <c:pt idx="48">
                  <c:v>360.54547259299108</c:v>
                </c:pt>
                <c:pt idx="49">
                  <c:v>376.55698162745358</c:v>
                </c:pt>
                <c:pt idx="50">
                  <c:v>392.55366990377735</c:v>
                </c:pt>
                <c:pt idx="51">
                  <c:v>326.54079262774457</c:v>
                </c:pt>
                <c:pt idx="52">
                  <c:v>341.6202011551116</c:v>
                </c:pt>
                <c:pt idx="53">
                  <c:v>356.68497890922032</c:v>
                </c:pt>
                <c:pt idx="54">
                  <c:v>371.73583079258918</c:v>
                </c:pt>
                <c:pt idx="55">
                  <c:v>386.77339997206718</c:v>
                </c:pt>
                <c:pt idx="56">
                  <c:v>401.79827552592525</c:v>
                </c:pt>
                <c:pt idx="57">
                  <c:v>416.81099888731995</c:v>
                </c:pt>
                <c:pt idx="58">
                  <c:v>431.81206931097466</c:v>
                </c:pt>
                <c:pt idx="59">
                  <c:v>446.80194854062023</c:v>
                </c:pt>
                <c:pt idx="60">
                  <c:v>461.78106481747767</c:v>
                </c:pt>
                <c:pt idx="61">
                  <c:v>394.48001486506865</c:v>
                </c:pt>
                <c:pt idx="62">
                  <c:v>407.95878231757479</c:v>
                </c:pt>
                <c:pt idx="63">
                  <c:v>421.42793186976132</c:v>
                </c:pt>
                <c:pt idx="64">
                  <c:v>434.88781420496684</c:v>
                </c:pt>
                <c:pt idx="65">
                  <c:v>448.33875652973529</c:v>
                </c:pt>
                <c:pt idx="66">
                  <c:v>461.78106481747767</c:v>
                </c:pt>
                <c:pt idx="67">
                  <c:v>475.2150257772908</c:v>
                </c:pt>
                <c:pt idx="68">
                  <c:v>488.64090858857736</c:v>
                </c:pt>
                <c:pt idx="69">
                  <c:v>502.05896643512602</c:v>
                </c:pt>
                <c:pt idx="70">
                  <c:v>515.46943786668078</c:v>
                </c:pt>
                <c:pt idx="71">
                  <c:v>446.60983959217293</c:v>
                </c:pt>
                <c:pt idx="72">
                  <c:v>458.32527966923976</c:v>
                </c:pt>
                <c:pt idx="73">
                  <c:v>470.03432649602991</c:v>
                </c:pt>
                <c:pt idx="74">
                  <c:v>481.73716178290942</c:v>
                </c:pt>
                <c:pt idx="75">
                  <c:v>493.43395769164994</c:v>
                </c:pt>
                <c:pt idx="76">
                  <c:v>505.1248775564427</c:v>
                </c:pt>
                <c:pt idx="77">
                  <c:v>516.81007653469237</c:v>
                </c:pt>
                <c:pt idx="78">
                  <c:v>528.48970219589762</c:v>
                </c:pt>
                <c:pt idx="79">
                  <c:v>540.16389505577172</c:v>
                </c:pt>
                <c:pt idx="80">
                  <c:v>551.83278906179783</c:v>
                </c:pt>
                <c:pt idx="81">
                  <c:v>482.12075813367915</c:v>
                </c:pt>
                <c:pt idx="82">
                  <c:v>492.85884412246702</c:v>
                </c:pt>
                <c:pt idx="83">
                  <c:v>503.59197136026728</c:v>
                </c:pt>
                <c:pt idx="84">
                  <c:v>514.32026043494295</c:v>
                </c:pt>
                <c:pt idx="85">
                  <c:v>525.04382649327442</c:v>
                </c:pt>
                <c:pt idx="86">
                  <c:v>535.76277959494985</c:v>
                </c:pt>
                <c:pt idx="87">
                  <c:v>546.47722503675448</c:v>
                </c:pt>
                <c:pt idx="88">
                  <c:v>557.18726365001646</c:v>
                </c:pt>
                <c:pt idx="89">
                  <c:v>567.89299207399506</c:v>
                </c:pt>
                <c:pt idx="90">
                  <c:v>578.59450300758897</c:v>
                </c:pt>
                <c:pt idx="91">
                  <c:v>507.61564043595746</c:v>
                </c:pt>
                <c:pt idx="92">
                  <c:v>517.00159034875685</c:v>
                </c:pt>
                <c:pt idx="93">
                  <c:v>526.3839456981234</c:v>
                </c:pt>
                <c:pt idx="94">
                  <c:v>535.76277959494985</c:v>
                </c:pt>
                <c:pt idx="95">
                  <c:v>545.13816238142374</c:v>
                </c:pt>
                <c:pt idx="96">
                  <c:v>554.51016178271357</c:v>
                </c:pt>
                <c:pt idx="97">
                  <c:v>563.87884304786633</c:v>
                </c:pt>
                <c:pt idx="98">
                  <c:v>573.24426908085672</c:v>
                </c:pt>
                <c:pt idx="99">
                  <c:v>582.60650056262477</c:v>
                </c:pt>
                <c:pt idx="100">
                  <c:v>591.96559606486551</c:v>
                </c:pt>
                <c:pt idx="101">
                  <c:v>6.4758730798340893E-12</c:v>
                </c:pt>
                <c:pt idx="102">
                  <c:v>6.4758730798340893E-12</c:v>
                </c:pt>
                <c:pt idx="103">
                  <c:v>6.4758730798340893E-12</c:v>
                </c:pt>
                <c:pt idx="104">
                  <c:v>6.4758730798340893E-12</c:v>
                </c:pt>
                <c:pt idx="105">
                  <c:v>6.4758730798340893E-12</c:v>
                </c:pt>
                <c:pt idx="106">
                  <c:v>6.4758730798340893E-12</c:v>
                </c:pt>
                <c:pt idx="107">
                  <c:v>6.4758730798340893E-12</c:v>
                </c:pt>
                <c:pt idx="108">
                  <c:v>6.4758730798340893E-12</c:v>
                </c:pt>
                <c:pt idx="109">
                  <c:v>6.4758730798340893E-12</c:v>
                </c:pt>
                <c:pt idx="110">
                  <c:v>6.4758730798340893E-12</c:v>
                </c:pt>
                <c:pt idx="111">
                  <c:v>6.4758730798340893E-12</c:v>
                </c:pt>
                <c:pt idx="112">
                  <c:v>6.4758730798340893E-12</c:v>
                </c:pt>
                <c:pt idx="113">
                  <c:v>6.4758730798340893E-12</c:v>
                </c:pt>
                <c:pt idx="114">
                  <c:v>6.4758730798340893E-12</c:v>
                </c:pt>
                <c:pt idx="115">
                  <c:v>6.4758730798340893E-12</c:v>
                </c:pt>
                <c:pt idx="116">
                  <c:v>6.4758730798340893E-12</c:v>
                </c:pt>
                <c:pt idx="117">
                  <c:v>6.4758730798340893E-12</c:v>
                </c:pt>
                <c:pt idx="118">
                  <c:v>6.4758730798340893E-12</c:v>
                </c:pt>
                <c:pt idx="119">
                  <c:v>6.4758730798340893E-12</c:v>
                </c:pt>
                <c:pt idx="120">
                  <c:v>6.4758730798340893E-12</c:v>
                </c:pt>
                <c:pt idx="121">
                  <c:v>6.4758730798340893E-12</c:v>
                </c:pt>
                <c:pt idx="122">
                  <c:v>6.4758730798340893E-12</c:v>
                </c:pt>
                <c:pt idx="123">
                  <c:v>6.4758730798340893E-12</c:v>
                </c:pt>
                <c:pt idx="124">
                  <c:v>6.4758730798340893E-12</c:v>
                </c:pt>
                <c:pt idx="125">
                  <c:v>6.4758730798340893E-12</c:v>
                </c:pt>
                <c:pt idx="126">
                  <c:v>6.4758730798340893E-12</c:v>
                </c:pt>
                <c:pt idx="127">
                  <c:v>6.4758730798340893E-12</c:v>
                </c:pt>
                <c:pt idx="128">
                  <c:v>6.4758730798340893E-12</c:v>
                </c:pt>
                <c:pt idx="129">
                  <c:v>6.4758730798340893E-12</c:v>
                </c:pt>
                <c:pt idx="130">
                  <c:v>6.4758730798340893E-12</c:v>
                </c:pt>
                <c:pt idx="131">
                  <c:v>6.4758730798340893E-12</c:v>
                </c:pt>
                <c:pt idx="132">
                  <c:v>6.4758730798340893E-12</c:v>
                </c:pt>
                <c:pt idx="133">
                  <c:v>6.4758730798340893E-12</c:v>
                </c:pt>
                <c:pt idx="134">
                  <c:v>6.4758730798340893E-12</c:v>
                </c:pt>
                <c:pt idx="135">
                  <c:v>6.4758730798340893E-12</c:v>
                </c:pt>
                <c:pt idx="136">
                  <c:v>6.4758730798340893E-12</c:v>
                </c:pt>
                <c:pt idx="137">
                  <c:v>6.4758730798340893E-12</c:v>
                </c:pt>
                <c:pt idx="138">
                  <c:v>6.4758730798340893E-12</c:v>
                </c:pt>
                <c:pt idx="139">
                  <c:v>6.4758730798340893E-12</c:v>
                </c:pt>
                <c:pt idx="140">
                  <c:v>6.4758730798340893E-12</c:v>
                </c:pt>
                <c:pt idx="141">
                  <c:v>6.4758730798340893E-12</c:v>
                </c:pt>
                <c:pt idx="142">
                  <c:v>6.4758730798340893E-12</c:v>
                </c:pt>
                <c:pt idx="143">
                  <c:v>6.4758730798340893E-12</c:v>
                </c:pt>
                <c:pt idx="144">
                  <c:v>6.4758730798340893E-12</c:v>
                </c:pt>
                <c:pt idx="145">
                  <c:v>6.4758730798340893E-12</c:v>
                </c:pt>
                <c:pt idx="146">
                  <c:v>6.4758730798340893E-12</c:v>
                </c:pt>
                <c:pt idx="147">
                  <c:v>6.4758730798340893E-12</c:v>
                </c:pt>
                <c:pt idx="148">
                  <c:v>6.4758730798340893E-12</c:v>
                </c:pt>
                <c:pt idx="149">
                  <c:v>6.4758730798340893E-12</c:v>
                </c:pt>
                <c:pt idx="150">
                  <c:v>6.4758730798340893E-12</c:v>
                </c:pt>
                <c:pt idx="151">
                  <c:v>6.4758730798340893E-12</c:v>
                </c:pt>
                <c:pt idx="152">
                  <c:v>6.4758730798340893E-12</c:v>
                </c:pt>
                <c:pt idx="153">
                  <c:v>6.4758730798340893E-12</c:v>
                </c:pt>
                <c:pt idx="154">
                  <c:v>6.4758730798340893E-12</c:v>
                </c:pt>
                <c:pt idx="155">
                  <c:v>6.4758730798340893E-12</c:v>
                </c:pt>
                <c:pt idx="156">
                  <c:v>6.4758730798340893E-12</c:v>
                </c:pt>
                <c:pt idx="157">
                  <c:v>6.4758730798340893E-12</c:v>
                </c:pt>
                <c:pt idx="158">
                  <c:v>6.4758730798340893E-12</c:v>
                </c:pt>
                <c:pt idx="159">
                  <c:v>6.4758730798340893E-12</c:v>
                </c:pt>
                <c:pt idx="160">
                  <c:v>6.4758730798340893E-12</c:v>
                </c:pt>
                <c:pt idx="161">
                  <c:v>6.4758730798340893E-12</c:v>
                </c:pt>
                <c:pt idx="162">
                  <c:v>6.4758730798340893E-12</c:v>
                </c:pt>
                <c:pt idx="163">
                  <c:v>6.4758730798340893E-12</c:v>
                </c:pt>
                <c:pt idx="164">
                  <c:v>6.4758730798340893E-12</c:v>
                </c:pt>
                <c:pt idx="165">
                  <c:v>6.4758730798340893E-12</c:v>
                </c:pt>
                <c:pt idx="166">
                  <c:v>6.4758730798340893E-12</c:v>
                </c:pt>
                <c:pt idx="167">
                  <c:v>6.4758730798340893E-12</c:v>
                </c:pt>
                <c:pt idx="168">
                  <c:v>6.4758730798340893E-12</c:v>
                </c:pt>
                <c:pt idx="169">
                  <c:v>6.4758730798340893E-12</c:v>
                </c:pt>
                <c:pt idx="170">
                  <c:v>6.4758730798340893E-12</c:v>
                </c:pt>
                <c:pt idx="171">
                  <c:v>6.4758730798340893E-12</c:v>
                </c:pt>
                <c:pt idx="172">
                  <c:v>6.4758730798340893E-12</c:v>
                </c:pt>
                <c:pt idx="173">
                  <c:v>6.4758730798340893E-12</c:v>
                </c:pt>
                <c:pt idx="174">
                  <c:v>6.4758730798340893E-12</c:v>
                </c:pt>
                <c:pt idx="175">
                  <c:v>6.4758730798340893E-12</c:v>
                </c:pt>
                <c:pt idx="176">
                  <c:v>6.4758730798340893E-12</c:v>
                </c:pt>
                <c:pt idx="177">
                  <c:v>6.4758730798340893E-12</c:v>
                </c:pt>
                <c:pt idx="178">
                  <c:v>6.4758730798340893E-12</c:v>
                </c:pt>
                <c:pt idx="179">
                  <c:v>6.4758730798340893E-12</c:v>
                </c:pt>
                <c:pt idx="180">
                  <c:v>6.4758730798340893E-12</c:v>
                </c:pt>
                <c:pt idx="181">
                  <c:v>6.4758730798340893E-12</c:v>
                </c:pt>
                <c:pt idx="182">
                  <c:v>6.4758730798340893E-12</c:v>
                </c:pt>
                <c:pt idx="183">
                  <c:v>6.4758730798340893E-12</c:v>
                </c:pt>
                <c:pt idx="184">
                  <c:v>6.4758730798340893E-12</c:v>
                </c:pt>
                <c:pt idx="185">
                  <c:v>6.4758730798340893E-12</c:v>
                </c:pt>
                <c:pt idx="186">
                  <c:v>6.4758730798340893E-12</c:v>
                </c:pt>
                <c:pt idx="187">
                  <c:v>6.4758730798340893E-12</c:v>
                </c:pt>
                <c:pt idx="188">
                  <c:v>6.4758730798340893E-12</c:v>
                </c:pt>
                <c:pt idx="189">
                  <c:v>6.4758730798340893E-12</c:v>
                </c:pt>
                <c:pt idx="190">
                  <c:v>6.4758730798340893E-12</c:v>
                </c:pt>
                <c:pt idx="191">
                  <c:v>6.4758730798340893E-12</c:v>
                </c:pt>
                <c:pt idx="192">
                  <c:v>6.4758730798340893E-12</c:v>
                </c:pt>
                <c:pt idx="193">
                  <c:v>6.4758730798340893E-12</c:v>
                </c:pt>
                <c:pt idx="194">
                  <c:v>6.4758730798340893E-12</c:v>
                </c:pt>
                <c:pt idx="195">
                  <c:v>6.4758730798340893E-12</c:v>
                </c:pt>
                <c:pt idx="196">
                  <c:v>6.4758730798340893E-12</c:v>
                </c:pt>
                <c:pt idx="197">
                  <c:v>6.4758730798340893E-12</c:v>
                </c:pt>
                <c:pt idx="198">
                  <c:v>6.4758730798340893E-12</c:v>
                </c:pt>
                <c:pt idx="199">
                  <c:v>6.4758730798340893E-12</c:v>
                </c:pt>
                <c:pt idx="200">
                  <c:v>6.4758730798340893E-12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1280"/>
        <c:axId val="1927892912"/>
      </c:scatterChart>
      <c:valAx>
        <c:axId val="1927891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2912"/>
        <c:crosses val="autoZero"/>
        <c:crossBetween val="midCat"/>
      </c:valAx>
      <c:valAx>
        <c:axId val="192789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1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2.0078204006093454</c:v>
                </c:pt>
                <c:pt idx="2">
                  <c:v>2.599584462434867</c:v>
                </c:pt>
                <c:pt idx="3">
                  <c:v>3.3664668410228042</c:v>
                </c:pt>
                <c:pt idx="4">
                  <c:v>4.3604872386698723</c:v>
                </c:pt>
                <c:pt idx="5">
                  <c:v>5.6491730114405536</c:v>
                </c:pt>
                <c:pt idx="6">
                  <c:v>7.3201973988275313</c:v>
                </c:pt>
                <c:pt idx="7">
                  <c:v>9.4874092176840534</c:v>
                </c:pt>
                <c:pt idx="8">
                  <c:v>12.298672614544188</c:v>
                </c:pt>
                <c:pt idx="9">
                  <c:v>15.946061713233563</c:v>
                </c:pt>
                <c:pt idx="10">
                  <c:v>20.679119397466433</c:v>
                </c:pt>
                <c:pt idx="11">
                  <c:v>26.822103589400299</c:v>
                </c:pt>
                <c:pt idx="12">
                  <c:v>34.796423290800711</c:v>
                </c:pt>
                <c:pt idx="13">
                  <c:v>43.483430223302015</c:v>
                </c:pt>
                <c:pt idx="14">
                  <c:v>52.123637545135601</c:v>
                </c:pt>
                <c:pt idx="15">
                  <c:v>60.725944259350712</c:v>
                </c:pt>
                <c:pt idx="16">
                  <c:v>69.296499219775797</c:v>
                </c:pt>
                <c:pt idx="17">
                  <c:v>70.357535526641954</c:v>
                </c:pt>
                <c:pt idx="18">
                  <c:v>81.474868458628492</c:v>
                </c:pt>
                <c:pt idx="19">
                  <c:v>92.553783244187045</c:v>
                </c:pt>
                <c:pt idx="20">
                  <c:v>103.59953784158667</c:v>
                </c:pt>
                <c:pt idx="21">
                  <c:v>98.014781676265798</c:v>
                </c:pt>
                <c:pt idx="22">
                  <c:v>110.55368261399435</c:v>
                </c:pt>
                <c:pt idx="23">
                  <c:v>123.05763612437454</c:v>
                </c:pt>
                <c:pt idx="24">
                  <c:v>135.53069857495038</c:v>
                </c:pt>
                <c:pt idx="25">
                  <c:v>123.35184530916695</c:v>
                </c:pt>
                <c:pt idx="26">
                  <c:v>136.90034310409251</c:v>
                </c:pt>
                <c:pt idx="27">
                  <c:v>150.41657896326168</c:v>
                </c:pt>
                <c:pt idx="28">
                  <c:v>163.90386287643108</c:v>
                </c:pt>
                <c:pt idx="29">
                  <c:v>145.54554545296011</c:v>
                </c:pt>
                <c:pt idx="30">
                  <c:v>157.62404747368961</c:v>
                </c:pt>
                <c:pt idx="31">
                  <c:v>169.68059000261428</c:v>
                </c:pt>
                <c:pt idx="32">
                  <c:v>181.71695444758393</c:v>
                </c:pt>
                <c:pt idx="33">
                  <c:v>193.73466663375737</c:v>
                </c:pt>
                <c:pt idx="34">
                  <c:v>205.73504740275897</c:v>
                </c:pt>
                <c:pt idx="35">
                  <c:v>170.52398954267196</c:v>
                </c:pt>
                <c:pt idx="36">
                  <c:v>184.9119325380326</c:v>
                </c:pt>
                <c:pt idx="37">
                  <c:v>199.27372678226001</c:v>
                </c:pt>
                <c:pt idx="38">
                  <c:v>213.61152302149856</c:v>
                </c:pt>
                <c:pt idx="39">
                  <c:v>227.92715942733048</c:v>
                </c:pt>
                <c:pt idx="40">
                  <c:v>242.22222423091577</c:v>
                </c:pt>
                <c:pt idx="41">
                  <c:v>213.65454524173359</c:v>
                </c:pt>
                <c:pt idx="42">
                  <c:v>224.91962402963114</c:v>
                </c:pt>
                <c:pt idx="43">
                  <c:v>236.17177705485597</c:v>
                </c:pt>
                <c:pt idx="44">
                  <c:v>247.41170733407716</c:v>
                </c:pt>
                <c:pt idx="45">
                  <c:v>258.64004874205006</c:v>
                </c:pt>
                <c:pt idx="46">
                  <c:v>269.85737558311484</c:v>
                </c:pt>
                <c:pt idx="47">
                  <c:v>247.19195537786928</c:v>
                </c:pt>
                <c:pt idx="48">
                  <c:v>253.95937238615247</c:v>
                </c:pt>
                <c:pt idx="49">
                  <c:v>260.72270655683951</c:v>
                </c:pt>
                <c:pt idx="50">
                  <c:v>267.48207888513389</c:v>
                </c:pt>
                <c:pt idx="51">
                  <c:v>274.23760374377406</c:v>
                </c:pt>
                <c:pt idx="52">
                  <c:v>280.98938940336717</c:v>
                </c:pt>
                <c:pt idx="53">
                  <c:v>287.73753850004283</c:v>
                </c:pt>
                <c:pt idx="54">
                  <c:v>294.48214845689864</c:v>
                </c:pt>
                <c:pt idx="55">
                  <c:v>270.62764077796049</c:v>
                </c:pt>
                <c:pt idx="56">
                  <c:v>275.50484772237797</c:v>
                </c:pt>
                <c:pt idx="57">
                  <c:v>280.38011536928462</c:v>
                </c:pt>
                <c:pt idx="58">
                  <c:v>285.25348225348012</c:v>
                </c:pt>
                <c:pt idx="59">
                  <c:v>290.12498548350482</c:v>
                </c:pt>
                <c:pt idx="60">
                  <c:v>294.99466081803865</c:v>
                </c:pt>
                <c:pt idx="61">
                  <c:v>299.86254273698574</c:v>
                </c:pt>
                <c:pt idx="62">
                  <c:v>304.72866450769766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6720"/>
        <c:axId val="1927897264"/>
      </c:scatterChart>
      <c:valAx>
        <c:axId val="1927896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7264"/>
        <c:crosses val="autoZero"/>
        <c:crossBetween val="midCat"/>
      </c:valAx>
      <c:valAx>
        <c:axId val="19278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6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2.8530458900838358</c:v>
                </c:pt>
                <c:pt idx="2">
                  <c:v>3.3039212099420436</c:v>
                </c:pt>
                <c:pt idx="3">
                  <c:v>3.8263060507819229</c:v>
                </c:pt>
                <c:pt idx="4">
                  <c:v>4.431580333413633</c:v>
                </c:pt>
                <c:pt idx="5">
                  <c:v>5.1329406942075515</c:v>
                </c:pt>
                <c:pt idx="6">
                  <c:v>5.945691362151531</c:v>
                </c:pt>
                <c:pt idx="7">
                  <c:v>6.887581735097335</c:v>
                </c:pt>
                <c:pt idx="8">
                  <c:v>7.9791981712630529</c:v>
                </c:pt>
                <c:pt idx="9">
                  <c:v>9.2444187244984306</c:v>
                </c:pt>
                <c:pt idx="10">
                  <c:v>10.71094096024798</c:v>
                </c:pt>
                <c:pt idx="11">
                  <c:v>12.410894625303198</c:v>
                </c:pt>
                <c:pt idx="12">
                  <c:v>14.381552845209095</c:v>
                </c:pt>
                <c:pt idx="13">
                  <c:v>16.666157731457787</c:v>
                </c:pt>
                <c:pt idx="14">
                  <c:v>19.314878846195473</c:v>
                </c:pt>
                <c:pt idx="15">
                  <c:v>22.385925953013096</c:v>
                </c:pt>
                <c:pt idx="16">
                  <c:v>25.946840945811488</c:v>
                </c:pt>
                <c:pt idx="17">
                  <c:v>30.07599787199096</c:v>
                </c:pt>
                <c:pt idx="18">
                  <c:v>34.864344642284394</c:v>
                </c:pt>
                <c:pt idx="19">
                  <c:v>40.417425453185118</c:v>
                </c:pt>
                <c:pt idx="20">
                  <c:v>46.85772926204951</c:v>
                </c:pt>
                <c:pt idx="21">
                  <c:v>53.349300230420219</c:v>
                </c:pt>
                <c:pt idx="22">
                  <c:v>59.820043288621314</c:v>
                </c:pt>
                <c:pt idx="23">
                  <c:v>66.272536635761469</c:v>
                </c:pt>
                <c:pt idx="24">
                  <c:v>72.708812992429259</c:v>
                </c:pt>
                <c:pt idx="25">
                  <c:v>79.130514295439681</c:v>
                </c:pt>
                <c:pt idx="26">
                  <c:v>86.819205269098731</c:v>
                </c:pt>
                <c:pt idx="27">
                  <c:v>94.490773445625265</c:v>
                </c:pt>
                <c:pt idx="28">
                  <c:v>102.14680795061109</c:v>
                </c:pt>
                <c:pt idx="29">
                  <c:v>109.78863954070187</c:v>
                </c:pt>
                <c:pt idx="30">
                  <c:v>117.41739809202979</c:v>
                </c:pt>
                <c:pt idx="31">
                  <c:v>105.9694243356512</c:v>
                </c:pt>
                <c:pt idx="32">
                  <c:v>113.60458895271091</c:v>
                </c:pt>
                <c:pt idx="33">
                  <c:v>121.22718363614437</c:v>
                </c:pt>
                <c:pt idx="34">
                  <c:v>128.83811164782671</c:v>
                </c:pt>
                <c:pt idx="35">
                  <c:v>136.4381605770578</c:v>
                </c:pt>
                <c:pt idx="36">
                  <c:v>127.99300373621674</c:v>
                </c:pt>
                <c:pt idx="37">
                  <c:v>136.4381605770578</c:v>
                </c:pt>
                <c:pt idx="38">
                  <c:v>144.87073948277092</c:v>
                </c:pt>
                <c:pt idx="39">
                  <c:v>153.29157689885758</c:v>
                </c:pt>
                <c:pt idx="40">
                  <c:v>161.70140970029561</c:v>
                </c:pt>
                <c:pt idx="41">
                  <c:v>150.76651294924497</c:v>
                </c:pt>
                <c:pt idx="42">
                  <c:v>158.75917749509563</c:v>
                </c:pt>
                <c:pt idx="43">
                  <c:v>166.74230220443391</c:v>
                </c:pt>
                <c:pt idx="44">
                  <c:v>174.71640889684613</c:v>
                </c:pt>
                <c:pt idx="45">
                  <c:v>182.68196779156236</c:v>
                </c:pt>
                <c:pt idx="46">
                  <c:v>171.77959852127819</c:v>
                </c:pt>
                <c:pt idx="47">
                  <c:v>179.74825484800513</c:v>
                </c:pt>
                <c:pt idx="48">
                  <c:v>187.70863707245698</c:v>
                </c:pt>
                <c:pt idx="49">
                  <c:v>195.6611460556276</c:v>
                </c:pt>
                <c:pt idx="50">
                  <c:v>203.60614736350439</c:v>
                </c:pt>
                <c:pt idx="51">
                  <c:v>193.15065517554149</c:v>
                </c:pt>
                <c:pt idx="52">
                  <c:v>201.51606614204607</c:v>
                </c:pt>
                <c:pt idx="53">
                  <c:v>209.87343438827475</c:v>
                </c:pt>
                <c:pt idx="54">
                  <c:v>218.22312573751944</c:v>
                </c:pt>
                <c:pt idx="55">
                  <c:v>226.56547569658809</c:v>
                </c:pt>
                <c:pt idx="56">
                  <c:v>213.63172478455706</c:v>
                </c:pt>
                <c:pt idx="57">
                  <c:v>221.56092883337803</c:v>
                </c:pt>
                <c:pt idx="58">
                  <c:v>229.48362165810047</c:v>
                </c:pt>
                <c:pt idx="59">
                  <c:v>237.4000600333236</c:v>
                </c:pt>
                <c:pt idx="60">
                  <c:v>245.31048218883168</c:v>
                </c:pt>
                <c:pt idx="61">
                  <c:v>232.40091885863032</c:v>
                </c:pt>
                <c:pt idx="62">
                  <c:v>240.31511393681538</c:v>
                </c:pt>
                <c:pt idx="63">
                  <c:v>248.22337627734646</c:v>
                </c:pt>
                <c:pt idx="64">
                  <c:v>256.1259217726236</c:v>
                </c:pt>
                <c:pt idx="65">
                  <c:v>264.02295188940849</c:v>
                </c:pt>
                <c:pt idx="66">
                  <c:v>250.71952474895633</c:v>
                </c:pt>
                <c:pt idx="67">
                  <c:v>258.20461441214769</c:v>
                </c:pt>
                <c:pt idx="68">
                  <c:v>265.68479967259981</c:v>
                </c:pt>
                <c:pt idx="69">
                  <c:v>273.16023825041395</c:v>
                </c:pt>
                <c:pt idx="70">
                  <c:v>280.63107851839709</c:v>
                </c:pt>
                <c:pt idx="71">
                  <c:v>266.931031614787</c:v>
                </c:pt>
                <c:pt idx="72">
                  <c:v>273.99055606211817</c:v>
                </c:pt>
                <c:pt idx="73">
                  <c:v>281.04599322042532</c:v>
                </c:pt>
                <c:pt idx="74">
                  <c:v>288.09746029565309</c:v>
                </c:pt>
                <c:pt idx="75">
                  <c:v>295.14506828119102</c:v>
                </c:pt>
                <c:pt idx="76">
                  <c:v>281.46089418692515</c:v>
                </c:pt>
                <c:pt idx="77">
                  <c:v>288.5121312426167</c:v>
                </c:pt>
                <c:pt idx="78">
                  <c:v>295.55951555452697</c:v>
                </c:pt>
                <c:pt idx="79">
                  <c:v>302.60315205267631</c:v>
                </c:pt>
                <c:pt idx="80">
                  <c:v>309.64314037802711</c:v>
                </c:pt>
                <c:pt idx="81">
                  <c:v>297.21717518827546</c:v>
                </c:pt>
                <c:pt idx="82">
                  <c:v>303.43157344975288</c:v>
                </c:pt>
                <c:pt idx="83">
                  <c:v>309.64314037802711</c:v>
                </c:pt>
                <c:pt idx="84">
                  <c:v>315.85194085471193</c:v>
                </c:pt>
                <c:pt idx="85">
                  <c:v>322.05803699935797</c:v>
                </c:pt>
                <c:pt idx="86">
                  <c:v>310.05714577566249</c:v>
                </c:pt>
                <c:pt idx="87">
                  <c:v>316.67957526595023</c:v>
                </c:pt>
                <c:pt idx="88">
                  <c:v>323.29893699066059</c:v>
                </c:pt>
                <c:pt idx="89">
                  <c:v>329.91530269151457</c:v>
                </c:pt>
                <c:pt idx="90">
                  <c:v>336.5287409947552</c:v>
                </c:pt>
                <c:pt idx="91">
                  <c:v>323.71254689379992</c:v>
                </c:pt>
                <c:pt idx="92">
                  <c:v>329.5018662958127</c:v>
                </c:pt>
                <c:pt idx="93">
                  <c:v>335.28894123596257</c:v>
                </c:pt>
                <c:pt idx="94">
                  <c:v>341.07381596633985</c:v>
                </c:pt>
                <c:pt idx="95">
                  <c:v>346.8565331136702</c:v>
                </c:pt>
                <c:pt idx="96">
                  <c:v>334.46235196533502</c:v>
                </c:pt>
                <c:pt idx="97">
                  <c:v>340.66068267684119</c:v>
                </c:pt>
                <c:pt idx="98">
                  <c:v>346.8565331136702</c:v>
                </c:pt>
                <c:pt idx="99">
                  <c:v>353.04995387967392</c:v>
                </c:pt>
                <c:pt idx="100">
                  <c:v>359.24099365648948</c:v>
                </c:pt>
                <c:pt idx="101">
                  <c:v>346.4435525568872</c:v>
                </c:pt>
                <c:pt idx="102">
                  <c:v>352.22430305610646</c:v>
                </c:pt>
                <c:pt idx="103">
                  <c:v>358.00297390539254</c:v>
                </c:pt>
                <c:pt idx="104">
                  <c:v>363.77960344692718</c:v>
                </c:pt>
                <c:pt idx="105">
                  <c:v>369.55422870449638</c:v>
                </c:pt>
                <c:pt idx="106">
                  <c:v>357.17757535606319</c:v>
                </c:pt>
                <c:pt idx="107">
                  <c:v>363.3670539509107</c:v>
                </c:pt>
                <c:pt idx="108">
                  <c:v>369.55422870449638</c:v>
                </c:pt>
                <c:pt idx="109">
                  <c:v>375.73914366877972</c:v>
                </c:pt>
                <c:pt idx="110">
                  <c:v>381.92184132571992</c:v>
                </c:pt>
                <c:pt idx="111">
                  <c:v>367.49209034996039</c:v>
                </c:pt>
                <c:pt idx="112">
                  <c:v>373.67775378131796</c:v>
                </c:pt>
                <c:pt idx="113">
                  <c:v>379.86118591400549</c:v>
                </c:pt>
                <c:pt idx="114">
                  <c:v>386.04242822867786</c:v>
                </c:pt>
                <c:pt idx="115">
                  <c:v>392.22152076799495</c:v>
                </c:pt>
                <c:pt idx="116">
                  <c:v>1.6380047803526383E-12</c:v>
                </c:pt>
                <c:pt idx="117">
                  <c:v>1.6380047803526383E-12</c:v>
                </c:pt>
                <c:pt idx="118">
                  <c:v>1.6380047803526383E-12</c:v>
                </c:pt>
                <c:pt idx="119">
                  <c:v>1.6380047803526383E-12</c:v>
                </c:pt>
                <c:pt idx="120">
                  <c:v>1.6380047803526383E-12</c:v>
                </c:pt>
                <c:pt idx="121">
                  <c:v>1.6380047803526383E-12</c:v>
                </c:pt>
                <c:pt idx="122">
                  <c:v>1.6380047803526383E-12</c:v>
                </c:pt>
                <c:pt idx="123">
                  <c:v>1.6380047803526383E-12</c:v>
                </c:pt>
                <c:pt idx="124">
                  <c:v>1.6380047803526383E-12</c:v>
                </c:pt>
                <c:pt idx="125">
                  <c:v>1.6380047803526383E-12</c:v>
                </c:pt>
                <c:pt idx="126">
                  <c:v>1.6380047803526383E-12</c:v>
                </c:pt>
                <c:pt idx="127">
                  <c:v>1.6380047803526383E-12</c:v>
                </c:pt>
                <c:pt idx="128">
                  <c:v>1.6380047803526383E-12</c:v>
                </c:pt>
                <c:pt idx="129">
                  <c:v>1.6380047803526383E-12</c:v>
                </c:pt>
                <c:pt idx="130">
                  <c:v>1.6380047803526383E-12</c:v>
                </c:pt>
                <c:pt idx="131">
                  <c:v>1.6380047803526383E-12</c:v>
                </c:pt>
                <c:pt idx="132">
                  <c:v>1.6380047803526383E-12</c:v>
                </c:pt>
                <c:pt idx="133">
                  <c:v>1.6380047803526383E-12</c:v>
                </c:pt>
                <c:pt idx="134">
                  <c:v>1.6380047803526383E-12</c:v>
                </c:pt>
                <c:pt idx="135">
                  <c:v>1.6380047803526383E-12</c:v>
                </c:pt>
                <c:pt idx="136">
                  <c:v>1.6380047803526383E-12</c:v>
                </c:pt>
                <c:pt idx="137">
                  <c:v>1.6380047803526383E-12</c:v>
                </c:pt>
                <c:pt idx="138">
                  <c:v>1.6380047803526383E-12</c:v>
                </c:pt>
                <c:pt idx="139">
                  <c:v>1.6380047803526383E-12</c:v>
                </c:pt>
                <c:pt idx="140">
                  <c:v>1.6380047803526383E-12</c:v>
                </c:pt>
                <c:pt idx="141">
                  <c:v>1.6380047803526383E-12</c:v>
                </c:pt>
                <c:pt idx="142">
                  <c:v>1.6380047803526383E-12</c:v>
                </c:pt>
                <c:pt idx="143">
                  <c:v>1.6380047803526383E-12</c:v>
                </c:pt>
                <c:pt idx="144">
                  <c:v>1.6380047803526383E-12</c:v>
                </c:pt>
                <c:pt idx="145">
                  <c:v>1.6380047803526383E-12</c:v>
                </c:pt>
                <c:pt idx="146">
                  <c:v>1.6380047803526383E-12</c:v>
                </c:pt>
                <c:pt idx="147">
                  <c:v>1.6380047803526383E-12</c:v>
                </c:pt>
                <c:pt idx="148">
                  <c:v>1.6380047803526383E-12</c:v>
                </c:pt>
                <c:pt idx="149">
                  <c:v>1.6380047803526383E-12</c:v>
                </c:pt>
                <c:pt idx="150">
                  <c:v>1.6380047803526383E-12</c:v>
                </c:pt>
                <c:pt idx="151">
                  <c:v>1.6380047803526383E-12</c:v>
                </c:pt>
                <c:pt idx="152">
                  <c:v>1.6380047803526383E-12</c:v>
                </c:pt>
                <c:pt idx="153">
                  <c:v>1.6380047803526383E-12</c:v>
                </c:pt>
                <c:pt idx="154">
                  <c:v>1.6380047803526383E-12</c:v>
                </c:pt>
                <c:pt idx="155">
                  <c:v>1.6380047803526383E-12</c:v>
                </c:pt>
                <c:pt idx="156">
                  <c:v>1.6380047803526383E-12</c:v>
                </c:pt>
                <c:pt idx="157">
                  <c:v>1.6380047803526383E-12</c:v>
                </c:pt>
                <c:pt idx="158">
                  <c:v>1.6380047803526383E-12</c:v>
                </c:pt>
                <c:pt idx="159">
                  <c:v>1.6380047803526383E-12</c:v>
                </c:pt>
                <c:pt idx="160">
                  <c:v>1.6380047803526383E-12</c:v>
                </c:pt>
                <c:pt idx="161">
                  <c:v>1.6380047803526383E-12</c:v>
                </c:pt>
                <c:pt idx="162">
                  <c:v>1.6380047803526383E-12</c:v>
                </c:pt>
                <c:pt idx="163">
                  <c:v>1.6380047803526383E-12</c:v>
                </c:pt>
                <c:pt idx="164">
                  <c:v>1.6380047803526383E-12</c:v>
                </c:pt>
                <c:pt idx="165">
                  <c:v>1.6380047803526383E-12</c:v>
                </c:pt>
                <c:pt idx="166">
                  <c:v>1.6380047803526383E-12</c:v>
                </c:pt>
                <c:pt idx="167">
                  <c:v>1.6380047803526383E-12</c:v>
                </c:pt>
                <c:pt idx="168">
                  <c:v>1.6380047803526383E-12</c:v>
                </c:pt>
                <c:pt idx="169">
                  <c:v>1.6380047803526383E-12</c:v>
                </c:pt>
                <c:pt idx="170">
                  <c:v>1.6380047803526383E-12</c:v>
                </c:pt>
                <c:pt idx="171">
                  <c:v>1.6380047803526383E-12</c:v>
                </c:pt>
                <c:pt idx="172">
                  <c:v>1.6380047803526383E-12</c:v>
                </c:pt>
                <c:pt idx="173">
                  <c:v>1.6380047803526383E-12</c:v>
                </c:pt>
                <c:pt idx="174">
                  <c:v>1.6380047803526383E-12</c:v>
                </c:pt>
                <c:pt idx="175">
                  <c:v>1.6380047803526383E-12</c:v>
                </c:pt>
                <c:pt idx="176">
                  <c:v>1.6380047803526383E-12</c:v>
                </c:pt>
                <c:pt idx="177">
                  <c:v>1.6380047803526383E-12</c:v>
                </c:pt>
                <c:pt idx="178">
                  <c:v>1.6380047803526383E-12</c:v>
                </c:pt>
                <c:pt idx="179">
                  <c:v>1.6380047803526383E-12</c:v>
                </c:pt>
                <c:pt idx="180">
                  <c:v>1.6380047803526383E-12</c:v>
                </c:pt>
                <c:pt idx="181">
                  <c:v>1.6380047803526383E-12</c:v>
                </c:pt>
                <c:pt idx="182">
                  <c:v>1.6380047803526383E-12</c:v>
                </c:pt>
                <c:pt idx="183">
                  <c:v>1.6380047803526383E-12</c:v>
                </c:pt>
                <c:pt idx="184">
                  <c:v>1.6380047803526383E-12</c:v>
                </c:pt>
                <c:pt idx="185">
                  <c:v>1.6380047803526383E-12</c:v>
                </c:pt>
                <c:pt idx="186">
                  <c:v>1.6380047803526383E-12</c:v>
                </c:pt>
                <c:pt idx="187">
                  <c:v>1.6380047803526383E-12</c:v>
                </c:pt>
                <c:pt idx="188">
                  <c:v>1.6380047803526383E-12</c:v>
                </c:pt>
                <c:pt idx="189">
                  <c:v>1.6380047803526383E-12</c:v>
                </c:pt>
                <c:pt idx="190">
                  <c:v>1.6380047803526383E-12</c:v>
                </c:pt>
                <c:pt idx="191">
                  <c:v>1.6380047803526383E-12</c:v>
                </c:pt>
                <c:pt idx="192">
                  <c:v>1.6380047803526383E-12</c:v>
                </c:pt>
                <c:pt idx="193">
                  <c:v>1.6380047803526383E-12</c:v>
                </c:pt>
                <c:pt idx="194">
                  <c:v>1.6380047803526383E-12</c:v>
                </c:pt>
                <c:pt idx="195">
                  <c:v>1.6380047803526383E-12</c:v>
                </c:pt>
                <c:pt idx="196">
                  <c:v>1.6380047803526383E-12</c:v>
                </c:pt>
                <c:pt idx="197">
                  <c:v>1.6380047803526383E-12</c:v>
                </c:pt>
                <c:pt idx="198">
                  <c:v>1.6380047803526383E-12</c:v>
                </c:pt>
                <c:pt idx="199">
                  <c:v>1.6380047803526383E-12</c:v>
                </c:pt>
                <c:pt idx="200">
                  <c:v>1.6380047803526383E-12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4853200"/>
        <c:axId val="1934856464"/>
      </c:scatterChart>
      <c:valAx>
        <c:axId val="1934853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6464"/>
        <c:crosses val="autoZero"/>
        <c:crossBetween val="midCat"/>
      </c:valAx>
      <c:valAx>
        <c:axId val="1934856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3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3.1628863339481534</c:v>
                </c:pt>
                <c:pt idx="2">
                  <c:v>3.6628992871920438</c:v>
                </c:pt>
                <c:pt idx="3">
                  <c:v>4.2422409244936503</c:v>
                </c:pt>
                <c:pt idx="4">
                  <c:v>4.9135393564650593</c:v>
                </c:pt>
                <c:pt idx="5">
                  <c:v>5.6914392471718847</c:v>
                </c:pt>
                <c:pt idx="6">
                  <c:v>6.5929247726706288</c:v>
                </c:pt>
                <c:pt idx="7">
                  <c:v>7.6376944418802752</c:v>
                </c:pt>
                <c:pt idx="8">
                  <c:v>8.8485961287004873</c:v>
                </c:pt>
                <c:pt idx="9">
                  <c:v>10.252132011350932</c:v>
                </c:pt>
                <c:pt idx="10">
                  <c:v>11.879044679757373</c:v>
                </c:pt>
                <c:pt idx="11">
                  <c:v>13.764997489727833</c:v>
                </c:pt>
                <c:pt idx="12">
                  <c:v>15.951364354646456</c:v>
                </c:pt>
                <c:pt idx="13">
                  <c:v>18.486146619119001</c:v>
                </c:pt>
                <c:pt idx="14">
                  <c:v>21.425037509820857</c:v>
                </c:pt>
                <c:pt idx="15">
                  <c:v>24.832657971109484</c:v>
                </c:pt>
                <c:pt idx="16">
                  <c:v>28.783991541603669</c:v>
                </c:pt>
                <c:pt idx="17">
                  <c:v>33.366050399895471</c:v>
                </c:pt>
                <c:pt idx="18">
                  <c:v>38.679809903968007</c:v>
                </c:pt>
                <c:pt idx="19">
                  <c:v>44.842454987298908</c:v>
                </c:pt>
                <c:pt idx="20">
                  <c:v>51.989988791691758</c:v>
                </c:pt>
                <c:pt idx="21">
                  <c:v>59.194676379503932</c:v>
                </c:pt>
                <c:pt idx="22">
                  <c:v>66.376471349621667</c:v>
                </c:pt>
                <c:pt idx="23">
                  <c:v>73.538207482585321</c:v>
                </c:pt>
                <c:pt idx="24">
                  <c:v>80.682119006165934</c:v>
                </c:pt>
                <c:pt idx="25">
                  <c:v>87.810010625275268</c:v>
                </c:pt>
                <c:pt idx="26">
                  <c:v>96.344409983623464</c:v>
                </c:pt>
                <c:pt idx="27">
                  <c:v>104.85998913171427</c:v>
                </c:pt>
                <c:pt idx="28">
                  <c:v>113.3584947279664</c:v>
                </c:pt>
                <c:pt idx="29">
                  <c:v>121.84138944928242</c:v>
                </c:pt>
                <c:pt idx="30">
                  <c:v>130.30991517841125</c:v>
                </c:pt>
                <c:pt idx="31">
                  <c:v>117.60181126110916</c:v>
                </c:pt>
                <c:pt idx="32">
                  <c:v>126.0773781005813</c:v>
                </c:pt>
                <c:pt idx="33">
                  <c:v>134.53912892670354</c:v>
                </c:pt>
                <c:pt idx="34">
                  <c:v>142.98805654329652</c:v>
                </c:pt>
                <c:pt idx="35">
                  <c:v>151.42502661477832</c:v>
                </c:pt>
                <c:pt idx="36">
                  <c:v>142.0498921619245</c:v>
                </c:pt>
                <c:pt idx="37">
                  <c:v>151.42502661477832</c:v>
                </c:pt>
                <c:pt idx="38">
                  <c:v>160.78633625957775</c:v>
                </c:pt>
                <c:pt idx="39">
                  <c:v>170.13474046014434</c:v>
                </c:pt>
                <c:pt idx="40">
                  <c:v>179.47104913917386</c:v>
                </c:pt>
                <c:pt idx="41">
                  <c:v>167.33152417187674</c:v>
                </c:pt>
                <c:pt idx="42">
                  <c:v>176.20467025441363</c:v>
                </c:pt>
                <c:pt idx="43">
                  <c:v>185.06733079959395</c:v>
                </c:pt>
                <c:pt idx="44">
                  <c:v>193.92007935590107</c:v>
                </c:pt>
                <c:pt idx="45">
                  <c:v>202.7634327562281</c:v>
                </c:pt>
                <c:pt idx="46">
                  <c:v>190.65965977632126</c:v>
                </c:pt>
                <c:pt idx="47">
                  <c:v>199.5064176625655</c:v>
                </c:pt>
                <c:pt idx="48">
                  <c:v>208.34408122016092</c:v>
                </c:pt>
                <c:pt idx="49">
                  <c:v>217.17309104815999</c:v>
                </c:pt>
                <c:pt idx="50">
                  <c:v>225.99384895175183</c:v>
                </c:pt>
                <c:pt idx="51">
                  <c:v>214.38589248354242</c:v>
                </c:pt>
                <c:pt idx="52">
                  <c:v>223.6733757126764</c:v>
                </c:pt>
                <c:pt idx="53">
                  <c:v>232.95201893246733</c:v>
                </c:pt>
                <c:pt idx="54">
                  <c:v>242.22222423091577</c:v>
                </c:pt>
                <c:pt idx="55">
                  <c:v>251.48436037421268</c:v>
                </c:pt>
                <c:pt idx="56">
                  <c:v>237.12463272796344</c:v>
                </c:pt>
                <c:pt idx="57">
                  <c:v>245.9280273623057</c:v>
                </c:pt>
                <c:pt idx="58">
                  <c:v>254.7242653034034</c:v>
                </c:pt>
                <c:pt idx="59">
                  <c:v>263.5136287803752</c:v>
                </c:pt>
                <c:pt idx="60">
                  <c:v>272.29637963914479</c:v>
                </c:pt>
                <c:pt idx="61">
                  <c:v>257.96323733243611</c:v>
                </c:pt>
                <c:pt idx="62">
                  <c:v>266.75013513037209</c:v>
                </c:pt>
                <c:pt idx="63">
                  <c:v>275.53051206789081</c:v>
                </c:pt>
                <c:pt idx="64">
                  <c:v>284.30460543918753</c:v>
                </c:pt>
                <c:pt idx="65">
                  <c:v>293.07263668278023</c:v>
                </c:pt>
                <c:pt idx="66">
                  <c:v>278.30194643574589</c:v>
                </c:pt>
                <c:pt idx="67">
                  <c:v>286.61256112608544</c:v>
                </c:pt>
                <c:pt idx="68">
                  <c:v>294.91778523157927</c:v>
                </c:pt>
                <c:pt idx="69">
                  <c:v>303.21779210740073</c:v>
                </c:pt>
                <c:pt idx="70">
                  <c:v>311.51274483481546</c:v>
                </c:pt>
                <c:pt idx="71">
                  <c:v>296.30147749206861</c:v>
                </c:pt>
                <c:pt idx="72">
                  <c:v>304.13970022013865</c:v>
                </c:pt>
                <c:pt idx="73">
                  <c:v>311.97343047900409</c:v>
                </c:pt>
                <c:pt idx="74">
                  <c:v>319.80279709344177</c:v>
                </c:pt>
                <c:pt idx="75">
                  <c:v>327.62792205981231</c:v>
                </c:pt>
                <c:pt idx="76">
                  <c:v>312.43410102603713</c:v>
                </c:pt>
                <c:pt idx="77">
                  <c:v>320.26321481869581</c:v>
                </c:pt>
                <c:pt idx="78">
                  <c:v>328.08809393827681</c:v>
                </c:pt>
                <c:pt idx="79">
                  <c:v>335.90885371669873</c:v>
                </c:pt>
                <c:pt idx="80">
                  <c:v>343.72560367250861</c:v>
                </c:pt>
                <c:pt idx="81">
                  <c:v>329.92863915898073</c:v>
                </c:pt>
                <c:pt idx="82">
                  <c:v>336.82867741987707</c:v>
                </c:pt>
                <c:pt idx="83">
                  <c:v>343.72560367250861</c:v>
                </c:pt>
                <c:pt idx="84">
                  <c:v>350.61948923031787</c:v>
                </c:pt>
                <c:pt idx="85">
                  <c:v>357.51040237087665</c:v>
                </c:pt>
                <c:pt idx="86">
                  <c:v>344.18528987135369</c:v>
                </c:pt>
                <c:pt idx="87">
                  <c:v>351.53844793236181</c:v>
                </c:pt>
                <c:pt idx="88">
                  <c:v>358.8882341147721</c:v>
                </c:pt>
                <c:pt idx="89">
                  <c:v>366.23472727218899</c:v>
                </c:pt>
                <c:pt idx="90">
                  <c:v>373.57800283389633</c:v>
                </c:pt>
                <c:pt idx="91">
                  <c:v>359.3474856130531</c:v>
                </c:pt>
                <c:pt idx="92">
                  <c:v>365.77566648144415</c:v>
                </c:pt>
                <c:pt idx="93">
                  <c:v>372.20138039050306</c:v>
                </c:pt>
                <c:pt idx="94">
                  <c:v>378.62467597910836</c:v>
                </c:pt>
                <c:pt idx="95">
                  <c:v>385.04560009964825</c:v>
                </c:pt>
                <c:pt idx="96">
                  <c:v>371.28357043570492</c:v>
                </c:pt>
                <c:pt idx="97">
                  <c:v>378.1659483420201</c:v>
                </c:pt>
                <c:pt idx="98">
                  <c:v>385.04560009964825</c:v>
                </c:pt>
                <c:pt idx="99">
                  <c:v>391.92258132889066</c:v>
                </c:pt>
                <c:pt idx="100">
                  <c:v>398.79694553728069</c:v>
                </c:pt>
                <c:pt idx="101">
                  <c:v>384.58704033593932</c:v>
                </c:pt>
                <c:pt idx="102">
                  <c:v>391.00580285106707</c:v>
                </c:pt>
                <c:pt idx="103">
                  <c:v>397.42227955689032</c:v>
                </c:pt>
                <c:pt idx="104">
                  <c:v>403.83651259651884</c:v>
                </c:pt>
                <c:pt idx="105">
                  <c:v>410.2485426639725</c:v>
                </c:pt>
                <c:pt idx="106">
                  <c:v>396.50577836169577</c:v>
                </c:pt>
                <c:pt idx="107">
                  <c:v>403.37842662539197</c:v>
                </c:pt>
                <c:pt idx="108">
                  <c:v>410.2485426639725</c:v>
                </c:pt>
                <c:pt idx="109">
                  <c:v>417.11617489634546</c:v>
                </c:pt>
                <c:pt idx="110">
                  <c:v>423.98137001578169</c:v>
                </c:pt>
                <c:pt idx="111">
                  <c:v>407.9587823175745</c:v>
                </c:pt>
                <c:pt idx="112">
                  <c:v>414.82723721388493</c:v>
                </c:pt>
                <c:pt idx="113">
                  <c:v>421.69323961894685</c:v>
                </c:pt>
                <c:pt idx="114">
                  <c:v>428.55683512546574</c:v>
                </c:pt>
                <c:pt idx="115">
                  <c:v>435.41806774560109</c:v>
                </c:pt>
                <c:pt idx="116">
                  <c:v>1.8017017738191463E-12</c:v>
                </c:pt>
                <c:pt idx="117">
                  <c:v>1.8017017738191463E-12</c:v>
                </c:pt>
                <c:pt idx="118">
                  <c:v>1.8017017738191463E-12</c:v>
                </c:pt>
                <c:pt idx="119">
                  <c:v>1.8017017738191463E-12</c:v>
                </c:pt>
                <c:pt idx="120">
                  <c:v>1.8017017738191463E-12</c:v>
                </c:pt>
                <c:pt idx="121">
                  <c:v>1.8017017738191463E-12</c:v>
                </c:pt>
                <c:pt idx="122">
                  <c:v>1.8017017738191463E-12</c:v>
                </c:pt>
                <c:pt idx="123">
                  <c:v>1.8017017738191463E-12</c:v>
                </c:pt>
                <c:pt idx="124">
                  <c:v>1.8017017738191463E-12</c:v>
                </c:pt>
                <c:pt idx="125">
                  <c:v>1.8017017738191463E-12</c:v>
                </c:pt>
                <c:pt idx="126">
                  <c:v>1.8017017738191463E-12</c:v>
                </c:pt>
                <c:pt idx="127">
                  <c:v>1.8017017738191463E-12</c:v>
                </c:pt>
                <c:pt idx="128">
                  <c:v>1.8017017738191463E-12</c:v>
                </c:pt>
                <c:pt idx="129">
                  <c:v>1.8017017738191463E-12</c:v>
                </c:pt>
                <c:pt idx="130">
                  <c:v>1.8017017738191463E-12</c:v>
                </c:pt>
                <c:pt idx="131">
                  <c:v>1.8017017738191463E-12</c:v>
                </c:pt>
                <c:pt idx="132">
                  <c:v>1.8017017738191463E-12</c:v>
                </c:pt>
                <c:pt idx="133">
                  <c:v>1.8017017738191463E-12</c:v>
                </c:pt>
                <c:pt idx="134">
                  <c:v>1.8017017738191463E-12</c:v>
                </c:pt>
                <c:pt idx="135">
                  <c:v>1.8017017738191463E-12</c:v>
                </c:pt>
                <c:pt idx="136">
                  <c:v>1.8017017738191463E-12</c:v>
                </c:pt>
                <c:pt idx="137">
                  <c:v>1.8017017738191463E-12</c:v>
                </c:pt>
                <c:pt idx="138">
                  <c:v>1.8017017738191463E-12</c:v>
                </c:pt>
                <c:pt idx="139">
                  <c:v>1.8017017738191463E-12</c:v>
                </c:pt>
                <c:pt idx="140">
                  <c:v>1.8017017738191463E-12</c:v>
                </c:pt>
                <c:pt idx="141">
                  <c:v>1.8017017738191463E-12</c:v>
                </c:pt>
                <c:pt idx="142">
                  <c:v>1.8017017738191463E-12</c:v>
                </c:pt>
                <c:pt idx="143">
                  <c:v>1.8017017738191463E-12</c:v>
                </c:pt>
                <c:pt idx="144">
                  <c:v>1.8017017738191463E-12</c:v>
                </c:pt>
                <c:pt idx="145">
                  <c:v>1.8017017738191463E-12</c:v>
                </c:pt>
                <c:pt idx="146">
                  <c:v>1.8017017738191463E-12</c:v>
                </c:pt>
                <c:pt idx="147">
                  <c:v>1.8017017738191463E-12</c:v>
                </c:pt>
                <c:pt idx="148">
                  <c:v>1.8017017738191463E-12</c:v>
                </c:pt>
                <c:pt idx="149">
                  <c:v>1.8017017738191463E-12</c:v>
                </c:pt>
                <c:pt idx="150">
                  <c:v>1.8017017738191463E-12</c:v>
                </c:pt>
                <c:pt idx="151">
                  <c:v>1.8017017738191463E-12</c:v>
                </c:pt>
                <c:pt idx="152">
                  <c:v>1.8017017738191463E-12</c:v>
                </c:pt>
                <c:pt idx="153">
                  <c:v>1.8017017738191463E-12</c:v>
                </c:pt>
                <c:pt idx="154">
                  <c:v>1.8017017738191463E-12</c:v>
                </c:pt>
                <c:pt idx="155">
                  <c:v>1.8017017738191463E-12</c:v>
                </c:pt>
                <c:pt idx="156">
                  <c:v>1.8017017738191463E-12</c:v>
                </c:pt>
                <c:pt idx="157">
                  <c:v>1.8017017738191463E-12</c:v>
                </c:pt>
                <c:pt idx="158">
                  <c:v>1.8017017738191463E-12</c:v>
                </c:pt>
                <c:pt idx="159">
                  <c:v>1.8017017738191463E-12</c:v>
                </c:pt>
                <c:pt idx="160">
                  <c:v>1.8017017738191463E-12</c:v>
                </c:pt>
                <c:pt idx="161">
                  <c:v>1.8017017738191463E-12</c:v>
                </c:pt>
                <c:pt idx="162">
                  <c:v>1.8017017738191463E-12</c:v>
                </c:pt>
                <c:pt idx="163">
                  <c:v>1.8017017738191463E-12</c:v>
                </c:pt>
                <c:pt idx="164">
                  <c:v>1.8017017738191463E-12</c:v>
                </c:pt>
                <c:pt idx="165">
                  <c:v>1.8017017738191463E-12</c:v>
                </c:pt>
                <c:pt idx="166">
                  <c:v>1.8017017738191463E-12</c:v>
                </c:pt>
                <c:pt idx="167">
                  <c:v>1.8017017738191463E-12</c:v>
                </c:pt>
                <c:pt idx="168">
                  <c:v>1.8017017738191463E-12</c:v>
                </c:pt>
                <c:pt idx="169">
                  <c:v>1.8017017738191463E-12</c:v>
                </c:pt>
                <c:pt idx="170">
                  <c:v>1.8017017738191463E-12</c:v>
                </c:pt>
                <c:pt idx="171">
                  <c:v>1.8017017738191463E-12</c:v>
                </c:pt>
                <c:pt idx="172">
                  <c:v>1.8017017738191463E-12</c:v>
                </c:pt>
                <c:pt idx="173">
                  <c:v>1.8017017738191463E-12</c:v>
                </c:pt>
                <c:pt idx="174">
                  <c:v>1.8017017738191463E-12</c:v>
                </c:pt>
                <c:pt idx="175">
                  <c:v>1.8017017738191463E-12</c:v>
                </c:pt>
                <c:pt idx="176">
                  <c:v>1.8017017738191463E-12</c:v>
                </c:pt>
                <c:pt idx="177">
                  <c:v>1.8017017738191463E-12</c:v>
                </c:pt>
                <c:pt idx="178">
                  <c:v>1.8017017738191463E-12</c:v>
                </c:pt>
                <c:pt idx="179">
                  <c:v>1.8017017738191463E-12</c:v>
                </c:pt>
                <c:pt idx="180">
                  <c:v>1.8017017738191463E-12</c:v>
                </c:pt>
                <c:pt idx="181">
                  <c:v>1.8017017738191463E-12</c:v>
                </c:pt>
                <c:pt idx="182">
                  <c:v>1.8017017738191463E-12</c:v>
                </c:pt>
                <c:pt idx="183">
                  <c:v>1.8017017738191463E-12</c:v>
                </c:pt>
                <c:pt idx="184">
                  <c:v>1.8017017738191463E-12</c:v>
                </c:pt>
                <c:pt idx="185">
                  <c:v>1.8017017738191463E-12</c:v>
                </c:pt>
                <c:pt idx="186">
                  <c:v>1.8017017738191463E-12</c:v>
                </c:pt>
                <c:pt idx="187">
                  <c:v>1.8017017738191463E-12</c:v>
                </c:pt>
                <c:pt idx="188">
                  <c:v>1.8017017738191463E-12</c:v>
                </c:pt>
                <c:pt idx="189">
                  <c:v>1.8017017738191463E-12</c:v>
                </c:pt>
                <c:pt idx="190">
                  <c:v>1.8017017738191463E-12</c:v>
                </c:pt>
                <c:pt idx="191">
                  <c:v>1.8017017738191463E-12</c:v>
                </c:pt>
                <c:pt idx="192">
                  <c:v>1.8017017738191463E-12</c:v>
                </c:pt>
                <c:pt idx="193">
                  <c:v>1.8017017738191463E-12</c:v>
                </c:pt>
                <c:pt idx="194">
                  <c:v>1.8017017738191463E-12</c:v>
                </c:pt>
                <c:pt idx="195">
                  <c:v>1.8017017738191463E-12</c:v>
                </c:pt>
                <c:pt idx="196">
                  <c:v>1.8017017738191463E-12</c:v>
                </c:pt>
                <c:pt idx="197">
                  <c:v>1.8017017738191463E-12</c:v>
                </c:pt>
                <c:pt idx="198">
                  <c:v>1.8017017738191463E-12</c:v>
                </c:pt>
                <c:pt idx="199">
                  <c:v>1.8017017738191463E-12</c:v>
                </c:pt>
                <c:pt idx="200">
                  <c:v>1.8017017738191463E-12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5893504"/>
        <c:axId val="1926197264"/>
      </c:scatterChart>
      <c:valAx>
        <c:axId val="164589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6197264"/>
        <c:crosses val="autoZero"/>
        <c:crossBetween val="midCat"/>
      </c:valAx>
      <c:valAx>
        <c:axId val="19261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4589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0240"/>
        <c:axId val="27547520"/>
      </c:scatterChart>
      <c:valAx>
        <c:axId val="27550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7520"/>
        <c:crosses val="autoZero"/>
        <c:crossBetween val="midCat"/>
      </c:valAx>
      <c:valAx>
        <c:axId val="2754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0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8272"/>
        <c:axId val="27529024"/>
      </c:scatterChart>
      <c:valAx>
        <c:axId val="2753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9024"/>
        <c:crosses val="autoZero"/>
        <c:crossBetween val="midCat"/>
      </c:valAx>
      <c:valAx>
        <c:axId val="2752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6096"/>
        <c:axId val="27554592"/>
      </c:scatterChart>
      <c:valAx>
        <c:axId val="27536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4592"/>
        <c:crosses val="autoZero"/>
        <c:crossBetween val="midCat"/>
      </c:valAx>
      <c:valAx>
        <c:axId val="2755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6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42080"/>
        <c:axId val="27548064"/>
      </c:scatterChart>
      <c:valAx>
        <c:axId val="27542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8064"/>
        <c:crosses val="autoZero"/>
        <c:crossBetween val="midCat"/>
      </c:valAx>
      <c:valAx>
        <c:axId val="2754806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2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5" zoomScale="80" zoomScaleNormal="80" workbookViewId="0">
      <selection activeCell="I21" sqref="I21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3.5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11</v>
      </c>
      <c r="C9" s="32">
        <v>0.107</v>
      </c>
      <c r="D9" s="33">
        <f t="shared" ref="D9:D18" si="0">C9*$C$5</f>
        <v>0.3745</v>
      </c>
      <c r="E9" s="34">
        <v>100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14</v>
      </c>
      <c r="C10" s="32">
        <v>0.19</v>
      </c>
      <c r="D10" s="33">
        <f t="shared" si="0"/>
        <v>0.66500000000000004</v>
      </c>
      <c r="E10" s="34">
        <v>100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36</v>
      </c>
      <c r="C11" s="32">
        <v>0.66</v>
      </c>
      <c r="D11" s="33">
        <f t="shared" si="0"/>
        <v>2.31</v>
      </c>
      <c r="E11" s="34">
        <v>62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1</v>
      </c>
      <c r="C12" s="32">
        <v>0.02</v>
      </c>
      <c r="D12" s="33">
        <f t="shared" si="0"/>
        <v>7.0000000000000007E-2</v>
      </c>
      <c r="E12" s="34">
        <v>115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52</v>
      </c>
      <c r="C13" s="32">
        <v>0.02</v>
      </c>
      <c r="D13" s="33">
        <f t="shared" si="0"/>
        <v>7.0000000000000007E-2</v>
      </c>
      <c r="E13" s="34">
        <v>115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0.99700000000000011</v>
      </c>
      <c r="D19" s="38">
        <f>SUM(D9:D18)</f>
        <v>3.4894999999999996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pédonculé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20</v>
      </c>
      <c r="B36" s="60">
        <v>42</v>
      </c>
      <c r="C36" s="60"/>
      <c r="D36" s="60"/>
      <c r="E36" s="51"/>
      <c r="F36" s="51"/>
      <c r="G36" s="51"/>
      <c r="H36" s="51"/>
      <c r="I36" s="49">
        <f>IFERROR(B36/A36,"")</f>
        <v>2.1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25</v>
      </c>
      <c r="B37" s="60">
        <v>70</v>
      </c>
      <c r="C37" s="60">
        <v>1</v>
      </c>
      <c r="D37" s="60">
        <v>8</v>
      </c>
      <c r="E37" s="51"/>
      <c r="F37" s="51"/>
      <c r="G37" s="51">
        <v>0.4</v>
      </c>
      <c r="H37" s="51">
        <v>0.6</v>
      </c>
      <c r="I37" s="53">
        <f t="shared" ref="I37:I55" si="1">IF(A37&lt;&gt;0,(B37-(B36-D36))/(A37-A36),"")</f>
        <v>5.6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30</v>
      </c>
      <c r="B38" s="60">
        <v>97</v>
      </c>
      <c r="C38" s="60">
        <v>2</v>
      </c>
      <c r="D38" s="60">
        <v>21</v>
      </c>
      <c r="E38" s="51"/>
      <c r="F38" s="51"/>
      <c r="G38" s="51">
        <v>0.4</v>
      </c>
      <c r="H38" s="51">
        <v>0.6</v>
      </c>
      <c r="I38" s="53">
        <f t="shared" si="1"/>
        <v>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40</v>
      </c>
      <c r="B39" s="60">
        <v>158</v>
      </c>
      <c r="C39" s="60">
        <v>3</v>
      </c>
      <c r="D39" s="60">
        <v>42</v>
      </c>
      <c r="E39" s="51"/>
      <c r="F39" s="51"/>
      <c r="G39" s="51">
        <v>0.4</v>
      </c>
      <c r="H39" s="51">
        <v>0.6</v>
      </c>
      <c r="I39" s="49">
        <f t="shared" si="1"/>
        <v>8.1999999999999993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50</v>
      </c>
      <c r="B40" s="60">
        <v>199</v>
      </c>
      <c r="C40" s="60">
        <v>4</v>
      </c>
      <c r="D40" s="60">
        <v>42</v>
      </c>
      <c r="E40" s="51"/>
      <c r="F40" s="51"/>
      <c r="G40" s="51"/>
      <c r="H40" s="51"/>
      <c r="I40" s="49">
        <f t="shared" si="1"/>
        <v>8.3000000000000007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60</v>
      </c>
      <c r="B41" s="60">
        <v>235</v>
      </c>
      <c r="C41" s="60">
        <v>5</v>
      </c>
      <c r="D41" s="60">
        <v>42</v>
      </c>
      <c r="E41" s="51"/>
      <c r="F41" s="51"/>
      <c r="G41" s="51"/>
      <c r="H41" s="51"/>
      <c r="I41" s="53">
        <f t="shared" si="1"/>
        <v>7.8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70</v>
      </c>
      <c r="B42" s="60">
        <v>263</v>
      </c>
      <c r="C42" s="60">
        <v>6</v>
      </c>
      <c r="D42" s="60">
        <v>42</v>
      </c>
      <c r="E42" s="51"/>
      <c r="F42" s="51"/>
      <c r="G42" s="51"/>
      <c r="H42" s="51"/>
      <c r="I42" s="53">
        <f t="shared" si="1"/>
        <v>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80</v>
      </c>
      <c r="B43" s="60">
        <v>282</v>
      </c>
      <c r="C43" s="60">
        <v>7</v>
      </c>
      <c r="D43" s="60">
        <v>42</v>
      </c>
      <c r="E43" s="51"/>
      <c r="F43" s="51"/>
      <c r="G43" s="51"/>
      <c r="H43" s="51"/>
      <c r="I43" s="49">
        <f t="shared" si="1"/>
        <v>6.1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90</v>
      </c>
      <c r="B44" s="60">
        <v>296</v>
      </c>
      <c r="C44" s="60">
        <v>8</v>
      </c>
      <c r="D44" s="60">
        <v>42</v>
      </c>
      <c r="E44" s="51"/>
      <c r="F44" s="51"/>
      <c r="G44" s="51"/>
      <c r="H44" s="51"/>
      <c r="I44" s="49">
        <f t="shared" si="1"/>
        <v>5.6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100</v>
      </c>
      <c r="B45" s="60">
        <v>303</v>
      </c>
      <c r="C45" s="60" t="s">
        <v>324</v>
      </c>
      <c r="D45" s="60">
        <v>303</v>
      </c>
      <c r="E45" s="51"/>
      <c r="F45" s="51"/>
      <c r="G45" s="51"/>
      <c r="H45" s="51"/>
      <c r="I45" s="49">
        <f t="shared" si="1"/>
        <v>4.9000000000000004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sessile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v>42</v>
      </c>
      <c r="C62" s="60"/>
      <c r="D62" s="60"/>
      <c r="E62" s="51"/>
      <c r="F62" s="51"/>
      <c r="G62" s="51"/>
      <c r="H62" s="51"/>
      <c r="I62" s="53">
        <f>IFERROR(B62/A62,"")</f>
        <v>2.1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25</v>
      </c>
      <c r="B63" s="60">
        <v>70</v>
      </c>
      <c r="C63" s="60">
        <v>1</v>
      </c>
      <c r="D63" s="60">
        <v>8</v>
      </c>
      <c r="E63" s="51"/>
      <c r="F63" s="51"/>
      <c r="G63" s="51">
        <v>0.4</v>
      </c>
      <c r="H63" s="51">
        <v>0.6</v>
      </c>
      <c r="I63" s="49">
        <f>IF(A63&lt;&gt;0,(B63-(B62-D62))/(A63-A62),"")</f>
        <v>5.6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30</v>
      </c>
      <c r="B64" s="60">
        <v>97</v>
      </c>
      <c r="C64" s="60">
        <v>2</v>
      </c>
      <c r="D64" s="60">
        <v>21</v>
      </c>
      <c r="E64" s="51"/>
      <c r="F64" s="51"/>
      <c r="G64" s="51">
        <v>0.4</v>
      </c>
      <c r="H64" s="51">
        <v>0.6</v>
      </c>
      <c r="I64" s="49">
        <f>IF(A64&lt;&gt;0,(B64-(B63-D63))/(A64-A63),"")</f>
        <v>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40</v>
      </c>
      <c r="B65" s="60">
        <v>158</v>
      </c>
      <c r="C65" s="60">
        <v>3</v>
      </c>
      <c r="D65" s="60">
        <v>42</v>
      </c>
      <c r="E65" s="51"/>
      <c r="F65" s="51"/>
      <c r="G65" s="51">
        <v>0.4</v>
      </c>
      <c r="H65" s="51">
        <v>0.6</v>
      </c>
      <c r="I65" s="49">
        <f>IF(A65&lt;&gt;0,(B65-(B64-D64))/(A65-A64),"")</f>
        <v>8.1999999999999993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50</v>
      </c>
      <c r="B66" s="60">
        <v>199</v>
      </c>
      <c r="C66" s="60">
        <v>4</v>
      </c>
      <c r="D66" s="60">
        <v>42</v>
      </c>
      <c r="E66" s="51"/>
      <c r="F66" s="51"/>
      <c r="G66" s="51"/>
      <c r="H66" s="51"/>
      <c r="I66" s="49">
        <f t="shared" ref="I66:I81" si="2">IF(A66&lt;&gt;0,(B66-(B65-D65))/(A66-A65),"")</f>
        <v>8.3000000000000007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60</v>
      </c>
      <c r="B67" s="60">
        <v>235</v>
      </c>
      <c r="C67" s="60">
        <v>5</v>
      </c>
      <c r="D67" s="60">
        <v>42</v>
      </c>
      <c r="E67" s="51"/>
      <c r="F67" s="51"/>
      <c r="G67" s="51"/>
      <c r="H67" s="51"/>
      <c r="I67" s="49">
        <f t="shared" si="2"/>
        <v>7.8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70</v>
      </c>
      <c r="B68" s="60">
        <v>263</v>
      </c>
      <c r="C68" s="60">
        <v>6</v>
      </c>
      <c r="D68" s="60">
        <v>42</v>
      </c>
      <c r="E68" s="51"/>
      <c r="F68" s="51"/>
      <c r="G68" s="51"/>
      <c r="H68" s="51"/>
      <c r="I68" s="49">
        <f t="shared" si="2"/>
        <v>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80</v>
      </c>
      <c r="B69" s="50">
        <v>282</v>
      </c>
      <c r="C69" s="50">
        <v>7</v>
      </c>
      <c r="D69" s="50">
        <v>42</v>
      </c>
      <c r="E69" s="51"/>
      <c r="F69" s="51"/>
      <c r="G69" s="51"/>
      <c r="H69" s="51"/>
      <c r="I69" s="49">
        <f t="shared" si="2"/>
        <v>6.1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90</v>
      </c>
      <c r="B70" s="50">
        <v>296</v>
      </c>
      <c r="C70" s="50">
        <v>8</v>
      </c>
      <c r="D70" s="50">
        <v>42</v>
      </c>
      <c r="E70" s="51"/>
      <c r="F70" s="51"/>
      <c r="G70" s="51"/>
      <c r="H70" s="51"/>
      <c r="I70" s="49">
        <f t="shared" si="2"/>
        <v>5.6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100</v>
      </c>
      <c r="B71" s="50">
        <v>303</v>
      </c>
      <c r="C71" s="50" t="s">
        <v>324</v>
      </c>
      <c r="D71" s="50">
        <v>303</v>
      </c>
      <c r="E71" s="51"/>
      <c r="F71" s="51"/>
      <c r="G71" s="51"/>
      <c r="H71" s="51"/>
      <c r="I71" s="49">
        <f t="shared" si="2"/>
        <v>4.9000000000000004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Pin maritime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12</v>
      </c>
      <c r="B88" s="60">
        <v>25</v>
      </c>
      <c r="C88" s="60">
        <v>0</v>
      </c>
      <c r="D88" s="60">
        <v>0</v>
      </c>
      <c r="E88" s="51"/>
      <c r="F88" s="51"/>
      <c r="G88" s="51"/>
      <c r="H88" s="87"/>
      <c r="I88" s="53">
        <f>IFERROR(B88/A88,"")</f>
        <v>2.0833333333333335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16</v>
      </c>
      <c r="B89" s="60">
        <v>50.8</v>
      </c>
      <c r="C89" s="60">
        <v>1</v>
      </c>
      <c r="D89" s="60">
        <v>7.6</v>
      </c>
      <c r="E89" s="51"/>
      <c r="F89" s="51"/>
      <c r="G89" s="51">
        <v>0.5</v>
      </c>
      <c r="H89" s="87">
        <v>0.5</v>
      </c>
      <c r="I89" s="53">
        <f t="shared" ref="I89:I107" si="3">IF(A89&lt;&gt;0,(B89-(B88-D88))/(A89-A88),"")</f>
        <v>6.4499999999999993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20</v>
      </c>
      <c r="B90" s="60">
        <v>76.8</v>
      </c>
      <c r="C90" s="60">
        <v>2</v>
      </c>
      <c r="D90" s="60">
        <v>13.8</v>
      </c>
      <c r="E90" s="87"/>
      <c r="F90" s="87"/>
      <c r="G90" s="87">
        <v>0.5</v>
      </c>
      <c r="H90" s="87">
        <v>0.5</v>
      </c>
      <c r="I90" s="53">
        <f t="shared" si="3"/>
        <v>8.4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24</v>
      </c>
      <c r="B91" s="60">
        <v>101.2</v>
      </c>
      <c r="C91" s="60">
        <v>3</v>
      </c>
      <c r="D91" s="60">
        <v>19.7</v>
      </c>
      <c r="E91" s="87"/>
      <c r="F91" s="87"/>
      <c r="G91" s="87">
        <v>0.5</v>
      </c>
      <c r="H91" s="87">
        <v>0.5</v>
      </c>
      <c r="I91" s="53">
        <f t="shared" si="3"/>
        <v>9.5500000000000007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28</v>
      </c>
      <c r="B92" s="60">
        <v>123</v>
      </c>
      <c r="C92" s="60">
        <v>4</v>
      </c>
      <c r="D92" s="60">
        <v>23.4</v>
      </c>
      <c r="E92" s="87"/>
      <c r="F92" s="87"/>
      <c r="G92" s="87"/>
      <c r="H92" s="87"/>
      <c r="I92" s="53">
        <f t="shared" si="3"/>
        <v>10.375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34</v>
      </c>
      <c r="B93" s="60">
        <v>155.30000000000001</v>
      </c>
      <c r="C93" s="60">
        <v>5</v>
      </c>
      <c r="D93" s="60">
        <v>38.299999999999997</v>
      </c>
      <c r="E93" s="87"/>
      <c r="F93" s="87"/>
      <c r="G93" s="87"/>
      <c r="H93" s="87"/>
      <c r="I93" s="53">
        <f t="shared" si="3"/>
        <v>9.2833333333333368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40</v>
      </c>
      <c r="B94" s="60">
        <v>183.6</v>
      </c>
      <c r="C94" s="60">
        <v>6</v>
      </c>
      <c r="D94" s="60">
        <v>30.9</v>
      </c>
      <c r="E94" s="87"/>
      <c r="F94" s="87"/>
      <c r="G94" s="87"/>
      <c r="H94" s="87"/>
      <c r="I94" s="53">
        <f t="shared" si="3"/>
        <v>11.099999999999996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46</v>
      </c>
      <c r="B95" s="60">
        <v>205.1</v>
      </c>
      <c r="C95" s="60">
        <v>7</v>
      </c>
      <c r="D95" s="60">
        <v>22.9</v>
      </c>
      <c r="E95" s="87"/>
      <c r="F95" s="87"/>
      <c r="G95" s="87"/>
      <c r="H95" s="87"/>
      <c r="I95" s="53">
        <f t="shared" si="3"/>
        <v>8.7333333333333343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54</v>
      </c>
      <c r="B96" s="60">
        <v>224.3</v>
      </c>
      <c r="C96" s="60">
        <v>8</v>
      </c>
      <c r="D96" s="60">
        <v>22.4</v>
      </c>
      <c r="E96" s="87"/>
      <c r="F96" s="87"/>
      <c r="G96" s="87"/>
      <c r="H96" s="87"/>
      <c r="I96" s="53">
        <f t="shared" si="3"/>
        <v>5.2625000000000028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62</v>
      </c>
      <c r="B97" s="60">
        <v>232.3</v>
      </c>
      <c r="C97" s="60" t="s">
        <v>324</v>
      </c>
      <c r="D97" s="60">
        <v>232.3</v>
      </c>
      <c r="E97" s="87"/>
      <c r="F97" s="87"/>
      <c r="G97" s="87"/>
      <c r="H97" s="87"/>
      <c r="I97" s="53">
        <f t="shared" si="3"/>
        <v>3.8000000000000007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Alisier torminal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20</v>
      </c>
      <c r="B114" s="60">
        <v>21</v>
      </c>
      <c r="C114" s="50"/>
      <c r="D114" s="60"/>
      <c r="E114" s="51"/>
      <c r="F114" s="51"/>
      <c r="G114" s="51"/>
      <c r="H114" s="51"/>
      <c r="I114" s="53">
        <f>IFERROR(B114/A114,"")</f>
        <v>1.05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25</v>
      </c>
      <c r="B115" s="60">
        <v>36</v>
      </c>
      <c r="C115" s="50"/>
      <c r="D115" s="60"/>
      <c r="E115" s="51"/>
      <c r="F115" s="51"/>
      <c r="G115" s="51"/>
      <c r="H115" s="51"/>
      <c r="I115" s="53">
        <f t="shared" ref="I115:I133" si="4">IF(A115&lt;&gt;0,(B115-(B114-D114))/(A115-A114),"")</f>
        <v>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30</v>
      </c>
      <c r="B116" s="60">
        <v>54</v>
      </c>
      <c r="C116" s="50">
        <v>1</v>
      </c>
      <c r="D116" s="60">
        <v>9</v>
      </c>
      <c r="E116" s="51"/>
      <c r="F116" s="51"/>
      <c r="G116" s="51"/>
      <c r="H116" s="51">
        <v>1</v>
      </c>
      <c r="I116" s="53">
        <f t="shared" si="4"/>
        <v>3.6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35</v>
      </c>
      <c r="B117" s="60">
        <v>63</v>
      </c>
      <c r="C117" s="50">
        <v>2</v>
      </c>
      <c r="D117" s="60">
        <v>8</v>
      </c>
      <c r="E117" s="51"/>
      <c r="F117" s="51"/>
      <c r="G117" s="51"/>
      <c r="H117" s="51">
        <v>1</v>
      </c>
      <c r="I117" s="53">
        <f t="shared" si="4"/>
        <v>3.6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40</v>
      </c>
      <c r="B118" s="60">
        <v>75</v>
      </c>
      <c r="C118" s="50">
        <v>3</v>
      </c>
      <c r="D118" s="60">
        <v>9</v>
      </c>
      <c r="E118" s="51"/>
      <c r="F118" s="51">
        <v>0.3</v>
      </c>
      <c r="G118" s="51">
        <v>0.4</v>
      </c>
      <c r="H118" s="51">
        <v>0.3</v>
      </c>
      <c r="I118" s="53">
        <f t="shared" si="4"/>
        <v>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45</v>
      </c>
      <c r="B119" s="60">
        <v>85</v>
      </c>
      <c r="C119" s="50">
        <v>4</v>
      </c>
      <c r="D119" s="60">
        <v>9</v>
      </c>
      <c r="E119" s="51"/>
      <c r="F119" s="51">
        <v>0.4</v>
      </c>
      <c r="G119" s="51">
        <v>0.3</v>
      </c>
      <c r="H119" s="51">
        <v>0.3</v>
      </c>
      <c r="I119" s="53">
        <f t="shared" si="4"/>
        <v>3.8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50</v>
      </c>
      <c r="B120" s="60">
        <v>95</v>
      </c>
      <c r="C120" s="60">
        <v>5</v>
      </c>
      <c r="D120" s="60">
        <v>9</v>
      </c>
      <c r="E120" s="87"/>
      <c r="F120" s="87">
        <v>0.4</v>
      </c>
      <c r="G120" s="87">
        <v>0.3</v>
      </c>
      <c r="H120" s="87">
        <v>0.3</v>
      </c>
      <c r="I120" s="53">
        <f t="shared" si="4"/>
        <v>3.8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55</v>
      </c>
      <c r="B121" s="60">
        <v>106</v>
      </c>
      <c r="C121" s="60">
        <v>6</v>
      </c>
      <c r="D121" s="60">
        <v>10</v>
      </c>
      <c r="E121" s="87"/>
      <c r="F121" s="87">
        <v>0.4</v>
      </c>
      <c r="G121" s="87">
        <v>0.3</v>
      </c>
      <c r="H121" s="87">
        <v>0.3</v>
      </c>
      <c r="I121" s="53">
        <f t="shared" si="4"/>
        <v>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60</v>
      </c>
      <c r="B122" s="60">
        <v>115</v>
      </c>
      <c r="C122" s="60">
        <v>7</v>
      </c>
      <c r="D122" s="60">
        <v>10</v>
      </c>
      <c r="E122" s="87">
        <v>0.5</v>
      </c>
      <c r="F122" s="87">
        <v>0.1</v>
      </c>
      <c r="G122" s="87">
        <v>0.1</v>
      </c>
      <c r="H122" s="87">
        <v>0.3</v>
      </c>
      <c r="I122" s="53">
        <f t="shared" si="4"/>
        <v>3.8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65</v>
      </c>
      <c r="B123" s="60">
        <v>124</v>
      </c>
      <c r="C123" s="60">
        <v>8</v>
      </c>
      <c r="D123" s="60">
        <v>10</v>
      </c>
      <c r="E123" s="87">
        <v>0.5</v>
      </c>
      <c r="F123" s="87">
        <v>0.1</v>
      </c>
      <c r="G123" s="87">
        <v>0.1</v>
      </c>
      <c r="H123" s="87">
        <v>0.3</v>
      </c>
      <c r="I123" s="53">
        <f t="shared" si="4"/>
        <v>3.8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70</v>
      </c>
      <c r="B124" s="60">
        <v>132</v>
      </c>
      <c r="C124" s="60">
        <v>9</v>
      </c>
      <c r="D124" s="60">
        <v>10</v>
      </c>
      <c r="E124" s="87">
        <v>0.5</v>
      </c>
      <c r="F124" s="87">
        <v>0.1</v>
      </c>
      <c r="G124" s="87">
        <v>0.1</v>
      </c>
      <c r="H124" s="87">
        <v>0.3</v>
      </c>
      <c r="I124" s="53">
        <f t="shared" si="4"/>
        <v>3.6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>
        <v>75</v>
      </c>
      <c r="B125" s="60">
        <v>139</v>
      </c>
      <c r="C125" s="60">
        <v>10</v>
      </c>
      <c r="D125" s="60">
        <v>10</v>
      </c>
      <c r="E125" s="87">
        <v>0.5</v>
      </c>
      <c r="F125" s="87">
        <v>0.1</v>
      </c>
      <c r="G125" s="87">
        <v>0.1</v>
      </c>
      <c r="H125" s="87">
        <v>0.3</v>
      </c>
      <c r="I125" s="53">
        <f t="shared" si="4"/>
        <v>3.4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>
        <v>80</v>
      </c>
      <c r="B126" s="60">
        <v>146</v>
      </c>
      <c r="C126" s="60">
        <v>11</v>
      </c>
      <c r="D126" s="60">
        <v>9</v>
      </c>
      <c r="E126" s="65">
        <v>0.6</v>
      </c>
      <c r="F126" s="65"/>
      <c r="G126" s="65">
        <v>0.1</v>
      </c>
      <c r="H126" s="65">
        <v>0.3</v>
      </c>
      <c r="I126" s="53">
        <f t="shared" si="4"/>
        <v>3.4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>
        <v>85</v>
      </c>
      <c r="B127" s="60">
        <v>152</v>
      </c>
      <c r="C127" s="60">
        <v>12</v>
      </c>
      <c r="D127" s="60">
        <v>9</v>
      </c>
      <c r="E127" s="65">
        <v>0.6</v>
      </c>
      <c r="F127" s="65"/>
      <c r="G127" s="65">
        <v>0.1</v>
      </c>
      <c r="H127" s="65">
        <v>0.3</v>
      </c>
      <c r="I127" s="53">
        <f t="shared" si="4"/>
        <v>3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>
        <v>90</v>
      </c>
      <c r="B128" s="50">
        <v>159</v>
      </c>
      <c r="C128" s="50">
        <v>13</v>
      </c>
      <c r="D128" s="50">
        <v>9</v>
      </c>
      <c r="E128" s="54">
        <v>0.6</v>
      </c>
      <c r="F128" s="54"/>
      <c r="G128" s="54">
        <v>0.1</v>
      </c>
      <c r="H128" s="54">
        <v>0.3</v>
      </c>
      <c r="I128" s="53">
        <f t="shared" si="4"/>
        <v>3.2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>
        <v>95</v>
      </c>
      <c r="B129" s="50">
        <v>164</v>
      </c>
      <c r="C129" s="50">
        <v>14</v>
      </c>
      <c r="D129" s="50">
        <v>9</v>
      </c>
      <c r="E129" s="54">
        <v>0.6</v>
      </c>
      <c r="F129" s="54"/>
      <c r="G129" s="54">
        <v>0.1</v>
      </c>
      <c r="H129" s="54">
        <v>0.3</v>
      </c>
      <c r="I129" s="53">
        <f t="shared" si="4"/>
        <v>2.8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>
        <v>100</v>
      </c>
      <c r="B130" s="50">
        <v>170</v>
      </c>
      <c r="C130" s="50">
        <v>15</v>
      </c>
      <c r="D130" s="50">
        <v>9</v>
      </c>
      <c r="E130" s="54">
        <v>0.6</v>
      </c>
      <c r="F130" s="54"/>
      <c r="G130" s="54">
        <v>0.1</v>
      </c>
      <c r="H130" s="54">
        <v>0.3</v>
      </c>
      <c r="I130" s="53">
        <f t="shared" si="4"/>
        <v>3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>
        <v>105</v>
      </c>
      <c r="B131" s="50">
        <v>175</v>
      </c>
      <c r="C131" s="50">
        <v>16</v>
      </c>
      <c r="D131" s="50">
        <v>9</v>
      </c>
      <c r="E131" s="54">
        <v>0.6</v>
      </c>
      <c r="F131" s="54"/>
      <c r="G131" s="54">
        <v>0.1</v>
      </c>
      <c r="H131" s="54">
        <v>0.3</v>
      </c>
      <c r="I131" s="53">
        <f t="shared" si="4"/>
        <v>2.8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>
        <v>110</v>
      </c>
      <c r="B132" s="50">
        <v>181</v>
      </c>
      <c r="C132" s="50">
        <v>17</v>
      </c>
      <c r="D132" s="50">
        <v>10</v>
      </c>
      <c r="E132" s="54">
        <v>0.6</v>
      </c>
      <c r="F132" s="54"/>
      <c r="G132" s="54">
        <v>0.1</v>
      </c>
      <c r="H132" s="54">
        <v>0.3</v>
      </c>
      <c r="I132" s="53">
        <f t="shared" si="4"/>
        <v>3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>
        <v>115</v>
      </c>
      <c r="B133" s="50">
        <v>186</v>
      </c>
      <c r="C133" s="50" t="s">
        <v>324</v>
      </c>
      <c r="D133" s="50">
        <v>186</v>
      </c>
      <c r="E133" s="54">
        <v>0.7</v>
      </c>
      <c r="F133" s="54"/>
      <c r="G133" s="54">
        <v>0.1</v>
      </c>
      <c r="H133" s="54">
        <v>0.2</v>
      </c>
      <c r="I133" s="53">
        <f t="shared" si="4"/>
        <v>3</v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Cormier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20</v>
      </c>
      <c r="B140" s="60">
        <v>21</v>
      </c>
      <c r="C140" s="50"/>
      <c r="D140" s="60"/>
      <c r="E140" s="51"/>
      <c r="F140" s="51"/>
      <c r="G140" s="51"/>
      <c r="H140" s="51"/>
      <c r="I140" s="57">
        <f>IFERROR(B140/A140,"")</f>
        <v>1.05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25</v>
      </c>
      <c r="B141" s="60">
        <v>36</v>
      </c>
      <c r="C141" s="50"/>
      <c r="D141" s="60"/>
      <c r="E141" s="51"/>
      <c r="F141" s="51"/>
      <c r="G141" s="51"/>
      <c r="H141" s="51"/>
      <c r="I141" s="57">
        <f t="shared" ref="I141:I159" si="5">IF(A141&lt;&gt;0,(B141-(B140-D140))/(A141-A140),"")</f>
        <v>3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30</v>
      </c>
      <c r="B142" s="60">
        <v>54</v>
      </c>
      <c r="C142" s="50">
        <v>1</v>
      </c>
      <c r="D142" s="60">
        <v>9</v>
      </c>
      <c r="E142" s="51"/>
      <c r="F142" s="51"/>
      <c r="G142" s="51"/>
      <c r="H142" s="51">
        <v>1</v>
      </c>
      <c r="I142" s="57">
        <f t="shared" si="5"/>
        <v>3.6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35</v>
      </c>
      <c r="B143" s="60">
        <v>63</v>
      </c>
      <c r="C143" s="50">
        <v>2</v>
      </c>
      <c r="D143" s="60">
        <v>8</v>
      </c>
      <c r="E143" s="51"/>
      <c r="F143" s="51"/>
      <c r="G143" s="51"/>
      <c r="H143" s="51">
        <v>1</v>
      </c>
      <c r="I143" s="57">
        <f t="shared" si="5"/>
        <v>3.6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40</v>
      </c>
      <c r="B144" s="60">
        <v>75</v>
      </c>
      <c r="C144" s="50">
        <v>3</v>
      </c>
      <c r="D144" s="60">
        <v>9</v>
      </c>
      <c r="E144" s="51"/>
      <c r="F144" s="51">
        <v>0.3</v>
      </c>
      <c r="G144" s="51">
        <v>0.4</v>
      </c>
      <c r="H144" s="51">
        <v>0.3</v>
      </c>
      <c r="I144" s="57">
        <f t="shared" si="5"/>
        <v>4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45</v>
      </c>
      <c r="B145" s="60">
        <v>85</v>
      </c>
      <c r="C145" s="50">
        <v>4</v>
      </c>
      <c r="D145" s="60">
        <v>9</v>
      </c>
      <c r="E145" s="51"/>
      <c r="F145" s="51">
        <v>0.4</v>
      </c>
      <c r="G145" s="51">
        <v>0.3</v>
      </c>
      <c r="H145" s="51">
        <v>0.3</v>
      </c>
      <c r="I145" s="57">
        <f t="shared" si="5"/>
        <v>3.8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50</v>
      </c>
      <c r="B146" s="60">
        <v>95</v>
      </c>
      <c r="C146" s="50">
        <v>5</v>
      </c>
      <c r="D146" s="60">
        <v>9</v>
      </c>
      <c r="E146" s="51"/>
      <c r="F146" s="51">
        <v>0.4</v>
      </c>
      <c r="G146" s="51">
        <v>0.3</v>
      </c>
      <c r="H146" s="51">
        <v>0.3</v>
      </c>
      <c r="I146" s="57">
        <f t="shared" si="5"/>
        <v>3.8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55</v>
      </c>
      <c r="B147" s="60">
        <v>106</v>
      </c>
      <c r="C147" s="50">
        <v>6</v>
      </c>
      <c r="D147" s="60">
        <v>10</v>
      </c>
      <c r="E147" s="51"/>
      <c r="F147" s="51">
        <v>0.4</v>
      </c>
      <c r="G147" s="51">
        <v>0.3</v>
      </c>
      <c r="H147" s="51">
        <v>0.3</v>
      </c>
      <c r="I147" s="57">
        <f>IF(A147&lt;&gt;0,(B147-(B146-D146))/(A147-A146),"")</f>
        <v>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60</v>
      </c>
      <c r="B148" s="60">
        <v>115</v>
      </c>
      <c r="C148" s="50">
        <v>7</v>
      </c>
      <c r="D148" s="60">
        <v>10</v>
      </c>
      <c r="E148" s="51">
        <v>0.5</v>
      </c>
      <c r="F148" s="51">
        <v>0.1</v>
      </c>
      <c r="G148" s="51">
        <v>0.1</v>
      </c>
      <c r="H148" s="51">
        <v>0.3</v>
      </c>
      <c r="I148" s="57">
        <f t="shared" si="5"/>
        <v>3.8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65</v>
      </c>
      <c r="B149" s="60">
        <v>124</v>
      </c>
      <c r="C149" s="50">
        <v>8</v>
      </c>
      <c r="D149" s="60">
        <v>10</v>
      </c>
      <c r="E149" s="51">
        <v>0.5</v>
      </c>
      <c r="F149" s="51">
        <v>0.1</v>
      </c>
      <c r="G149" s="51">
        <v>0.1</v>
      </c>
      <c r="H149" s="51">
        <v>0.3</v>
      </c>
      <c r="I149" s="57">
        <f t="shared" si="5"/>
        <v>3.8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70</v>
      </c>
      <c r="B150" s="60">
        <v>132</v>
      </c>
      <c r="C150" s="50">
        <v>9</v>
      </c>
      <c r="D150" s="60">
        <v>10</v>
      </c>
      <c r="E150" s="51">
        <v>0.5</v>
      </c>
      <c r="F150" s="51">
        <v>0.1</v>
      </c>
      <c r="G150" s="51">
        <v>0.1</v>
      </c>
      <c r="H150" s="51">
        <v>0.3</v>
      </c>
      <c r="I150" s="57">
        <f t="shared" si="5"/>
        <v>3.6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75</v>
      </c>
      <c r="B151" s="60">
        <v>139</v>
      </c>
      <c r="C151" s="50">
        <v>10</v>
      </c>
      <c r="D151" s="60">
        <v>10</v>
      </c>
      <c r="E151" s="51">
        <v>0.5</v>
      </c>
      <c r="F151" s="51">
        <v>0.1</v>
      </c>
      <c r="G151" s="51">
        <v>0.1</v>
      </c>
      <c r="H151" s="51">
        <v>0.3</v>
      </c>
      <c r="I151" s="57">
        <f t="shared" si="5"/>
        <v>3.4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80</v>
      </c>
      <c r="B152" s="60">
        <v>146</v>
      </c>
      <c r="C152" s="50">
        <v>11</v>
      </c>
      <c r="D152" s="60">
        <v>9</v>
      </c>
      <c r="E152" s="54">
        <v>0.6</v>
      </c>
      <c r="F152" s="54"/>
      <c r="G152" s="54">
        <v>0.1</v>
      </c>
      <c r="H152" s="54">
        <v>0.3</v>
      </c>
      <c r="I152" s="57">
        <f t="shared" si="5"/>
        <v>3.4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85</v>
      </c>
      <c r="B153" s="60">
        <v>152</v>
      </c>
      <c r="C153" s="50">
        <v>12</v>
      </c>
      <c r="D153" s="60">
        <v>9</v>
      </c>
      <c r="E153" s="54">
        <v>0.6</v>
      </c>
      <c r="F153" s="54"/>
      <c r="G153" s="54">
        <v>0.1</v>
      </c>
      <c r="H153" s="54">
        <v>0.3</v>
      </c>
      <c r="I153" s="57">
        <f t="shared" si="5"/>
        <v>3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>
        <v>90</v>
      </c>
      <c r="B154" s="56">
        <v>159</v>
      </c>
      <c r="C154" s="50">
        <v>13</v>
      </c>
      <c r="D154" s="50">
        <v>9</v>
      </c>
      <c r="E154" s="54">
        <v>0.6</v>
      </c>
      <c r="F154" s="54"/>
      <c r="G154" s="54">
        <v>0.1</v>
      </c>
      <c r="H154" s="54">
        <v>0.3</v>
      </c>
      <c r="I154" s="57">
        <f t="shared" si="5"/>
        <v>3.2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>
        <v>95</v>
      </c>
      <c r="B155" s="56">
        <v>164</v>
      </c>
      <c r="C155" s="50">
        <v>14</v>
      </c>
      <c r="D155" s="50">
        <v>9</v>
      </c>
      <c r="E155" s="54">
        <v>0.6</v>
      </c>
      <c r="F155" s="54"/>
      <c r="G155" s="54">
        <v>0.1</v>
      </c>
      <c r="H155" s="54">
        <v>0.3</v>
      </c>
      <c r="I155" s="57">
        <f t="shared" si="5"/>
        <v>2.8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>
        <v>100</v>
      </c>
      <c r="B156" s="56">
        <v>170</v>
      </c>
      <c r="C156" s="50">
        <v>15</v>
      </c>
      <c r="D156" s="50">
        <v>9</v>
      </c>
      <c r="E156" s="54">
        <v>0.6</v>
      </c>
      <c r="F156" s="54"/>
      <c r="G156" s="54">
        <v>0.1</v>
      </c>
      <c r="H156" s="54">
        <v>0.3</v>
      </c>
      <c r="I156" s="57">
        <f t="shared" si="5"/>
        <v>3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>
        <v>105</v>
      </c>
      <c r="B157" s="56">
        <v>175</v>
      </c>
      <c r="C157" s="50">
        <v>16</v>
      </c>
      <c r="D157" s="50">
        <v>9</v>
      </c>
      <c r="E157" s="54">
        <v>0.6</v>
      </c>
      <c r="F157" s="54"/>
      <c r="G157" s="54">
        <v>0.1</v>
      </c>
      <c r="H157" s="54">
        <v>0.3</v>
      </c>
      <c r="I157" s="57">
        <f t="shared" si="5"/>
        <v>2.8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>
        <v>110</v>
      </c>
      <c r="B158" s="56">
        <v>181</v>
      </c>
      <c r="C158" s="50">
        <v>17</v>
      </c>
      <c r="D158" s="50">
        <v>10</v>
      </c>
      <c r="E158" s="54">
        <v>0.6</v>
      </c>
      <c r="F158" s="54"/>
      <c r="G158" s="54">
        <v>0.1</v>
      </c>
      <c r="H158" s="54">
        <v>0.3</v>
      </c>
      <c r="I158" s="57">
        <f t="shared" si="5"/>
        <v>3</v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>
        <v>115</v>
      </c>
      <c r="B159" s="56">
        <v>186</v>
      </c>
      <c r="C159" s="50" t="s">
        <v>324</v>
      </c>
      <c r="D159" s="58">
        <v>186</v>
      </c>
      <c r="E159" s="54">
        <v>0.7</v>
      </c>
      <c r="F159" s="54"/>
      <c r="G159" s="54">
        <v>0.1</v>
      </c>
      <c r="H159" s="54">
        <v>0.2</v>
      </c>
      <c r="I159" s="57">
        <f t="shared" si="5"/>
        <v>3</v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2" sqref="G22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pédonculé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sessile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Pin maritime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Alisier torminal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Cormier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231.91408074258248</v>
      </c>
      <c r="T3" s="59">
        <f>IF('Données projet'!E9&gt;30,$R$33-$H$33,LOOKUP('Données projet'!$E$9,$A$3:$A$203,R3:R203)-LOOKUP('Données projet'!$E$9,$A$3:$A$203,$H$3:$H$203))</f>
        <v>143.57726487417773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253.16772905022714</v>
      </c>
      <c r="AO3" s="59">
        <f>IF('Données projet'!E10&gt;30,$AM$33-$H$33,LOOKUP('Données projet'!$E$10,$A$3:$A$203,AM3:AM203)-LOOKUP('Données projet'!$E$10,$A$3:$A$203,$H$3:$H$203))</f>
        <v>156.67965022779907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119.24399403036387</v>
      </c>
      <c r="BJ3" s="59">
        <f>IF('Données projet'!E11&gt;30,$BH$33-$H$33,LOOKUP('Données projet'!$E$11,$A$3:$A$203,BH3:BH203)-LOOKUP('Données projet'!$E$11,$A$3:$A$203,$H$3:$H$203))</f>
        <v>119.60076838354843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135.95692658150551</v>
      </c>
      <c r="CE3" s="59">
        <f>IF('Données projet'!E12&gt;30,$CC$33-$H$33,LOOKUP('Données projet'!$E$12,$A$3:$A$203,CC3:CC203)-LOOKUP('Données projet'!$E$12,$A$3:$A$203,$H$3:$H$203))</f>
        <v>79.394119001888612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158.74837032815333</v>
      </c>
      <c r="CZ3" s="59">
        <f>IF('Données projet'!E13&gt;30,$CX$33-$H$33,LOOKUP('Données projet'!$E$13,$A$3:$A$203,CX3:CX203)-LOOKUP('Données projet'!$E$13,$A$3:$A$203,$H$3:$H$203))</f>
        <v>92.286636088270086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2.1</v>
      </c>
      <c r="N4" s="13">
        <f>IF('Données projet'!$A$36&gt;35,N3+M4-V3,IF(A4&lt;'Données projet'!$A$36,$K$205^A4,IF(A4='Données projet'!$A$36,'Données projet'!$B$36,N3+M4-V3)))</f>
        <v>1.2054868146447177</v>
      </c>
      <c r="O4" s="13">
        <f>N4*VLOOKUP('Données projet'!$B$9,Paramètres!$A$1:$I$89,3,0)*VLOOKUP('Données projet'!$B$9,Paramètres!$A$1:$I$89,5,0)</f>
        <v>1.0155020926567102</v>
      </c>
      <c r="P4" s="13">
        <f>EXP(-1.0587+0.8836*LN(O4)+0.284)</f>
        <v>0.46714880239274614</v>
      </c>
      <c r="Q4" s="20">
        <f t="shared" ref="Q4:Q34" si="2">(O4+P4)*0.475*44/12</f>
        <v>2.5822836422111366</v>
      </c>
      <c r="R4" s="59">
        <f t="shared" si="0"/>
        <v>295.91561697554442</v>
      </c>
      <c r="S4" s="59">
        <f ca="1">AVERAGE(OFFSET($R$3,0,0,'Données projet'!$E$9+1,1))-AVERAGE(OFFSET($H$3,0,0,'Données projet'!$E$9+1,1))</f>
        <v>231.91408074258248</v>
      </c>
      <c r="T4" s="59">
        <f>$T$3</f>
        <v>143.57726487417773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2.1</v>
      </c>
      <c r="AI4" s="13">
        <f>IF('Données projet'!$A$62&gt;35,AI3+AH4-AQ3,IF(A4&lt;'Données projet'!$A$62,$AF$205^A4,IF(A4='Données projet'!$A$62,'Données projet'!$B$62,AI3+AH4-AQ3)))</f>
        <v>1.2054868146447177</v>
      </c>
      <c r="AJ4" s="13">
        <f>AI4*VLOOKUP('Données projet'!$B$10,Paramètres!$A$1:$I$89,3,0)*VLOOKUP('Données projet'!$B$10,Paramètres!$A$1:$I$89,5,0)</f>
        <v>1.0907244698905405</v>
      </c>
      <c r="AK4" s="13">
        <f>EXP(-1.0587+0.8836*LN(AJ4)+0.284)</f>
        <v>0.49759623852608204</v>
      </c>
      <c r="AL4" s="20">
        <f t="shared" ref="AL4:AL67" si="4">(AJ4+AK4)*0.475*44/12</f>
        <v>2.7663252338256172</v>
      </c>
      <c r="AM4" s="59">
        <f t="shared" ref="AM4:AM67" si="5">AL4+(AD4+AE4)*44/12</f>
        <v>296.09965856715894</v>
      </c>
      <c r="AN4" s="59">
        <f ca="1">AVERAGE(OFFSET($AM$3,0,0,'Données projet'!$E$10+1,1))-AVERAGE(OFFSET($H$3,0,0,'Données projet'!$E$10+1,1))</f>
        <v>253.16772905022714</v>
      </c>
      <c r="AO4" s="59">
        <f>$AO$3</f>
        <v>156.67965022779907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2.0833333333333335</v>
      </c>
      <c r="BD4" s="12">
        <f>IF('Données projet'!$A$88&gt;35,BD3+BC4-BL3,IF(A4&lt;'Données projet'!$A$88,$BA$205^A4,IF(A4='Données projet'!$A$88,'Données projet'!$B$88,BD3+BC4-BL3)))</f>
        <v>1.3076604860118306</v>
      </c>
      <c r="BE4" s="13">
        <f>BD4*VLOOKUP('Données projet'!$B$11,Paramètres!$A$1:$I$89,3,0)*VLOOKUP('Données projet'!$B$11,Paramètres!$A$1:$I$89,5,0)</f>
        <v>0.78198097063507477</v>
      </c>
      <c r="BF4" s="13">
        <f>EXP(-1.0587+0.8836*LN(BE4)+0.284)</f>
        <v>0.37083457038464518</v>
      </c>
      <c r="BG4" s="20">
        <f t="shared" ref="BG4:BG67" si="7">(BE4+BF4)*0.475*44/12</f>
        <v>2.0078204006093454</v>
      </c>
      <c r="BH4" s="59">
        <f t="shared" ref="BH4:BH67" si="8">BG4+(AY4+AZ4)*44/12</f>
        <v>295.34115373394263</v>
      </c>
      <c r="BI4" s="59">
        <f ca="1">AVERAGE(OFFSET($BH$3,0,0,'Données projet'!$E$11+1,1))-AVERAGE(OFFSET($H$3,0,0,'Données projet'!$E$11+1,1))</f>
        <v>119.24399403036387</v>
      </c>
      <c r="BJ4" s="59">
        <f>$BJ$3</f>
        <v>119.60076838354843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1.05</v>
      </c>
      <c r="BY4" s="12">
        <f>IF('Données projet'!$A$114&gt;35,BY3+BX4-CG3,IF(A4&lt;'Données projet'!$A$114,$BV$205^A4,IF(A4='Données projet'!$A$114,'Données projet'!$B$114,BY3+BX4-CG3)))</f>
        <v>1.1644235083052243</v>
      </c>
      <c r="BZ4" s="13">
        <f>BY4*VLOOKUP('Données projet'!$B$12,Paramètres!$A$1:$I$89,3,0)*VLOOKUP('Données projet'!$B$12,Paramètres!$A$1:$I$89,5,0)</f>
        <v>1.126230417232813</v>
      </c>
      <c r="CA4" s="13">
        <f>EXP(-1.0587+0.8836*LN(BZ4)+0.284)</f>
        <v>0.51188205554259503</v>
      </c>
      <c r="CB4" s="20">
        <f t="shared" ref="CB4:CB67" si="10">(BZ4+CA4)*0.475*44/12</f>
        <v>2.8530458900838358</v>
      </c>
      <c r="CC4" s="59">
        <f t="shared" ref="CC4:CC67" si="11">CB4+(BT4+BU4)*44/12</f>
        <v>296.18637922341713</v>
      </c>
      <c r="CD4" s="59">
        <f ca="1">AVERAGE(OFFSET($CC$3,0,0,'Données projet'!$E$12+1,1))-AVERAGE(OFFSET($H$3,0,0,'Données projet'!$E$12+1,1))</f>
        <v>135.95692658150551</v>
      </c>
      <c r="CE4" s="59">
        <f>$CE$3</f>
        <v>79.394119001888612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1.05</v>
      </c>
      <c r="CT4" s="12">
        <f>IF('Données projet'!$A$140&gt;35,CT3+CS4-DB3,IF(A4&lt;'Données projet'!$A$140,$CQ$205^A4,IF(A4='Données projet'!$A$140,'Données projet'!$B$140,CT3+CS4-DB3)))</f>
        <v>1.1644235083052243</v>
      </c>
      <c r="CU4" s="17">
        <f>CT4*VLOOKUP('Données projet'!$B$13,Paramètres!$A$1:$I$89,3,0)*VLOOKUP('Données projet'!$B$13,Paramètres!$A$1:$I$89,5,0)</f>
        <v>1.2533854643397435</v>
      </c>
      <c r="CV4" s="13">
        <f>EXP(-1.0587+0.8836*LN(CU4)+0.284)</f>
        <v>0.56262582787929238</v>
      </c>
      <c r="CW4" s="20">
        <f t="shared" ref="CW4:CW67" si="13">(CU4+CV4)*0.475*44/12</f>
        <v>3.1628863339481534</v>
      </c>
      <c r="CX4" s="59">
        <f t="shared" ref="CX4:CX67" si="14">CW4+(CO4+CP4)*44/12</f>
        <v>296.49621966728148</v>
      </c>
      <c r="CY4" s="59">
        <f ca="1">AVERAGE(OFFSET($CX$3,0,0,'Données projet'!$E$13+1,1))-AVERAGE(OFFSET($H$3,0,0,'Données projet'!$E$13+1,1))</f>
        <v>158.74837032815333</v>
      </c>
      <c r="CZ4" s="59">
        <f>$CZ$3</f>
        <v>92.286636088270086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2.1</v>
      </c>
      <c r="N5" s="13">
        <f>IF('Données projet'!$A$36&gt;35,N4+M5-V4,IF(A5&lt;'Données projet'!$A$36,$K$205^A5,IF(A5='Données projet'!$A$36,'Données projet'!$B$36,N4+M5-V4)))</f>
        <v>1.4531984602822681</v>
      </c>
      <c r="O5" s="13">
        <f>N5*VLOOKUP('Données projet'!$B$9,Paramètres!$A$1:$I$89,3,0)*VLOOKUP('Données projet'!$B$9,Paramètres!$A$1:$I$89,5,0)</f>
        <v>1.2241743829417828</v>
      </c>
      <c r="P5" s="13">
        <f t="shared" ref="P5:P68" si="33">EXP(-1.0587+0.8836*LN(O5)+0.284)</f>
        <v>0.55102384568700224</v>
      </c>
      <c r="Q5" s="20">
        <f t="shared" si="2"/>
        <v>3.0918035815284672</v>
      </c>
      <c r="R5" s="59">
        <f t="shared" si="0"/>
        <v>296.42513691486181</v>
      </c>
      <c r="S5" s="59">
        <f ca="1">AVERAGE(OFFSET($R$3,0,0,'Données projet'!$E$9+1,1))-AVERAGE(OFFSET($H$3,0,0,'Données projet'!$E$9+1,1))</f>
        <v>231.91408074258248</v>
      </c>
      <c r="T5" s="59">
        <f t="shared" ref="T5:T68" si="34">$T$3</f>
        <v>143.57726487417773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2.1</v>
      </c>
      <c r="AI5" s="13">
        <f>IF('Données projet'!$A$62&gt;35,AI4+AH5-AQ4,IF(A5&lt;'Données projet'!$A$62,$AF$205^A5,IF(A5='Données projet'!$A$62,'Données projet'!$B$62,AI4+AH5-AQ4)))</f>
        <v>1.4531984602822681</v>
      </c>
      <c r="AJ5" s="13">
        <f>AI5*VLOOKUP('Données projet'!$B$10,Paramètres!$A$1:$I$89,3,0)*VLOOKUP('Données projet'!$B$10,Paramètres!$A$1:$I$89,5,0)</f>
        <v>1.3148539668633961</v>
      </c>
      <c r="AK5" s="13">
        <f t="shared" ref="AK5:AK68" si="35">EXP(-1.0587+0.8836*LN(AJ5)+0.284)</f>
        <v>0.58693801963664449</v>
      </c>
      <c r="AL5" s="20">
        <f t="shared" si="4"/>
        <v>3.3122877098209038</v>
      </c>
      <c r="AM5" s="59">
        <f t="shared" si="5"/>
        <v>296.64562104315422</v>
      </c>
      <c r="AN5" s="59">
        <f ca="1">AVERAGE(OFFSET($AM$3,0,0,'Données projet'!$E$10+1,1))-AVERAGE(OFFSET($H$3,0,0,'Données projet'!$E$10+1,1))</f>
        <v>253.16772905022714</v>
      </c>
      <c r="AO5" s="59">
        <f t="shared" ref="AO5:AO68" si="36">$AO$3</f>
        <v>156.67965022779907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2.0833333333333335</v>
      </c>
      <c r="BD5" s="12">
        <f>IF('Données projet'!$A$88&gt;35,BD4+BC5-BL4,IF(A5&lt;'Données projet'!$A$88,$BA$205^A5,IF(A5='Données projet'!$A$88,'Données projet'!$B$88,BD4+BC5-BL4)))</f>
        <v>1.7099759466766971</v>
      </c>
      <c r="BE5" s="13">
        <f>BD5*VLOOKUP('Données projet'!$B$11,Paramètres!$A$1:$I$89,3,0)*VLOOKUP('Données projet'!$B$11,Paramètres!$A$1:$I$89,5,0)</f>
        <v>1.0225656161126651</v>
      </c>
      <c r="BF5" s="13">
        <f t="shared" ref="BF5:BF68" si="37">EXP(-1.0587+0.8836*LN(BE5)+0.284)</f>
        <v>0.47001876423271316</v>
      </c>
      <c r="BG5" s="20">
        <f t="shared" si="7"/>
        <v>2.599584462434867</v>
      </c>
      <c r="BH5" s="59">
        <f t="shared" si="8"/>
        <v>295.93291779576816</v>
      </c>
      <c r="BI5" s="59">
        <f ca="1">AVERAGE(OFFSET($BH$3,0,0,'Données projet'!$E$11+1,1))-AVERAGE(OFFSET($H$3,0,0,'Données projet'!$E$11+1,1))</f>
        <v>119.24399403036387</v>
      </c>
      <c r="BJ5" s="59">
        <f t="shared" ref="BJ5:BJ68" si="38">$BJ$3</f>
        <v>119.60076838354843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1.05</v>
      </c>
      <c r="BY5" s="12">
        <f>IF('Données projet'!$A$114&gt;35,BY4+BX5-CG4,IF(A5&lt;'Données projet'!$A$114,$BV$205^A5,IF(A5='Données projet'!$A$114,'Données projet'!$B$114,BY4+BX5-CG4)))</f>
        <v>1.3558821066938469</v>
      </c>
      <c r="BZ5" s="13">
        <f>BY5*VLOOKUP('Données projet'!$B$12,Paramètres!$A$1:$I$89,3,0)*VLOOKUP('Données projet'!$B$12,Paramètres!$A$1:$I$89,5,0)</f>
        <v>1.3114091735942888</v>
      </c>
      <c r="CA5" s="13">
        <f t="shared" ref="CA5:CA68" si="39">EXP(-1.0587+0.8836*LN(BZ5)+0.284)</f>
        <v>0.58557908091788968</v>
      </c>
      <c r="CB5" s="20">
        <f t="shared" si="10"/>
        <v>3.3039212099420436</v>
      </c>
      <c r="CC5" s="59">
        <f t="shared" si="11"/>
        <v>296.63725454327533</v>
      </c>
      <c r="CD5" s="59">
        <f ca="1">AVERAGE(OFFSET($CC$3,0,0,'Données projet'!$E$12+1,1))-AVERAGE(OFFSET($H$3,0,0,'Données projet'!$E$12+1,1))</f>
        <v>135.95692658150551</v>
      </c>
      <c r="CE5" s="59">
        <f t="shared" ref="CE5:CE68" si="40">$CE$3</f>
        <v>79.394119001888612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1.05</v>
      </c>
      <c r="CT5" s="12">
        <f>IF('Données projet'!$A$140&gt;35,CT4+CS5-DB4,IF(A5&lt;'Données projet'!$A$140,$CQ$205^A5,IF(A5='Données projet'!$A$140,'Données projet'!$B$140,CT4+CS5-DB4)))</f>
        <v>1.3558821066938469</v>
      </c>
      <c r="CU5" s="17">
        <f>CT5*VLOOKUP('Données projet'!$B$13,Paramètres!$A$1:$I$89,3,0)*VLOOKUP('Données projet'!$B$13,Paramètres!$A$1:$I$89,5,0)</f>
        <v>1.4594714996452569</v>
      </c>
      <c r="CV5" s="13">
        <f t="shared" ref="CV5:CV68" si="41">EXP(-1.0587+0.8836*LN(CU5)+0.284)</f>
        <v>0.64362856955591685</v>
      </c>
      <c r="CW5" s="20">
        <f t="shared" si="13"/>
        <v>3.6628992871920438</v>
      </c>
      <c r="CX5" s="59">
        <f t="shared" si="14"/>
        <v>296.99623262052535</v>
      </c>
      <c r="CY5" s="59">
        <f ca="1">AVERAGE(OFFSET($CX$3,0,0,'Données projet'!$E$13+1,1))-AVERAGE(OFFSET($H$3,0,0,'Données projet'!$E$13+1,1))</f>
        <v>158.74837032815333</v>
      </c>
      <c r="CZ5" s="59">
        <f t="shared" ref="CZ5:CZ68" si="42">$CZ$3</f>
        <v>92.286636088270086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2.1</v>
      </c>
      <c r="N6" s="13">
        <f>IF('Données projet'!$A$36&gt;35,N5+M6-V5,IF(A6&lt;'Données projet'!$A$36,$K$205^A6,IF(A6='Données projet'!$A$36,'Données projet'!$B$36,N5+M6-V5)))</f>
        <v>1.7518115829322798</v>
      </c>
      <c r="O6" s="13">
        <f>N6*VLOOKUP('Données projet'!$B$9,Paramètres!$A$1:$I$89,3,0)*VLOOKUP('Données projet'!$B$9,Paramètres!$A$1:$I$89,5,0)</f>
        <v>1.4757260774621526</v>
      </c>
      <c r="P6" s="13">
        <f t="shared" si="33"/>
        <v>0.64995837934402878</v>
      </c>
      <c r="Q6" s="20">
        <f t="shared" si="2"/>
        <v>3.7022337622707653</v>
      </c>
      <c r="R6" s="59">
        <f t="shared" si="0"/>
        <v>297.03556709560405</v>
      </c>
      <c r="S6" s="59">
        <f ca="1">AVERAGE(OFFSET($R$3,0,0,'Données projet'!$E$9+1,1))-AVERAGE(OFFSET($H$3,0,0,'Données projet'!$E$9+1,1))</f>
        <v>231.91408074258248</v>
      </c>
      <c r="T6" s="59">
        <f t="shared" si="34"/>
        <v>143.57726487417773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2.1</v>
      </c>
      <c r="AI6" s="13">
        <f>IF('Données projet'!$A$62&gt;35,AI5+AH6-AQ5,IF(A6&lt;'Données projet'!$A$62,$AF$205^A6,IF(A6='Données projet'!$A$62,'Données projet'!$B$62,AI5+AH6-AQ5)))</f>
        <v>1.7518115829322798</v>
      </c>
      <c r="AJ6" s="13">
        <f>AI6*VLOOKUP('Données projet'!$B$10,Paramètres!$A$1:$I$89,3,0)*VLOOKUP('Données projet'!$B$10,Paramètres!$A$1:$I$89,5,0)</f>
        <v>1.5850391202371266</v>
      </c>
      <c r="AK6" s="13">
        <f t="shared" si="35"/>
        <v>0.69232082604846479</v>
      </c>
      <c r="AL6" s="20">
        <f t="shared" si="4"/>
        <v>3.966401906447405</v>
      </c>
      <c r="AM6" s="59">
        <f t="shared" si="5"/>
        <v>297.29973523978072</v>
      </c>
      <c r="AN6" s="59">
        <f ca="1">AVERAGE(OFFSET($AM$3,0,0,'Données projet'!$E$10+1,1))-AVERAGE(OFFSET($H$3,0,0,'Données projet'!$E$10+1,1))</f>
        <v>253.16772905022714</v>
      </c>
      <c r="AO6" s="59">
        <f t="shared" si="36"/>
        <v>156.67965022779907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2.0833333333333335</v>
      </c>
      <c r="BD6" s="12">
        <f>IF('Données projet'!$A$88&gt;35,BD5+BC6-BL5,IF(A6&lt;'Données projet'!$A$88,$BA$205^A6,IF(A6='Données projet'!$A$88,'Données projet'!$B$88,BD5+BC6-BL5)))</f>
        <v>2.2360679774997898</v>
      </c>
      <c r="BE6" s="13">
        <f>BD6*VLOOKUP('Données projet'!$B$11,Paramètres!$A$1:$I$89,3,0)*VLOOKUP('Données projet'!$B$11,Paramètres!$A$1:$I$89,5,0)</f>
        <v>1.3371686505448743</v>
      </c>
      <c r="BF6" s="13">
        <f t="shared" si="37"/>
        <v>0.59573097109501338</v>
      </c>
      <c r="BG6" s="20">
        <f t="shared" si="7"/>
        <v>3.3664668410228042</v>
      </c>
      <c r="BH6" s="59">
        <f t="shared" si="8"/>
        <v>296.69980017435614</v>
      </c>
      <c r="BI6" s="59">
        <f ca="1">AVERAGE(OFFSET($BH$3,0,0,'Données projet'!$E$11+1,1))-AVERAGE(OFFSET($H$3,0,0,'Données projet'!$E$11+1,1))</f>
        <v>119.24399403036387</v>
      </c>
      <c r="BJ6" s="59">
        <f t="shared" si="38"/>
        <v>119.60076838354843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1.05</v>
      </c>
      <c r="BY6" s="12">
        <f>IF('Données projet'!$A$114&gt;35,BY5+BX6-CG5,IF(A6&lt;'Données projet'!$A$114,$BV$205^A6,IF(A6='Données projet'!$A$114,'Données projet'!$B$114,BY5+BX6-CG5)))</f>
        <v>1.5788209995247278</v>
      </c>
      <c r="BZ6" s="13">
        <f>BY6*VLOOKUP('Données projet'!$B$12,Paramètres!$A$1:$I$89,3,0)*VLOOKUP('Données projet'!$B$12,Paramètres!$A$1:$I$89,5,0)</f>
        <v>1.5270356707403168</v>
      </c>
      <c r="CA6" s="13">
        <f t="shared" si="39"/>
        <v>0.66988646367992577</v>
      </c>
      <c r="CB6" s="20">
        <f t="shared" si="10"/>
        <v>3.8263060507819229</v>
      </c>
      <c r="CC6" s="59">
        <f t="shared" si="11"/>
        <v>297.15963938411522</v>
      </c>
      <c r="CD6" s="59">
        <f ca="1">AVERAGE(OFFSET($CC$3,0,0,'Données projet'!$E$12+1,1))-AVERAGE(OFFSET($H$3,0,0,'Données projet'!$E$12+1,1))</f>
        <v>135.95692658150551</v>
      </c>
      <c r="CE6" s="59">
        <f t="shared" si="40"/>
        <v>79.394119001888612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1.05</v>
      </c>
      <c r="CT6" s="12">
        <f>IF('Données projet'!$A$140&gt;35,CT5+CS6-DB5,IF(A6&lt;'Données projet'!$A$140,$CQ$205^A6,IF(A6='Données projet'!$A$140,'Données projet'!$B$140,CT5+CS6-DB5)))</f>
        <v>1.5788209995247278</v>
      </c>
      <c r="CU6" s="17">
        <f>CT6*VLOOKUP('Données projet'!$B$13,Paramètres!$A$1:$I$89,3,0)*VLOOKUP('Données projet'!$B$13,Paramètres!$A$1:$I$89,5,0)</f>
        <v>1.6994429238884168</v>
      </c>
      <c r="CV6" s="13">
        <f t="shared" si="41"/>
        <v>0.73629349208879868</v>
      </c>
      <c r="CW6" s="20">
        <f t="shared" si="13"/>
        <v>4.2422409244936503</v>
      </c>
      <c r="CX6" s="59">
        <f t="shared" si="14"/>
        <v>297.57557425782699</v>
      </c>
      <c r="CY6" s="59">
        <f ca="1">AVERAGE(OFFSET($CX$3,0,0,'Données projet'!$E$13+1,1))-AVERAGE(OFFSET($H$3,0,0,'Données projet'!$E$13+1,1))</f>
        <v>158.74837032815333</v>
      </c>
      <c r="CZ6" s="59">
        <f t="shared" si="42"/>
        <v>92.286636088270086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2.1</v>
      </c>
      <c r="N7" s="13">
        <f>IF('Données projet'!$A$36&gt;35,N6+M7-V6,IF(A7&lt;'Données projet'!$A$36,$K$205^A7,IF(A7='Données projet'!$A$36,'Données projet'!$B$36,N6+M7-V6)))</f>
        <v>2.1117857649667546</v>
      </c>
      <c r="O7" s="13">
        <f>N7*VLOOKUP('Données projet'!$B$9,Paramètres!$A$1:$I$89,3,0)*VLOOKUP('Données projet'!$B$9,Paramètres!$A$1:$I$89,5,0)</f>
        <v>1.7789683284079942</v>
      </c>
      <c r="P7" s="13">
        <f t="shared" si="33"/>
        <v>0.76665628572357314</v>
      </c>
      <c r="Q7" s="20">
        <f t="shared" si="2"/>
        <v>4.4336295362791462</v>
      </c>
      <c r="R7" s="59">
        <f t="shared" si="0"/>
        <v>297.76696286961248</v>
      </c>
      <c r="S7" s="59">
        <f ca="1">AVERAGE(OFFSET($R$3,0,0,'Données projet'!$E$9+1,1))-AVERAGE(OFFSET($H$3,0,0,'Données projet'!$E$9+1,1))</f>
        <v>231.91408074258248</v>
      </c>
      <c r="T7" s="59">
        <f t="shared" si="34"/>
        <v>143.57726487417773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2.1</v>
      </c>
      <c r="AI7" s="13">
        <f>IF('Données projet'!$A$62&gt;35,AI6+AH7-AQ6,IF(A7&lt;'Données projet'!$A$62,$AF$205^A7,IF(A7='Données projet'!$A$62,'Données projet'!$B$62,AI6+AH7-AQ6)))</f>
        <v>2.1117857649667546</v>
      </c>
      <c r="AJ7" s="13">
        <f>AI7*VLOOKUP('Données projet'!$B$10,Paramètres!$A$1:$I$89,3,0)*VLOOKUP('Données projet'!$B$10,Paramètres!$A$1:$I$89,5,0)</f>
        <v>1.9107437601419195</v>
      </c>
      <c r="AK7" s="13">
        <f t="shared" si="35"/>
        <v>0.81662477151702284</v>
      </c>
      <c r="AL7" s="20">
        <f t="shared" si="4"/>
        <v>4.7501668593059909</v>
      </c>
      <c r="AM7" s="59">
        <f t="shared" si="5"/>
        <v>298.08350019263929</v>
      </c>
      <c r="AN7" s="59">
        <f ca="1">AVERAGE(OFFSET($AM$3,0,0,'Données projet'!$E$10+1,1))-AVERAGE(OFFSET($H$3,0,0,'Données projet'!$E$10+1,1))</f>
        <v>253.16772905022714</v>
      </c>
      <c r="AO7" s="59">
        <f t="shared" si="36"/>
        <v>156.67965022779907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2.0833333333333335</v>
      </c>
      <c r="BD7" s="12">
        <f>IF('Données projet'!$A$88&gt;35,BD6+BC7-BL6,IF(A7&lt;'Données projet'!$A$88,$BA$205^A7,IF(A7='Données projet'!$A$88,'Données projet'!$B$88,BD6+BC7-BL6)))</f>
        <v>2.9240177382128665</v>
      </c>
      <c r="BE7" s="13">
        <f>BD7*VLOOKUP('Données projet'!$B$11,Paramètres!$A$1:$I$89,3,0)*VLOOKUP('Données projet'!$B$11,Paramètres!$A$1:$I$89,5,0)</f>
        <v>1.7485626074512943</v>
      </c>
      <c r="BF7" s="13">
        <f t="shared" si="37"/>
        <v>0.75506642910557031</v>
      </c>
      <c r="BG7" s="20">
        <f t="shared" si="7"/>
        <v>4.3604872386698723</v>
      </c>
      <c r="BH7" s="59">
        <f t="shared" si="8"/>
        <v>297.69382057200318</v>
      </c>
      <c r="BI7" s="59">
        <f ca="1">AVERAGE(OFFSET($BH$3,0,0,'Données projet'!$E$11+1,1))-AVERAGE(OFFSET($H$3,0,0,'Données projet'!$E$11+1,1))</f>
        <v>119.24399403036387</v>
      </c>
      <c r="BJ7" s="59">
        <f t="shared" si="38"/>
        <v>119.60076838354843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1.05</v>
      </c>
      <c r="BY7" s="12">
        <f>IF('Données projet'!$A$114&gt;35,BY6+BX7-CG6,IF(A7&lt;'Données projet'!$A$114,$BV$205^A7,IF(A7='Données projet'!$A$114,'Données projet'!$B$114,BY6+BX7-CG6)))</f>
        <v>1.8384162872525445</v>
      </c>
      <c r="BZ7" s="13">
        <f>BY7*VLOOKUP('Données projet'!$B$12,Paramètres!$A$1:$I$89,3,0)*VLOOKUP('Données projet'!$B$12,Paramètres!$A$1:$I$89,5,0)</f>
        <v>1.778116233030661</v>
      </c>
      <c r="CA7" s="13">
        <f t="shared" si="39"/>
        <v>0.76633180529295619</v>
      </c>
      <c r="CB7" s="20">
        <f t="shared" si="10"/>
        <v>4.431580333413633</v>
      </c>
      <c r="CC7" s="59">
        <f t="shared" si="11"/>
        <v>297.76491366674696</v>
      </c>
      <c r="CD7" s="59">
        <f ca="1">AVERAGE(OFFSET($CC$3,0,0,'Données projet'!$E$12+1,1))-AVERAGE(OFFSET($H$3,0,0,'Données projet'!$E$12+1,1))</f>
        <v>135.95692658150551</v>
      </c>
      <c r="CE7" s="59">
        <f t="shared" si="40"/>
        <v>79.394119001888612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1.05</v>
      </c>
      <c r="CT7" s="12">
        <f>IF('Données projet'!$A$140&gt;35,CT6+CS7-DB6,IF(A7&lt;'Données projet'!$A$140,$CQ$205^A7,IF(A7='Données projet'!$A$140,'Données projet'!$B$140,CT6+CS7-DB6)))</f>
        <v>1.8384162872525445</v>
      </c>
      <c r="CU7" s="17">
        <f>CT7*VLOOKUP('Données projet'!$B$13,Paramètres!$A$1:$I$89,3,0)*VLOOKUP('Données projet'!$B$13,Paramètres!$A$1:$I$89,5,0)</f>
        <v>1.9788712915986386</v>
      </c>
      <c r="CV7" s="13">
        <f t="shared" si="41"/>
        <v>0.84229963077364478</v>
      </c>
      <c r="CW7" s="20">
        <f t="shared" si="13"/>
        <v>4.9135393564650593</v>
      </c>
      <c r="CX7" s="59">
        <f t="shared" si="14"/>
        <v>298.24687268979835</v>
      </c>
      <c r="CY7" s="59">
        <f ca="1">AVERAGE(OFFSET($CX$3,0,0,'Données projet'!$E$13+1,1))-AVERAGE(OFFSET($H$3,0,0,'Données projet'!$E$13+1,1))</f>
        <v>158.74837032815333</v>
      </c>
      <c r="CZ7" s="59">
        <f t="shared" si="42"/>
        <v>92.286636088270086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2.1</v>
      </c>
      <c r="N8" s="13">
        <f>IF('Données projet'!$A$36&gt;35,N7+M8-V7,IF(A8&lt;'Données projet'!$A$36,$K$205^A8,IF(A8='Données projet'!$A$36,'Données projet'!$B$36,N7+M8-V7)))</f>
        <v>2.5457298950218314</v>
      </c>
      <c r="O8" s="13">
        <f>N8*VLOOKUP('Données projet'!$B$9,Paramètres!$A$1:$I$89,3,0)*VLOOKUP('Données projet'!$B$9,Paramètres!$A$1:$I$89,5,0)</f>
        <v>2.1445228635663907</v>
      </c>
      <c r="P8" s="13">
        <f t="shared" si="33"/>
        <v>0.90430692044106609</v>
      </c>
      <c r="Q8" s="20">
        <f t="shared" si="2"/>
        <v>5.3100452071463202</v>
      </c>
      <c r="R8" s="59">
        <f t="shared" si="0"/>
        <v>298.64337854047966</v>
      </c>
      <c r="S8" s="59">
        <f ca="1">AVERAGE(OFFSET($R$3,0,0,'Données projet'!$E$9+1,1))-AVERAGE(OFFSET($H$3,0,0,'Données projet'!$E$9+1,1))</f>
        <v>231.91408074258248</v>
      </c>
      <c r="T8" s="59">
        <f t="shared" si="34"/>
        <v>143.57726487417773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2.1</v>
      </c>
      <c r="AI8" s="13">
        <f>IF('Données projet'!$A$62&gt;35,AI7+AH8-AQ7,IF(A8&lt;'Données projet'!$A$62,$AF$205^A8,IF(A8='Données projet'!$A$62,'Données projet'!$B$62,AI7+AH8-AQ7)))</f>
        <v>2.5457298950218314</v>
      </c>
      <c r="AJ8" s="13">
        <f>AI8*VLOOKUP('Données projet'!$B$10,Paramètres!$A$1:$I$89,3,0)*VLOOKUP('Données projet'!$B$10,Paramètres!$A$1:$I$89,5,0)</f>
        <v>2.3033764090157529</v>
      </c>
      <c r="AK8" s="13">
        <f t="shared" si="35"/>
        <v>0.96324708482559218</v>
      </c>
      <c r="AL8" s="20">
        <f t="shared" si="4"/>
        <v>5.6893692517736758</v>
      </c>
      <c r="AM8" s="59">
        <f t="shared" si="5"/>
        <v>299.02270258510697</v>
      </c>
      <c r="AN8" s="59">
        <f ca="1">AVERAGE(OFFSET($AM$3,0,0,'Données projet'!$E$10+1,1))-AVERAGE(OFFSET($H$3,0,0,'Données projet'!$E$10+1,1))</f>
        <v>253.16772905022714</v>
      </c>
      <c r="AO8" s="59">
        <f t="shared" si="36"/>
        <v>156.67965022779907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2.0833333333333335</v>
      </c>
      <c r="BD8" s="12">
        <f>IF('Données projet'!$A$88&gt;35,BD7+BC8-BL7,IF(A8&lt;'Données projet'!$A$88,$BA$205^A8,IF(A8='Données projet'!$A$88,'Données projet'!$B$88,BD7+BC8-BL7)))</f>
        <v>3.8236224566586507</v>
      </c>
      <c r="BE8" s="13">
        <f>BD8*VLOOKUP('Données projet'!$B$11,Paramètres!$A$1:$I$89,3,0)*VLOOKUP('Données projet'!$B$11,Paramètres!$A$1:$I$89,5,0)</f>
        <v>2.2865262290818733</v>
      </c>
      <c r="BF8" s="13">
        <f t="shared" si="37"/>
        <v>0.95701808370696195</v>
      </c>
      <c r="BG8" s="20">
        <f t="shared" si="7"/>
        <v>5.6491730114405536</v>
      </c>
      <c r="BH8" s="59">
        <f t="shared" si="8"/>
        <v>298.98250634477387</v>
      </c>
      <c r="BI8" s="59">
        <f ca="1">AVERAGE(OFFSET($BH$3,0,0,'Données projet'!$E$11+1,1))-AVERAGE(OFFSET($H$3,0,0,'Données projet'!$E$11+1,1))</f>
        <v>119.24399403036387</v>
      </c>
      <c r="BJ8" s="59">
        <f t="shared" si="38"/>
        <v>119.60076838354843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1.05</v>
      </c>
      <c r="BY8" s="12">
        <f>IF('Données projet'!$A$114&gt;35,BY7+BX8-CG7,IF(A8&lt;'Données projet'!$A$114,$BV$205^A8,IF(A8='Données projet'!$A$114,'Données projet'!$B$114,BY7+BX8-CG7)))</f>
        <v>2.1406951429280729</v>
      </c>
      <c r="BZ8" s="13">
        <f>BY8*VLOOKUP('Données projet'!$B$12,Paramètres!$A$1:$I$89,3,0)*VLOOKUP('Données projet'!$B$12,Paramètres!$A$1:$I$89,5,0)</f>
        <v>2.0704803422400322</v>
      </c>
      <c r="CA8" s="13">
        <f t="shared" si="39"/>
        <v>0.87666264008009354</v>
      </c>
      <c r="CB8" s="20">
        <f t="shared" si="10"/>
        <v>5.1329406942075515</v>
      </c>
      <c r="CC8" s="59">
        <f t="shared" si="11"/>
        <v>298.46627402754086</v>
      </c>
      <c r="CD8" s="59">
        <f ca="1">AVERAGE(OFFSET($CC$3,0,0,'Données projet'!$E$12+1,1))-AVERAGE(OFFSET($H$3,0,0,'Données projet'!$E$12+1,1))</f>
        <v>135.95692658150551</v>
      </c>
      <c r="CE8" s="59">
        <f t="shared" si="40"/>
        <v>79.394119001888612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1.05</v>
      </c>
      <c r="CT8" s="12">
        <f>IF('Données projet'!$A$140&gt;35,CT7+CS8-DB7,IF(A8&lt;'Données projet'!$A$140,$CQ$205^A8,IF(A8='Données projet'!$A$140,'Données projet'!$B$140,CT7+CS8-DB7)))</f>
        <v>2.1406951429280729</v>
      </c>
      <c r="CU8" s="17">
        <f>CT8*VLOOKUP('Données projet'!$B$13,Paramètres!$A$1:$I$89,3,0)*VLOOKUP('Données projet'!$B$13,Paramètres!$A$1:$I$89,5,0)</f>
        <v>2.3042442518477775</v>
      </c>
      <c r="CV8" s="13">
        <f t="shared" si="41"/>
        <v>0.96356775609780188</v>
      </c>
      <c r="CW8" s="20">
        <f t="shared" si="13"/>
        <v>5.6914392471718847</v>
      </c>
      <c r="CX8" s="59">
        <f t="shared" si="14"/>
        <v>299.02477258050521</v>
      </c>
      <c r="CY8" s="59">
        <f ca="1">AVERAGE(OFFSET($CX$3,0,0,'Données projet'!$E$13+1,1))-AVERAGE(OFFSET($H$3,0,0,'Données projet'!$E$13+1,1))</f>
        <v>158.74837032815333</v>
      </c>
      <c r="CZ8" s="59">
        <f t="shared" si="42"/>
        <v>92.286636088270086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2.1</v>
      </c>
      <c r="N9" s="13">
        <f>IF('Données projet'!$A$36&gt;35,N8+M9-V8,IF(A9&lt;'Données projet'!$A$36,$K$205^A9,IF(A9='Données projet'!$A$36,'Données projet'!$B$36,N8+M9-V8)))</f>
        <v>3.0688438220956993</v>
      </c>
      <c r="O9" s="13">
        <f>N9*VLOOKUP('Données projet'!$B$9,Paramètres!$A$1:$I$89,3,0)*VLOOKUP('Données projet'!$B$9,Paramètres!$A$1:$I$89,5,0)</f>
        <v>2.5851940357334171</v>
      </c>
      <c r="P9" s="13">
        <f t="shared" si="33"/>
        <v>1.0666722775067177</v>
      </c>
      <c r="Q9" s="20">
        <f t="shared" si="2"/>
        <v>6.3603338288932347</v>
      </c>
      <c r="R9" s="59">
        <f t="shared" si="0"/>
        <v>299.69366716222657</v>
      </c>
      <c r="S9" s="59">
        <f ca="1">AVERAGE(OFFSET($R$3,0,0,'Données projet'!$E$9+1,1))-AVERAGE(OFFSET($H$3,0,0,'Données projet'!$E$9+1,1))</f>
        <v>231.91408074258248</v>
      </c>
      <c r="T9" s="59">
        <f t="shared" si="34"/>
        <v>143.57726487417773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2.1</v>
      </c>
      <c r="AI9" s="13">
        <f>IF('Données projet'!$A$62&gt;35,AI8+AH9-AQ8,IF(A9&lt;'Données projet'!$A$62,$AF$205^A9,IF(A9='Données projet'!$A$62,'Données projet'!$B$62,AI8+AH9-AQ8)))</f>
        <v>3.0688438220956993</v>
      </c>
      <c r="AJ9" s="13">
        <f>AI9*VLOOKUP('Données projet'!$B$10,Paramètres!$A$1:$I$89,3,0)*VLOOKUP('Données projet'!$B$10,Paramètres!$A$1:$I$89,5,0)</f>
        <v>2.7766898902321886</v>
      </c>
      <c r="AK9" s="13">
        <f t="shared" si="35"/>
        <v>1.1361949561012803</v>
      </c>
      <c r="AL9" s="20">
        <f t="shared" si="4"/>
        <v>6.8149411073641248</v>
      </c>
      <c r="AM9" s="59">
        <f t="shared" si="5"/>
        <v>300.14827444069743</v>
      </c>
      <c r="AN9" s="59">
        <f ca="1">AVERAGE(OFFSET($AM$3,0,0,'Données projet'!$E$10+1,1))-AVERAGE(OFFSET($H$3,0,0,'Données projet'!$E$10+1,1))</f>
        <v>253.16772905022714</v>
      </c>
      <c r="AO9" s="59">
        <f t="shared" si="36"/>
        <v>156.67965022779907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2.0833333333333335</v>
      </c>
      <c r="BD9" s="12">
        <f>IF('Données projet'!$A$88&gt;35,BD8+BC9-BL8,IF(A9&lt;'Données projet'!$A$88,$BA$205^A9,IF(A9='Données projet'!$A$88,'Données projet'!$B$88,BD8+BC9-BL8)))</f>
        <v>5.0000000000000009</v>
      </c>
      <c r="BE9" s="13">
        <f>BD9*VLOOKUP('Données projet'!$B$11,Paramètres!$A$1:$I$89,3,0)*VLOOKUP('Données projet'!$B$11,Paramètres!$A$1:$I$89,5,0)</f>
        <v>2.9900000000000011</v>
      </c>
      <c r="BF9" s="13">
        <f t="shared" si="37"/>
        <v>1.212984152436859</v>
      </c>
      <c r="BG9" s="20">
        <f t="shared" si="7"/>
        <v>7.3201973988275313</v>
      </c>
      <c r="BH9" s="59">
        <f t="shared" si="8"/>
        <v>300.65353073216085</v>
      </c>
      <c r="BI9" s="59">
        <f ca="1">AVERAGE(OFFSET($BH$3,0,0,'Données projet'!$E$11+1,1))-AVERAGE(OFFSET($H$3,0,0,'Données projet'!$E$11+1,1))</f>
        <v>119.24399403036387</v>
      </c>
      <c r="BJ9" s="59">
        <f t="shared" si="38"/>
        <v>119.60076838354843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1.05</v>
      </c>
      <c r="BY9" s="12">
        <f>IF('Données projet'!$A$114&gt;35,BY8+BX9-CG8,IF(A9&lt;'Données projet'!$A$114,$BV$205^A9,IF(A9='Données projet'!$A$114,'Données projet'!$B$114,BY8+BX9-CG8)))</f>
        <v>2.4926757485402602</v>
      </c>
      <c r="BZ9" s="13">
        <f>BY9*VLOOKUP('Données projet'!$B$12,Paramètres!$A$1:$I$89,3,0)*VLOOKUP('Données projet'!$B$12,Paramètres!$A$1:$I$89,5,0)</f>
        <v>2.41091598398814</v>
      </c>
      <c r="CA9" s="13">
        <f t="shared" si="39"/>
        <v>1.0028780995438396</v>
      </c>
      <c r="CB9" s="20">
        <f t="shared" si="10"/>
        <v>5.945691362151531</v>
      </c>
      <c r="CC9" s="59">
        <f t="shared" si="11"/>
        <v>299.27902469548485</v>
      </c>
      <c r="CD9" s="59">
        <f ca="1">AVERAGE(OFFSET($CC$3,0,0,'Données projet'!$E$12+1,1))-AVERAGE(OFFSET($H$3,0,0,'Données projet'!$E$12+1,1))</f>
        <v>135.95692658150551</v>
      </c>
      <c r="CE9" s="59">
        <f t="shared" si="40"/>
        <v>79.394119001888612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1.05</v>
      </c>
      <c r="CT9" s="12">
        <f>IF('Données projet'!$A$140&gt;35,CT8+CS9-DB8,IF(A9&lt;'Données projet'!$A$140,$CQ$205^A9,IF(A9='Données projet'!$A$140,'Données projet'!$B$140,CT8+CS9-DB8)))</f>
        <v>2.4926757485402602</v>
      </c>
      <c r="CU9" s="17">
        <f>CT9*VLOOKUP('Données projet'!$B$13,Paramètres!$A$1:$I$89,3,0)*VLOOKUP('Données projet'!$B$13,Paramètres!$A$1:$I$89,5,0)</f>
        <v>2.6831161757287361</v>
      </c>
      <c r="CV9" s="13">
        <f t="shared" si="41"/>
        <v>1.1022951770008116</v>
      </c>
      <c r="CW9" s="20">
        <f t="shared" si="13"/>
        <v>6.5929247726706288</v>
      </c>
      <c r="CX9" s="59">
        <f t="shared" si="14"/>
        <v>299.92625810600396</v>
      </c>
      <c r="CY9" s="59">
        <f ca="1">AVERAGE(OFFSET($CX$3,0,0,'Données projet'!$E$13+1,1))-AVERAGE(OFFSET($H$3,0,0,'Données projet'!$E$13+1,1))</f>
        <v>158.74837032815333</v>
      </c>
      <c r="CZ9" s="59">
        <f t="shared" si="42"/>
        <v>92.286636088270086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2.1</v>
      </c>
      <c r="N10" s="13">
        <f>IF('Données projet'!$A$36&gt;35,N9+M10-V9,IF(A10&lt;'Données projet'!$A$36,$K$205^A10,IF(A10='Données projet'!$A$36,'Données projet'!$B$36,N9+M10-V9)))</f>
        <v>3.6994507637402658</v>
      </c>
      <c r="O10" s="13">
        <f>N10*VLOOKUP('Données projet'!$B$9,Paramètres!$A$1:$I$89,3,0)*VLOOKUP('Données projet'!$B$9,Paramètres!$A$1:$I$89,5,0)</f>
        <v>3.1164173233748005</v>
      </c>
      <c r="P10" s="13">
        <f t="shared" si="33"/>
        <v>1.2581898046809412</v>
      </c>
      <c r="Q10" s="20">
        <f t="shared" si="2"/>
        <v>7.6191074146970825</v>
      </c>
      <c r="R10" s="59">
        <f t="shared" si="0"/>
        <v>300.95244074803037</v>
      </c>
      <c r="S10" s="59">
        <f ca="1">AVERAGE(OFFSET($R$3,0,0,'Données projet'!$E$9+1,1))-AVERAGE(OFFSET($H$3,0,0,'Données projet'!$E$9+1,1))</f>
        <v>231.91408074258248</v>
      </c>
      <c r="T10" s="59">
        <f t="shared" si="34"/>
        <v>143.57726487417773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2.1</v>
      </c>
      <c r="AI10" s="13">
        <f>IF('Données projet'!$A$62&gt;35,AI9+AH10-AQ9,IF(A10&lt;'Données projet'!$A$62,$AF$205^A10,IF(A10='Données projet'!$A$62,'Données projet'!$B$62,AI9+AH10-AQ9)))</f>
        <v>3.6994507637402658</v>
      </c>
      <c r="AJ10" s="13">
        <f>AI10*VLOOKUP('Données projet'!$B$10,Paramètres!$A$1:$I$89,3,0)*VLOOKUP('Données projet'!$B$10,Paramètres!$A$1:$I$89,5,0)</f>
        <v>3.3472630510321921</v>
      </c>
      <c r="AK10" s="13">
        <f t="shared" si="35"/>
        <v>1.34019505338418</v>
      </c>
      <c r="AL10" s="20">
        <f t="shared" si="4"/>
        <v>8.1639895318585136</v>
      </c>
      <c r="AM10" s="59">
        <f t="shared" si="5"/>
        <v>301.49732286519185</v>
      </c>
      <c r="AN10" s="59">
        <f ca="1">AVERAGE(OFFSET($AM$3,0,0,'Données projet'!$E$10+1,1))-AVERAGE(OFFSET($H$3,0,0,'Données projet'!$E$10+1,1))</f>
        <v>253.16772905022714</v>
      </c>
      <c r="AO10" s="59">
        <f t="shared" si="36"/>
        <v>156.67965022779907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2.0833333333333335</v>
      </c>
      <c r="BD10" s="12">
        <f>IF('Données projet'!$A$88&gt;35,BD9+BC10-BL9,IF(A10&lt;'Données projet'!$A$88,$BA$205^A10,IF(A10='Données projet'!$A$88,'Données projet'!$B$88,BD9+BC10-BL9)))</f>
        <v>6.5383024300591543</v>
      </c>
      <c r="BE10" s="13">
        <f>BD10*VLOOKUP('Données projet'!$B$11,Paramètres!$A$1:$I$89,3,0)*VLOOKUP('Données projet'!$B$11,Paramètres!$A$1:$I$89,5,0)</f>
        <v>3.9099048531753748</v>
      </c>
      <c r="BF10" s="13">
        <f t="shared" si="37"/>
        <v>1.5374114440594884</v>
      </c>
      <c r="BG10" s="20">
        <f t="shared" si="7"/>
        <v>9.4874092176840534</v>
      </c>
      <c r="BH10" s="59">
        <f t="shared" si="8"/>
        <v>302.82074255101736</v>
      </c>
      <c r="BI10" s="59">
        <f ca="1">AVERAGE(OFFSET($BH$3,0,0,'Données projet'!$E$11+1,1))-AVERAGE(OFFSET($H$3,0,0,'Données projet'!$E$11+1,1))</f>
        <v>119.24399403036387</v>
      </c>
      <c r="BJ10" s="59">
        <f t="shared" si="38"/>
        <v>119.60076838354843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1.05</v>
      </c>
      <c r="BY10" s="12">
        <f>IF('Données projet'!$A$114&gt;35,BY9+BX10-CG9,IF(A10&lt;'Données projet'!$A$114,$BV$205^A10,IF(A10='Données projet'!$A$114,'Données projet'!$B$114,BY9+BX10-CG9)))</f>
        <v>2.9025302401826014</v>
      </c>
      <c r="BZ10" s="13">
        <f>BY10*VLOOKUP('Données projet'!$B$12,Paramètres!$A$1:$I$89,3,0)*VLOOKUP('Données projet'!$B$12,Paramètres!$A$1:$I$89,5,0)</f>
        <v>2.8073272483046123</v>
      </c>
      <c r="CA10" s="13">
        <f t="shared" si="39"/>
        <v>1.1472651354833312</v>
      </c>
      <c r="CB10" s="20">
        <f t="shared" si="10"/>
        <v>6.887581735097335</v>
      </c>
      <c r="CC10" s="59">
        <f t="shared" si="11"/>
        <v>300.22091506843066</v>
      </c>
      <c r="CD10" s="59">
        <f ca="1">AVERAGE(OFFSET($CC$3,0,0,'Données projet'!$E$12+1,1))-AVERAGE(OFFSET($H$3,0,0,'Données projet'!$E$12+1,1))</f>
        <v>135.95692658150551</v>
      </c>
      <c r="CE10" s="59">
        <f t="shared" si="40"/>
        <v>79.394119001888612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1.05</v>
      </c>
      <c r="CT10" s="12">
        <f>IF('Données projet'!$A$140&gt;35,CT9+CS10-DB9,IF(A10&lt;'Données projet'!$A$140,$CQ$205^A10,IF(A10='Données projet'!$A$140,'Données projet'!$B$140,CT9+CS10-DB9)))</f>
        <v>2.9025302401826014</v>
      </c>
      <c r="CU10" s="17">
        <f>CT10*VLOOKUP('Données projet'!$B$13,Paramètres!$A$1:$I$89,3,0)*VLOOKUP('Données projet'!$B$13,Paramètres!$A$1:$I$89,5,0)</f>
        <v>3.1242835505325521</v>
      </c>
      <c r="CV10" s="13">
        <f t="shared" si="41"/>
        <v>1.2609955548532519</v>
      </c>
      <c r="CW10" s="20">
        <f t="shared" si="13"/>
        <v>7.6376944418802752</v>
      </c>
      <c r="CX10" s="59">
        <f t="shared" si="14"/>
        <v>300.9710277752136</v>
      </c>
      <c r="CY10" s="59">
        <f ca="1">AVERAGE(OFFSET($CX$3,0,0,'Données projet'!$E$13+1,1))-AVERAGE(OFFSET($H$3,0,0,'Données projet'!$E$13+1,1))</f>
        <v>158.74837032815333</v>
      </c>
      <c r="CZ10" s="59">
        <f t="shared" si="42"/>
        <v>92.286636088270086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2.1</v>
      </c>
      <c r="N11" s="13">
        <f>IF('Données projet'!$A$36&gt;35,N10+M11-V10,IF(A11&lt;'Données projet'!$A$36,$K$205^A11,IF(A11='Données projet'!$A$36,'Données projet'!$B$36,N10+M11-V10)))</f>
        <v>4.4596391171162209</v>
      </c>
      <c r="O11" s="13">
        <f>N11*VLOOKUP('Données projet'!$B$9,Paramètres!$A$1:$I$89,3,0)*VLOOKUP('Données projet'!$B$9,Paramètres!$A$1:$I$89,5,0)</f>
        <v>3.7567999922587045</v>
      </c>
      <c r="P11" s="13">
        <f t="shared" si="33"/>
        <v>1.4840936789913857</v>
      </c>
      <c r="Q11" s="20">
        <f t="shared" si="2"/>
        <v>9.127889810760573</v>
      </c>
      <c r="R11" s="59">
        <f t="shared" si="0"/>
        <v>302.46122314409388</v>
      </c>
      <c r="S11" s="59">
        <f ca="1">AVERAGE(OFFSET($R$3,0,0,'Données projet'!$E$9+1,1))-AVERAGE(OFFSET($H$3,0,0,'Données projet'!$E$9+1,1))</f>
        <v>231.91408074258248</v>
      </c>
      <c r="T11" s="59">
        <f t="shared" si="34"/>
        <v>143.57726487417773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2.1</v>
      </c>
      <c r="AI11" s="13">
        <f>IF('Données projet'!$A$62&gt;35,AI10+AH11-AQ10,IF(A11&lt;'Données projet'!$A$62,$AF$205^A11,IF(A11='Données projet'!$A$62,'Données projet'!$B$62,AI10+AH11-AQ10)))</f>
        <v>4.4596391171162209</v>
      </c>
      <c r="AJ11" s="13">
        <f>AI11*VLOOKUP('Données projet'!$B$10,Paramètres!$A$1:$I$89,3,0)*VLOOKUP('Données projet'!$B$10,Paramètres!$A$1:$I$89,5,0)</f>
        <v>4.0350814731667564</v>
      </c>
      <c r="AK11" s="13">
        <f t="shared" si="35"/>
        <v>1.5808227025391921</v>
      </c>
      <c r="AL11" s="20">
        <f t="shared" si="4"/>
        <v>9.7810331060211926</v>
      </c>
      <c r="AM11" s="59">
        <f t="shared" si="5"/>
        <v>303.11436643935451</v>
      </c>
      <c r="AN11" s="59">
        <f ca="1">AVERAGE(OFFSET($AM$3,0,0,'Données projet'!$E$10+1,1))-AVERAGE(OFFSET($H$3,0,0,'Données projet'!$E$10+1,1))</f>
        <v>253.16772905022714</v>
      </c>
      <c r="AO11" s="59">
        <f t="shared" si="36"/>
        <v>156.67965022779907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2.0833333333333335</v>
      </c>
      <c r="BD11" s="12">
        <f>IF('Données projet'!$A$88&gt;35,BD10+BC11-BL10,IF(A11&lt;'Données projet'!$A$88,$BA$205^A11,IF(A11='Données projet'!$A$88,'Données projet'!$B$88,BD10+BC11-BL10)))</f>
        <v>8.5498797333834879</v>
      </c>
      <c r="BE11" s="13">
        <f>BD11*VLOOKUP('Données projet'!$B$11,Paramètres!$A$1:$I$89,3,0)*VLOOKUP('Données projet'!$B$11,Paramètres!$A$1:$I$89,5,0)</f>
        <v>5.1128280805633262</v>
      </c>
      <c r="BF11" s="13">
        <f t="shared" si="37"/>
        <v>1.9486107411845339</v>
      </c>
      <c r="BG11" s="20">
        <f t="shared" si="7"/>
        <v>12.298672614544188</v>
      </c>
      <c r="BH11" s="59">
        <f t="shared" si="8"/>
        <v>305.63200594787747</v>
      </c>
      <c r="BI11" s="59">
        <f ca="1">AVERAGE(OFFSET($BH$3,0,0,'Données projet'!$E$11+1,1))-AVERAGE(OFFSET($H$3,0,0,'Données projet'!$E$11+1,1))</f>
        <v>119.24399403036387</v>
      </c>
      <c r="BJ11" s="59">
        <f t="shared" si="38"/>
        <v>119.60076838354843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1.05</v>
      </c>
      <c r="BY11" s="12">
        <f>IF('Données projet'!$A$114&gt;35,BY10+BX11-CG10,IF(A11&lt;'Données projet'!$A$114,$BV$205^A11,IF(A11='Données projet'!$A$114,'Données projet'!$B$114,BY10+BX11-CG10)))</f>
        <v>3.3797744452354301</v>
      </c>
      <c r="BZ11" s="13">
        <f>BY11*VLOOKUP('Données projet'!$B$12,Paramètres!$A$1:$I$89,3,0)*VLOOKUP('Données projet'!$B$12,Paramètres!$A$1:$I$89,5,0)</f>
        <v>3.2689178434317077</v>
      </c>
      <c r="CA11" s="13">
        <f t="shared" si="39"/>
        <v>1.3124399582504287</v>
      </c>
      <c r="CB11" s="20">
        <f t="shared" si="10"/>
        <v>7.9791981712630529</v>
      </c>
      <c r="CC11" s="59">
        <f t="shared" si="11"/>
        <v>301.31253150459639</v>
      </c>
      <c r="CD11" s="59">
        <f ca="1">AVERAGE(OFFSET($CC$3,0,0,'Données projet'!$E$12+1,1))-AVERAGE(OFFSET($H$3,0,0,'Données projet'!$E$12+1,1))</f>
        <v>135.95692658150551</v>
      </c>
      <c r="CE11" s="59">
        <f t="shared" si="40"/>
        <v>79.394119001888612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1.05</v>
      </c>
      <c r="CT11" s="12">
        <f>IF('Données projet'!$A$140&gt;35,CT10+CS11-DB10,IF(A11&lt;'Données projet'!$A$140,$CQ$205^A11,IF(A11='Données projet'!$A$140,'Données projet'!$B$140,CT10+CS11-DB10)))</f>
        <v>3.3797744452354301</v>
      </c>
      <c r="CU11" s="17">
        <f>CT11*VLOOKUP('Données projet'!$B$13,Paramètres!$A$1:$I$89,3,0)*VLOOKUP('Données projet'!$B$13,Paramètres!$A$1:$I$89,5,0)</f>
        <v>3.6379892128514166</v>
      </c>
      <c r="CV11" s="13">
        <f t="shared" si="41"/>
        <v>1.4425444495603463</v>
      </c>
      <c r="CW11" s="20">
        <f t="shared" si="13"/>
        <v>8.8485961287004873</v>
      </c>
      <c r="CX11" s="59">
        <f t="shared" si="14"/>
        <v>302.18192946203379</v>
      </c>
      <c r="CY11" s="59">
        <f ca="1">AVERAGE(OFFSET($CX$3,0,0,'Données projet'!$E$13+1,1))-AVERAGE(OFFSET($H$3,0,0,'Données projet'!$E$13+1,1))</f>
        <v>158.74837032815333</v>
      </c>
      <c r="CZ11" s="59">
        <f t="shared" si="42"/>
        <v>92.286636088270086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2.1</v>
      </c>
      <c r="N12" s="13">
        <f>IF('Données projet'!$A$36&gt;35,N11+M12-V11,IF(A12&lt;'Données projet'!$A$36,$K$205^A12,IF(A12='Données projet'!$A$36,'Données projet'!$B$36,N11+M12-V11)))</f>
        <v>5.3760361537574148</v>
      </c>
      <c r="O12" s="13">
        <f>N12*VLOOKUP('Données projet'!$B$9,Paramètres!$A$1:$I$89,3,0)*VLOOKUP('Données projet'!$B$9,Paramètres!$A$1:$I$89,5,0)</f>
        <v>4.5287728559252471</v>
      </c>
      <c r="P12" s="13">
        <f t="shared" si="33"/>
        <v>1.7505578568733651</v>
      </c>
      <c r="Q12" s="20">
        <f t="shared" si="2"/>
        <v>10.93650099145758</v>
      </c>
      <c r="R12" s="59">
        <f t="shared" si="0"/>
        <v>304.26983432479091</v>
      </c>
      <c r="S12" s="59">
        <f ca="1">AVERAGE(OFFSET($R$3,0,0,'Données projet'!$E$9+1,1))-AVERAGE(OFFSET($H$3,0,0,'Données projet'!$E$9+1,1))</f>
        <v>231.91408074258248</v>
      </c>
      <c r="T12" s="59">
        <f t="shared" si="34"/>
        <v>143.57726487417773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2.1</v>
      </c>
      <c r="AI12" s="13">
        <f>IF('Données projet'!$A$62&gt;35,AI11+AH12-AQ11,IF(A12&lt;'Données projet'!$A$62,$AF$205^A12,IF(A12='Données projet'!$A$62,'Données projet'!$B$62,AI11+AH12-AQ11)))</f>
        <v>5.3760361537574148</v>
      </c>
      <c r="AJ12" s="13">
        <f>AI12*VLOOKUP('Données projet'!$B$10,Paramètres!$A$1:$I$89,3,0)*VLOOKUP('Données projet'!$B$10,Paramètres!$A$1:$I$89,5,0)</f>
        <v>4.8642375119197085</v>
      </c>
      <c r="AK12" s="13">
        <f t="shared" si="35"/>
        <v>1.8646542609995393</v>
      </c>
      <c r="AL12" s="20">
        <f t="shared" si="4"/>
        <v>11.719486504501022</v>
      </c>
      <c r="AM12" s="59">
        <f t="shared" si="5"/>
        <v>305.05281983783436</v>
      </c>
      <c r="AN12" s="59">
        <f ca="1">AVERAGE(OFFSET($AM$3,0,0,'Données projet'!$E$10+1,1))-AVERAGE(OFFSET($H$3,0,0,'Données projet'!$E$10+1,1))</f>
        <v>253.16772905022714</v>
      </c>
      <c r="AO12" s="59">
        <f t="shared" si="36"/>
        <v>156.67965022779907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2.0833333333333335</v>
      </c>
      <c r="BD12" s="12">
        <f>IF('Données projet'!$A$88&gt;35,BD11+BC12-BL11,IF(A12&lt;'Données projet'!$A$88,$BA$205^A12,IF(A12='Données projet'!$A$88,'Données projet'!$B$88,BD11+BC12-BL11)))</f>
        <v>11.180339887498953</v>
      </c>
      <c r="BE12" s="13">
        <f>BD12*VLOOKUP('Données projet'!$B$11,Paramètres!$A$1:$I$89,3,0)*VLOOKUP('Données projet'!$B$11,Paramètres!$A$1:$I$89,5,0)</f>
        <v>6.6858432527243732</v>
      </c>
      <c r="BF12" s="13">
        <f t="shared" si="37"/>
        <v>2.4697902668355676</v>
      </c>
      <c r="BG12" s="20">
        <f t="shared" si="7"/>
        <v>15.946061713233563</v>
      </c>
      <c r="BH12" s="59">
        <f t="shared" si="8"/>
        <v>309.27939504656689</v>
      </c>
      <c r="BI12" s="59">
        <f ca="1">AVERAGE(OFFSET($BH$3,0,0,'Données projet'!$E$11+1,1))-AVERAGE(OFFSET($H$3,0,0,'Données projet'!$E$11+1,1))</f>
        <v>119.24399403036387</v>
      </c>
      <c r="BJ12" s="59">
        <f t="shared" si="38"/>
        <v>119.60076838354843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1.05</v>
      </c>
      <c r="BY12" s="12">
        <f>IF('Données projet'!$A$114&gt;35,BY11+BX12-CG11,IF(A12&lt;'Données projet'!$A$114,$BV$205^A12,IF(A12='Données projet'!$A$114,'Données projet'!$B$114,BY11+BX12-CG11)))</f>
        <v>3.9354888168013828</v>
      </c>
      <c r="BZ12" s="13">
        <f>BY12*VLOOKUP('Données projet'!$B$12,Paramètres!$A$1:$I$89,3,0)*VLOOKUP('Données projet'!$B$12,Paramètres!$A$1:$I$89,5,0)</f>
        <v>3.8064047836102977</v>
      </c>
      <c r="CA12" s="13">
        <f t="shared" si="39"/>
        <v>1.5013954409821026</v>
      </c>
      <c r="CB12" s="20">
        <f t="shared" si="10"/>
        <v>9.2444187244984306</v>
      </c>
      <c r="CC12" s="59">
        <f t="shared" si="11"/>
        <v>302.57775205783173</v>
      </c>
      <c r="CD12" s="59">
        <f ca="1">AVERAGE(OFFSET($CC$3,0,0,'Données projet'!$E$12+1,1))-AVERAGE(OFFSET($H$3,0,0,'Données projet'!$E$12+1,1))</f>
        <v>135.95692658150551</v>
      </c>
      <c r="CE12" s="59">
        <f t="shared" si="40"/>
        <v>79.394119001888612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1.05</v>
      </c>
      <c r="CT12" s="12">
        <f>IF('Données projet'!$A$140&gt;35,CT11+CS12-DB11,IF(A12&lt;'Données projet'!$A$140,$CQ$205^A12,IF(A12='Données projet'!$A$140,'Données projet'!$B$140,CT11+CS12-DB11)))</f>
        <v>3.9354888168013828</v>
      </c>
      <c r="CU12" s="17">
        <f>CT12*VLOOKUP('Données projet'!$B$13,Paramètres!$A$1:$I$89,3,0)*VLOOKUP('Données projet'!$B$13,Paramètres!$A$1:$I$89,5,0)</f>
        <v>4.2361601624050085</v>
      </c>
      <c r="CV12" s="13">
        <f t="shared" si="41"/>
        <v>1.6502314230596411</v>
      </c>
      <c r="CW12" s="20">
        <f t="shared" si="13"/>
        <v>10.252132011350932</v>
      </c>
      <c r="CX12" s="59">
        <f t="shared" si="14"/>
        <v>303.58546534468422</v>
      </c>
      <c r="CY12" s="59">
        <f ca="1">AVERAGE(OFFSET($CX$3,0,0,'Données projet'!$E$13+1,1))-AVERAGE(OFFSET($H$3,0,0,'Données projet'!$E$13+1,1))</f>
        <v>158.74837032815333</v>
      </c>
      <c r="CZ12" s="59">
        <f t="shared" si="42"/>
        <v>92.286636088270086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2.1</v>
      </c>
      <c r="N13" s="13">
        <f>IF('Données projet'!$A$36&gt;35,N12+M13-V12,IF(A13&lt;'Données projet'!$A$36,$K$205^A13,IF(A13='Données projet'!$A$36,'Données projet'!$B$36,N12+M13-V12)))</f>
        <v>6.4807406984078657</v>
      </c>
      <c r="O13" s="13">
        <f>N13*VLOOKUP('Données projet'!$B$9,Paramètres!$A$1:$I$89,3,0)*VLOOKUP('Données projet'!$B$9,Paramètres!$A$1:$I$89,5,0)</f>
        <v>5.4593759643387862</v>
      </c>
      <c r="P13" s="13">
        <f t="shared" si="33"/>
        <v>2.0648648084962673</v>
      </c>
      <c r="Q13" s="20">
        <f t="shared" si="2"/>
        <v>13.104719346021051</v>
      </c>
      <c r="R13" s="59">
        <f t="shared" si="0"/>
        <v>306.43805267935437</v>
      </c>
      <c r="S13" s="59">
        <f ca="1">AVERAGE(OFFSET($R$3,0,0,'Données projet'!$E$9+1,1))-AVERAGE(OFFSET($H$3,0,0,'Données projet'!$E$9+1,1))</f>
        <v>231.91408074258248</v>
      </c>
      <c r="T13" s="59">
        <f t="shared" si="34"/>
        <v>143.57726487417773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2.1</v>
      </c>
      <c r="AI13" s="13">
        <f>IF('Données projet'!$A$62&gt;35,AI12+AH13-AQ12,IF(A13&lt;'Données projet'!$A$62,$AF$205^A13,IF(A13='Données projet'!$A$62,'Données projet'!$B$62,AI12+AH13-AQ12)))</f>
        <v>6.4807406984078657</v>
      </c>
      <c r="AJ13" s="13">
        <f>AI13*VLOOKUP('Données projet'!$B$10,Paramètres!$A$1:$I$89,3,0)*VLOOKUP('Données projet'!$B$10,Paramètres!$A$1:$I$89,5,0)</f>
        <v>5.8637741839194364</v>
      </c>
      <c r="AK13" s="13">
        <f t="shared" si="35"/>
        <v>2.1994468497187687</v>
      </c>
      <c r="AL13" s="20">
        <f t="shared" si="4"/>
        <v>14.043443300253207</v>
      </c>
      <c r="AM13" s="59">
        <f t="shared" si="5"/>
        <v>307.37677663358653</v>
      </c>
      <c r="AN13" s="59">
        <f ca="1">AVERAGE(OFFSET($AM$3,0,0,'Données projet'!$E$10+1,1))-AVERAGE(OFFSET($H$3,0,0,'Données projet'!$E$10+1,1))</f>
        <v>253.16772905022714</v>
      </c>
      <c r="AO13" s="59">
        <f t="shared" si="36"/>
        <v>156.67965022779907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2.0833333333333335</v>
      </c>
      <c r="BD13" s="12">
        <f>IF('Données projet'!$A$88&gt;35,BD12+BC13-BL12,IF(A13&lt;'Données projet'!$A$88,$BA$205^A13,IF(A13='Données projet'!$A$88,'Données projet'!$B$88,BD12+BC13-BL12)))</f>
        <v>14.620088691064336</v>
      </c>
      <c r="BE13" s="13">
        <f>BD13*VLOOKUP('Données projet'!$B$11,Paramètres!$A$1:$I$89,3,0)*VLOOKUP('Données projet'!$B$11,Paramètres!$A$1:$I$89,5,0)</f>
        <v>8.7428130372564734</v>
      </c>
      <c r="BF13" s="13">
        <f t="shared" si="37"/>
        <v>3.1303655641596633</v>
      </c>
      <c r="BG13" s="20">
        <f t="shared" si="7"/>
        <v>20.679119397466433</v>
      </c>
      <c r="BH13" s="59">
        <f t="shared" si="8"/>
        <v>314.01245273079974</v>
      </c>
      <c r="BI13" s="59">
        <f ca="1">AVERAGE(OFFSET($BH$3,0,0,'Données projet'!$E$11+1,1))-AVERAGE(OFFSET($H$3,0,0,'Données projet'!$E$11+1,1))</f>
        <v>119.24399403036387</v>
      </c>
      <c r="BJ13" s="59">
        <f t="shared" si="38"/>
        <v>119.60076838354843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1.05</v>
      </c>
      <c r="BY13" s="12">
        <f>IF('Données projet'!$A$114&gt;35,BY12+BX13-CG12,IF(A13&lt;'Données projet'!$A$114,$BV$205^A13,IF(A13='Données projet'!$A$114,'Données projet'!$B$114,BY12+BX13-CG12)))</f>
        <v>4.5825756949558425</v>
      </c>
      <c r="BZ13" s="13">
        <f>BY13*VLOOKUP('Données projet'!$B$12,Paramètres!$A$1:$I$89,3,0)*VLOOKUP('Données projet'!$B$12,Paramètres!$A$1:$I$89,5,0)</f>
        <v>4.4322672121612907</v>
      </c>
      <c r="CA13" s="13">
        <f t="shared" si="39"/>
        <v>1.7175553487466402</v>
      </c>
      <c r="CB13" s="20">
        <f t="shared" si="10"/>
        <v>10.71094096024798</v>
      </c>
      <c r="CC13" s="59">
        <f t="shared" si="11"/>
        <v>304.04427429358128</v>
      </c>
      <c r="CD13" s="59">
        <f ca="1">AVERAGE(OFFSET($CC$3,0,0,'Données projet'!$E$12+1,1))-AVERAGE(OFFSET($H$3,0,0,'Données projet'!$E$12+1,1))</f>
        <v>135.95692658150551</v>
      </c>
      <c r="CE13" s="59">
        <f t="shared" si="40"/>
        <v>79.394119001888612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1.05</v>
      </c>
      <c r="CT13" s="12">
        <f>IF('Données projet'!$A$140&gt;35,CT12+CS13-DB12,IF(A13&lt;'Données projet'!$A$140,$CQ$205^A13,IF(A13='Données projet'!$A$140,'Données projet'!$B$140,CT12+CS13-DB12)))</f>
        <v>4.5825756949558425</v>
      </c>
      <c r="CU13" s="17">
        <f>CT13*VLOOKUP('Données projet'!$B$13,Paramètres!$A$1:$I$89,3,0)*VLOOKUP('Données projet'!$B$13,Paramètres!$A$1:$I$89,5,0)</f>
        <v>4.9326844780504686</v>
      </c>
      <c r="CV13" s="13">
        <f t="shared" si="41"/>
        <v>1.8878196442982629</v>
      </c>
      <c r="CW13" s="20">
        <f t="shared" si="13"/>
        <v>11.879044679757373</v>
      </c>
      <c r="CX13" s="59">
        <f t="shared" si="14"/>
        <v>305.2123780130907</v>
      </c>
      <c r="CY13" s="59">
        <f ca="1">AVERAGE(OFFSET($CX$3,0,0,'Données projet'!$E$13+1,1))-AVERAGE(OFFSET($H$3,0,0,'Données projet'!$E$13+1,1))</f>
        <v>158.74837032815333</v>
      </c>
      <c r="CZ13" s="59">
        <f t="shared" si="42"/>
        <v>92.286636088270086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2.1</v>
      </c>
      <c r="N14" s="13">
        <f>IF('Données projet'!$A$36&gt;35,N13+M14-V13,IF(A14&lt;'Données projet'!$A$36,$K$205^A14,IF(A14='Données projet'!$A$36,'Données projet'!$B$36,N13+M14-V13)))</f>
        <v>7.8124474610620815</v>
      </c>
      <c r="O14" s="13">
        <f>N14*VLOOKUP('Données projet'!$B$9,Paramètres!$A$1:$I$89,3,0)*VLOOKUP('Données projet'!$B$9,Paramètres!$A$1:$I$89,5,0)</f>
        <v>6.5812057411986977</v>
      </c>
      <c r="P14" s="13">
        <f t="shared" si="33"/>
        <v>2.4356045477877388</v>
      </c>
      <c r="Q14" s="20">
        <f t="shared" si="2"/>
        <v>15.70427791998471</v>
      </c>
      <c r="R14" s="59">
        <f t="shared" si="0"/>
        <v>309.037611253318</v>
      </c>
      <c r="S14" s="59">
        <f ca="1">AVERAGE(OFFSET($R$3,0,0,'Données projet'!$E$9+1,1))-AVERAGE(OFFSET($H$3,0,0,'Données projet'!$E$9+1,1))</f>
        <v>231.91408074258248</v>
      </c>
      <c r="T14" s="59">
        <f t="shared" si="34"/>
        <v>143.57726487417773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2.1</v>
      </c>
      <c r="AI14" s="13">
        <f>IF('Données projet'!$A$62&gt;35,AI13+AH14-AQ13,IF(A14&lt;'Données projet'!$A$62,$AF$205^A14,IF(A14='Données projet'!$A$62,'Données projet'!$B$62,AI13+AH14-AQ13)))</f>
        <v>7.8124474610620815</v>
      </c>
      <c r="AJ14" s="13">
        <f>AI14*VLOOKUP('Données projet'!$B$10,Paramètres!$A$1:$I$89,3,0)*VLOOKUP('Données projet'!$B$10,Paramètres!$A$1:$I$89,5,0)</f>
        <v>7.0687024627689707</v>
      </c>
      <c r="AK14" s="13">
        <f t="shared" si="35"/>
        <v>2.5943503554083325</v>
      </c>
      <c r="AL14" s="20">
        <f t="shared" si="4"/>
        <v>16.829816991658799</v>
      </c>
      <c r="AM14" s="59">
        <f t="shared" si="5"/>
        <v>310.1631503249921</v>
      </c>
      <c r="AN14" s="59">
        <f ca="1">AVERAGE(OFFSET($AM$3,0,0,'Données projet'!$E$10+1,1))-AVERAGE(OFFSET($H$3,0,0,'Données projet'!$E$10+1,1))</f>
        <v>253.16772905022714</v>
      </c>
      <c r="AO14" s="59">
        <f t="shared" si="36"/>
        <v>156.67965022779907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2.0833333333333335</v>
      </c>
      <c r="BD14" s="12">
        <f>IF('Données projet'!$A$88&gt;35,BD13+BC14-BL13,IF(A14&lt;'Données projet'!$A$88,$BA$205^A14,IF(A14='Données projet'!$A$88,'Données projet'!$B$88,BD13+BC14-BL13)))</f>
        <v>19.118112283293257</v>
      </c>
      <c r="BE14" s="13">
        <f>BD14*VLOOKUP('Données projet'!$B$11,Paramètres!$A$1:$I$89,3,0)*VLOOKUP('Données projet'!$B$11,Paramètres!$A$1:$I$89,5,0)</f>
        <v>11.432631145409369</v>
      </c>
      <c r="BF14" s="13">
        <f t="shared" si="37"/>
        <v>3.9676197193180758</v>
      </c>
      <c r="BG14" s="20">
        <f t="shared" si="7"/>
        <v>26.822103589400299</v>
      </c>
      <c r="BH14" s="59">
        <f t="shared" si="8"/>
        <v>320.1554369227336</v>
      </c>
      <c r="BI14" s="59">
        <f ca="1">AVERAGE(OFFSET($BH$3,0,0,'Données projet'!$E$11+1,1))-AVERAGE(OFFSET($H$3,0,0,'Données projet'!$E$11+1,1))</f>
        <v>119.24399403036387</v>
      </c>
      <c r="BJ14" s="59">
        <f t="shared" si="38"/>
        <v>119.60076838354843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1.05</v>
      </c>
      <c r="BY14" s="12">
        <f>IF('Données projet'!$A$114&gt;35,BY13+BX14-CG13,IF(A14&lt;'Données projet'!$A$114,$BV$205^A14,IF(A14='Données projet'!$A$114,'Données projet'!$B$114,BY13+BX14-CG13)))</f>
        <v>5.3360588677947343</v>
      </c>
      <c r="BZ14" s="13">
        <f>BY14*VLOOKUP('Données projet'!$B$12,Paramètres!$A$1:$I$89,3,0)*VLOOKUP('Données projet'!$B$12,Paramètres!$A$1:$I$89,5,0)</f>
        <v>5.1610361369310676</v>
      </c>
      <c r="CA14" s="13">
        <f t="shared" si="39"/>
        <v>1.9648363752047393</v>
      </c>
      <c r="CB14" s="20">
        <f t="shared" si="10"/>
        <v>12.410894625303198</v>
      </c>
      <c r="CC14" s="59">
        <f t="shared" si="11"/>
        <v>305.74422795863649</v>
      </c>
      <c r="CD14" s="59">
        <f ca="1">AVERAGE(OFFSET($CC$3,0,0,'Données projet'!$E$12+1,1))-AVERAGE(OFFSET($H$3,0,0,'Données projet'!$E$12+1,1))</f>
        <v>135.95692658150551</v>
      </c>
      <c r="CE14" s="59">
        <f t="shared" si="40"/>
        <v>79.394119001888612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1.05</v>
      </c>
      <c r="CT14" s="12">
        <f>IF('Données projet'!$A$140&gt;35,CT13+CS14-DB13,IF(A14&lt;'Données projet'!$A$140,$CQ$205^A14,IF(A14='Données projet'!$A$140,'Données projet'!$B$140,CT13+CS14-DB13)))</f>
        <v>5.3360588677947343</v>
      </c>
      <c r="CU14" s="17">
        <f>CT14*VLOOKUP('Données projet'!$B$13,Paramètres!$A$1:$I$89,3,0)*VLOOKUP('Données projet'!$B$13,Paramètres!$A$1:$I$89,5,0)</f>
        <v>5.7437337652942517</v>
      </c>
      <c r="CV14" s="13">
        <f t="shared" si="41"/>
        <v>2.1596140756978057</v>
      </c>
      <c r="CW14" s="20">
        <f t="shared" si="13"/>
        <v>13.764997489727833</v>
      </c>
      <c r="CX14" s="59">
        <f t="shared" si="14"/>
        <v>307.09833082306113</v>
      </c>
      <c r="CY14" s="59">
        <f ca="1">AVERAGE(OFFSET($CX$3,0,0,'Données projet'!$E$13+1,1))-AVERAGE(OFFSET($H$3,0,0,'Données projet'!$E$13+1,1))</f>
        <v>158.74837032815333</v>
      </c>
      <c r="CZ14" s="59">
        <f t="shared" si="42"/>
        <v>92.286636088270086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2.1</v>
      </c>
      <c r="N15" s="13">
        <f>IF('Données projet'!$A$36&gt;35,N14+M15-V14,IF(A15&lt;'Données projet'!$A$36,$K$205^A15,IF(A15='Données projet'!$A$36,'Données projet'!$B$36,N14+M15-V14)))</f>
        <v>9.4178024044149407</v>
      </c>
      <c r="O15" s="13">
        <f>N15*VLOOKUP('Données projet'!$B$9,Paramètres!$A$1:$I$89,3,0)*VLOOKUP('Données projet'!$B$9,Paramètres!$A$1:$I$89,5,0)</f>
        <v>7.9335567454791462</v>
      </c>
      <c r="P15" s="13">
        <f t="shared" si="33"/>
        <v>2.8729093976493338</v>
      </c>
      <c r="Q15" s="20">
        <f t="shared" si="2"/>
        <v>18.82126186594877</v>
      </c>
      <c r="R15" s="59">
        <f t="shared" si="0"/>
        <v>312.15459519928208</v>
      </c>
      <c r="S15" s="59">
        <f ca="1">AVERAGE(OFFSET($R$3,0,0,'Données projet'!$E$9+1,1))-AVERAGE(OFFSET($H$3,0,0,'Données projet'!$E$9+1,1))</f>
        <v>231.91408074258248</v>
      </c>
      <c r="T15" s="59">
        <f t="shared" si="34"/>
        <v>143.57726487417773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2.1</v>
      </c>
      <c r="AI15" s="13">
        <f>IF('Données projet'!$A$62&gt;35,AI14+AH15-AQ14,IF(A15&lt;'Données projet'!$A$62,$AF$205^A15,IF(A15='Données projet'!$A$62,'Données projet'!$B$62,AI14+AH15-AQ14)))</f>
        <v>9.4178024044149407</v>
      </c>
      <c r="AJ15" s="13">
        <f>AI15*VLOOKUP('Données projet'!$B$10,Paramètres!$A$1:$I$89,3,0)*VLOOKUP('Données projet'!$B$10,Paramètres!$A$1:$I$89,5,0)</f>
        <v>8.521227615514638</v>
      </c>
      <c r="AK15" s="13">
        <f t="shared" si="35"/>
        <v>3.0601574970852128</v>
      </c>
      <c r="AL15" s="20">
        <f t="shared" si="4"/>
        <v>20.170912404444739</v>
      </c>
      <c r="AM15" s="59">
        <f t="shared" si="5"/>
        <v>313.50424573777804</v>
      </c>
      <c r="AN15" s="59">
        <f ca="1">AVERAGE(OFFSET($AM$3,0,0,'Données projet'!$E$10+1,1))-AVERAGE(OFFSET($H$3,0,0,'Données projet'!$E$10+1,1))</f>
        <v>253.16772905022714</v>
      </c>
      <c r="AO15" s="59">
        <f t="shared" si="36"/>
        <v>156.67965022779907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>
        <f>VLOOKUP(A15,'Données projet'!$A$87:$I$107,2,0)</f>
        <v>25</v>
      </c>
      <c r="BB15" s="12">
        <f>VLOOKUP(A15,'Données projet'!$A$87:$I$107,9,0)</f>
        <v>2.0833333333333335</v>
      </c>
      <c r="BC15" s="12">
        <f t="array" ref="BC15">INDEX(BB:BB,MIN(IF(ISNUMBER(BB15:BB211),ROW(BB15:BB211),"")))</f>
        <v>2.0833333333333335</v>
      </c>
      <c r="BD15" s="12">
        <f>IF('Données projet'!$A$88&gt;35,BD14+BC15-BL14,IF(A15&lt;'Données projet'!$A$88,$BA$205^A15,IF(A15='Données projet'!$A$88,'Données projet'!$B$88,BD14+BC15-BL14)))</f>
        <v>25</v>
      </c>
      <c r="BE15" s="13">
        <f>BD15*VLOOKUP('Données projet'!$B$11,Paramètres!$A$1:$I$89,3,0)*VLOOKUP('Données projet'!$B$11,Paramètres!$A$1:$I$89,5,0)</f>
        <v>14.950000000000001</v>
      </c>
      <c r="BF15" s="13">
        <f t="shared" si="37"/>
        <v>5.0288076310817473</v>
      </c>
      <c r="BG15" s="20">
        <f t="shared" si="7"/>
        <v>34.796423290800711</v>
      </c>
      <c r="BH15" s="59">
        <f t="shared" si="8"/>
        <v>328.12975662413402</v>
      </c>
      <c r="BI15" s="59">
        <f ca="1">AVERAGE(OFFSET($BH$3,0,0,'Données projet'!$E$11+1,1))-AVERAGE(OFFSET($H$3,0,0,'Données projet'!$E$11+1,1))</f>
        <v>119.24399403036387</v>
      </c>
      <c r="BJ15" s="59">
        <f t="shared" si="38"/>
        <v>119.60076838354843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1.05</v>
      </c>
      <c r="BY15" s="12">
        <f>IF('Données projet'!$A$114&gt;35,BY14+BX15-CG14,IF(A15&lt;'Données projet'!$A$114,$BV$205^A15,IF(A15='Données projet'!$A$114,'Données projet'!$B$114,BY14+BX15-CG14)))</f>
        <v>6.213432387360748</v>
      </c>
      <c r="BZ15" s="13">
        <f>BY15*VLOOKUP('Données projet'!$B$12,Paramètres!$A$1:$I$89,3,0)*VLOOKUP('Données projet'!$B$12,Paramètres!$A$1:$I$89,5,0)</f>
        <v>6.0096318050553155</v>
      </c>
      <c r="CA15" s="13">
        <f t="shared" si="39"/>
        <v>2.2477191108542129</v>
      </c>
      <c r="CB15" s="20">
        <f t="shared" si="10"/>
        <v>14.381552845209095</v>
      </c>
      <c r="CC15" s="59">
        <f t="shared" si="11"/>
        <v>307.71488617854243</v>
      </c>
      <c r="CD15" s="59">
        <f ca="1">AVERAGE(OFFSET($CC$3,0,0,'Données projet'!$E$12+1,1))-AVERAGE(OFFSET($H$3,0,0,'Données projet'!$E$12+1,1))</f>
        <v>135.95692658150551</v>
      </c>
      <c r="CE15" s="59">
        <f t="shared" si="40"/>
        <v>79.394119001888612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1.05</v>
      </c>
      <c r="CT15" s="12">
        <f>IF('Données projet'!$A$140&gt;35,CT14+CS15-DB14,IF(A15&lt;'Données projet'!$A$140,$CQ$205^A15,IF(A15='Données projet'!$A$140,'Données projet'!$B$140,CT14+CS15-DB14)))</f>
        <v>6.213432387360748</v>
      </c>
      <c r="CU15" s="17">
        <f>CT15*VLOOKUP('Données projet'!$B$13,Paramètres!$A$1:$I$89,3,0)*VLOOKUP('Données projet'!$B$13,Paramètres!$A$1:$I$89,5,0)</f>
        <v>6.6881386217551091</v>
      </c>
      <c r="CV15" s="13">
        <f t="shared" si="41"/>
        <v>2.4705394766064934</v>
      </c>
      <c r="CW15" s="20">
        <f t="shared" si="13"/>
        <v>15.951364354646456</v>
      </c>
      <c r="CX15" s="59">
        <f t="shared" si="14"/>
        <v>309.28469768797976</v>
      </c>
      <c r="CY15" s="59">
        <f ca="1">AVERAGE(OFFSET($CX$3,0,0,'Données projet'!$E$13+1,1))-AVERAGE(OFFSET($H$3,0,0,'Données projet'!$E$13+1,1))</f>
        <v>158.74837032815333</v>
      </c>
      <c r="CZ15" s="59">
        <f t="shared" si="42"/>
        <v>92.286636088270086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2.1</v>
      </c>
      <c r="N16" s="13">
        <f>IF('Données projet'!$A$36&gt;35,N15+M16-V15,IF(A16&lt;'Données projet'!$A$36,$K$205^A16,IF(A16='Données projet'!$A$36,'Données projet'!$B$36,N15+M16-V15)))</f>
        <v>11.35303662145153</v>
      </c>
      <c r="O16" s="13">
        <f>N16*VLOOKUP('Données projet'!$B$9,Paramètres!$A$1:$I$89,3,0)*VLOOKUP('Données projet'!$B$9,Paramètres!$A$1:$I$89,5,0)</f>
        <v>9.5637980499107691</v>
      </c>
      <c r="P16" s="13">
        <f t="shared" si="33"/>
        <v>3.3887309065006521</v>
      </c>
      <c r="Q16" s="20">
        <f t="shared" si="2"/>
        <v>22.558987932416557</v>
      </c>
      <c r="R16" s="59">
        <f t="shared" si="0"/>
        <v>315.89232126574984</v>
      </c>
      <c r="S16" s="59">
        <f ca="1">AVERAGE(OFFSET($R$3,0,0,'Données projet'!$E$9+1,1))-AVERAGE(OFFSET($H$3,0,0,'Données projet'!$E$9+1,1))</f>
        <v>231.91408074258248</v>
      </c>
      <c r="T16" s="59">
        <f t="shared" si="34"/>
        <v>143.57726487417773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2.1</v>
      </c>
      <c r="AI16" s="13">
        <f>IF('Données projet'!$A$62&gt;35,AI15+AH16-AQ15,IF(A16&lt;'Données projet'!$A$62,$AF$205^A16,IF(A16='Données projet'!$A$62,'Données projet'!$B$62,AI15+AH16-AQ15)))</f>
        <v>11.35303662145153</v>
      </c>
      <c r="AJ16" s="13">
        <f>AI16*VLOOKUP('Données projet'!$B$10,Paramètres!$A$1:$I$89,3,0)*VLOOKUP('Données projet'!$B$10,Paramètres!$A$1:$I$89,5,0)</f>
        <v>10.272227535089344</v>
      </c>
      <c r="AK16" s="13">
        <f t="shared" si="35"/>
        <v>3.6095987912522753</v>
      </c>
      <c r="AL16" s="20">
        <f t="shared" si="4"/>
        <v>24.177514185044988</v>
      </c>
      <c r="AM16" s="59">
        <f t="shared" si="5"/>
        <v>317.51084751837828</v>
      </c>
      <c r="AN16" s="59">
        <f ca="1">AVERAGE(OFFSET($AM$3,0,0,'Données projet'!$E$10+1,1))-AVERAGE(OFFSET($H$3,0,0,'Données projet'!$E$10+1,1))</f>
        <v>253.16772905022714</v>
      </c>
      <c r="AO16" s="59">
        <f t="shared" si="36"/>
        <v>156.67965022779907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6.4499999999999993</v>
      </c>
      <c r="BD16" s="12">
        <f>IF('Données projet'!$A$88&gt;35,BD15+BC16-BL15,IF(A16&lt;'Données projet'!$A$88,$BA$205^A16,IF(A16='Données projet'!$A$88,'Données projet'!$B$88,BD15+BC16-BL15)))</f>
        <v>31.45</v>
      </c>
      <c r="BE16" s="13">
        <f>BD16*VLOOKUP('Données projet'!$B$11,Paramètres!$A$1:$I$89,3,0)*VLOOKUP('Données projet'!$B$11,Paramètres!$A$1:$I$89,5,0)</f>
        <v>18.807100000000002</v>
      </c>
      <c r="BF16" s="13">
        <f t="shared" si="37"/>
        <v>6.1594628076375182</v>
      </c>
      <c r="BG16" s="20">
        <f t="shared" si="7"/>
        <v>43.483430223302015</v>
      </c>
      <c r="BH16" s="59">
        <f t="shared" si="8"/>
        <v>336.81676355663535</v>
      </c>
      <c r="BI16" s="59">
        <f ca="1">AVERAGE(OFFSET($BH$3,0,0,'Données projet'!$E$11+1,1))-AVERAGE(OFFSET($H$3,0,0,'Données projet'!$E$11+1,1))</f>
        <v>119.24399403036387</v>
      </c>
      <c r="BJ16" s="59">
        <f t="shared" si="38"/>
        <v>119.60076838354843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1.05</v>
      </c>
      <c r="BY16" s="12">
        <f>IF('Données projet'!$A$114&gt;35,BY15+BX16-CG15,IF(A16&lt;'Données projet'!$A$114,$BV$205^A16,IF(A16='Données projet'!$A$114,'Données projet'!$B$114,BY15+BX16-CG15)))</f>
        <v>7.235066739107908</v>
      </c>
      <c r="BZ16" s="13">
        <f>BY16*VLOOKUP('Données projet'!$B$12,Paramètres!$A$1:$I$89,3,0)*VLOOKUP('Données projet'!$B$12,Paramètres!$A$1:$I$89,5,0)</f>
        <v>6.9977565500651693</v>
      </c>
      <c r="CA16" s="13">
        <f t="shared" si="39"/>
        <v>2.5713292287622704</v>
      </c>
      <c r="CB16" s="20">
        <f t="shared" si="10"/>
        <v>16.666157731457787</v>
      </c>
      <c r="CC16" s="59">
        <f t="shared" si="11"/>
        <v>309.99949106479107</v>
      </c>
      <c r="CD16" s="59">
        <f ca="1">AVERAGE(OFFSET($CC$3,0,0,'Données projet'!$E$12+1,1))-AVERAGE(OFFSET($H$3,0,0,'Données projet'!$E$12+1,1))</f>
        <v>135.95692658150551</v>
      </c>
      <c r="CE16" s="59">
        <f t="shared" si="40"/>
        <v>79.394119001888612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1.05</v>
      </c>
      <c r="CT16" s="12">
        <f>IF('Données projet'!$A$140&gt;35,CT15+CS16-DB15,IF(A16&lt;'Données projet'!$A$140,$CQ$205^A16,IF(A16='Données projet'!$A$140,'Données projet'!$B$140,CT15+CS16-DB15)))</f>
        <v>7.235066739107908</v>
      </c>
      <c r="CU16" s="17">
        <f>CT16*VLOOKUP('Données projet'!$B$13,Paramètres!$A$1:$I$89,3,0)*VLOOKUP('Données projet'!$B$13,Paramètres!$A$1:$I$89,5,0)</f>
        <v>7.7878258379757526</v>
      </c>
      <c r="CV16" s="13">
        <f t="shared" si="41"/>
        <v>2.8262296371164966</v>
      </c>
      <c r="CW16" s="20">
        <f t="shared" si="13"/>
        <v>18.486146619119001</v>
      </c>
      <c r="CX16" s="59">
        <f t="shared" si="14"/>
        <v>311.8194799524523</v>
      </c>
      <c r="CY16" s="59">
        <f ca="1">AVERAGE(OFFSET($CX$3,0,0,'Données projet'!$E$13+1,1))-AVERAGE(OFFSET($H$3,0,0,'Données projet'!$E$13+1,1))</f>
        <v>158.74837032815333</v>
      </c>
      <c r="CZ16" s="59">
        <f t="shared" si="42"/>
        <v>92.286636088270086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2.1</v>
      </c>
      <c r="N17" s="13">
        <f>IF('Données projet'!$A$36&gt;35,N16+M17-V16,IF(A17&lt;'Données projet'!$A$36,$K$205^A17,IF(A17='Données projet'!$A$36,'Données projet'!$B$36,N16+M17-V16)))</f>
        <v>13.685935953338433</v>
      </c>
      <c r="O17" s="13">
        <f>N17*VLOOKUP('Données projet'!$B$9,Paramètres!$A$1:$I$89,3,0)*VLOOKUP('Données projet'!$B$9,Paramètres!$A$1:$I$89,5,0)</f>
        <v>11.529032447092296</v>
      </c>
      <c r="P17" s="13">
        <f t="shared" si="33"/>
        <v>3.9971664842854926</v>
      </c>
      <c r="Q17" s="20">
        <f t="shared" si="2"/>
        <v>27.041463138816312</v>
      </c>
      <c r="R17" s="59">
        <f t="shared" si="0"/>
        <v>320.37479647214963</v>
      </c>
      <c r="S17" s="59">
        <f ca="1">AVERAGE(OFFSET($R$3,0,0,'Données projet'!$E$9+1,1))-AVERAGE(OFFSET($H$3,0,0,'Données projet'!$E$9+1,1))</f>
        <v>231.91408074258248</v>
      </c>
      <c r="T17" s="59">
        <f t="shared" si="34"/>
        <v>143.57726487417773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2.1</v>
      </c>
      <c r="AI17" s="13">
        <f>IF('Données projet'!$A$62&gt;35,AI16+AH17-AQ16,IF(A17&lt;'Données projet'!$A$62,$AF$205^A17,IF(A17='Données projet'!$A$62,'Données projet'!$B$62,AI16+AH17-AQ16)))</f>
        <v>13.685935953338433</v>
      </c>
      <c r="AJ17" s="13">
        <f>AI17*VLOOKUP('Données projet'!$B$10,Paramètres!$A$1:$I$89,3,0)*VLOOKUP('Données projet'!$B$10,Paramètres!$A$1:$I$89,5,0)</f>
        <v>12.383034850580612</v>
      </c>
      <c r="AK17" s="13">
        <f t="shared" si="35"/>
        <v>4.2576904771143838</v>
      </c>
      <c r="AL17" s="20">
        <f t="shared" si="4"/>
        <v>28.982596612402116</v>
      </c>
      <c r="AM17" s="59">
        <f t="shared" si="5"/>
        <v>322.31592994573543</v>
      </c>
      <c r="AN17" s="59">
        <f ca="1">AVERAGE(OFFSET($AM$3,0,0,'Données projet'!$E$10+1,1))-AVERAGE(OFFSET($H$3,0,0,'Données projet'!$E$10+1,1))</f>
        <v>253.16772905022714</v>
      </c>
      <c r="AO17" s="59">
        <f t="shared" si="36"/>
        <v>156.67965022779907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6.4499999999999993</v>
      </c>
      <c r="BD17" s="12">
        <f>IF('Données projet'!$A$88&gt;35,BD16+BC17-BL16,IF(A17&lt;'Données projet'!$A$88,$BA$205^A17,IF(A17='Données projet'!$A$88,'Données projet'!$B$88,BD16+BC17-BL16)))</f>
        <v>37.9</v>
      </c>
      <c r="BE17" s="13">
        <f>BD17*VLOOKUP('Données projet'!$B$11,Paramètres!$A$1:$I$89,3,0)*VLOOKUP('Données projet'!$B$11,Paramètres!$A$1:$I$89,5,0)</f>
        <v>22.664200000000001</v>
      </c>
      <c r="BF17" s="13">
        <f t="shared" si="37"/>
        <v>7.2632473943362292</v>
      </c>
      <c r="BG17" s="20">
        <f t="shared" si="7"/>
        <v>52.123637545135601</v>
      </c>
      <c r="BH17" s="59">
        <f t="shared" si="8"/>
        <v>345.45697087846889</v>
      </c>
      <c r="BI17" s="59">
        <f ca="1">AVERAGE(OFFSET($BH$3,0,0,'Données projet'!$E$11+1,1))-AVERAGE(OFFSET($H$3,0,0,'Données projet'!$E$11+1,1))</f>
        <v>119.24399403036387</v>
      </c>
      <c r="BJ17" s="59">
        <f t="shared" si="38"/>
        <v>119.60076838354843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1.05</v>
      </c>
      <c r="BY17" s="12">
        <f>IF('Données projet'!$A$114&gt;35,BY16+BX17-CG16,IF(A17&lt;'Données projet'!$A$114,$BV$205^A17,IF(A17='Données projet'!$A$114,'Données projet'!$B$114,BY16+BX17-CG16)))</f>
        <v>8.4246817951744681</v>
      </c>
      <c r="BZ17" s="13">
        <f>BY17*VLOOKUP('Données projet'!$B$12,Paramètres!$A$1:$I$89,3,0)*VLOOKUP('Données projet'!$B$12,Paramètres!$A$1:$I$89,5,0)</f>
        <v>8.148352232292746</v>
      </c>
      <c r="CA17" s="13">
        <f t="shared" si="39"/>
        <v>2.9415303588242718</v>
      </c>
      <c r="CB17" s="20">
        <f t="shared" si="10"/>
        <v>19.314878846195473</v>
      </c>
      <c r="CC17" s="59">
        <f t="shared" si="11"/>
        <v>312.6482121795288</v>
      </c>
      <c r="CD17" s="59">
        <f ca="1">AVERAGE(OFFSET($CC$3,0,0,'Données projet'!$E$12+1,1))-AVERAGE(OFFSET($H$3,0,0,'Données projet'!$E$12+1,1))</f>
        <v>135.95692658150551</v>
      </c>
      <c r="CE17" s="59">
        <f t="shared" si="40"/>
        <v>79.394119001888612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1.05</v>
      </c>
      <c r="CT17" s="12">
        <f>IF('Données projet'!$A$140&gt;35,CT16+CS17-DB16,IF(A17&lt;'Données projet'!$A$140,$CQ$205^A17,IF(A17='Données projet'!$A$140,'Données projet'!$B$140,CT16+CS17-DB16)))</f>
        <v>8.4246817951744681</v>
      </c>
      <c r="CU17" s="17">
        <f>CT17*VLOOKUP('Données projet'!$B$13,Paramètres!$A$1:$I$89,3,0)*VLOOKUP('Données projet'!$B$13,Paramètres!$A$1:$I$89,5,0)</f>
        <v>9.0683274843257973</v>
      </c>
      <c r="CV17" s="13">
        <f t="shared" si="41"/>
        <v>3.2331294591120168</v>
      </c>
      <c r="CW17" s="20">
        <f t="shared" si="13"/>
        <v>21.425037509820857</v>
      </c>
      <c r="CX17" s="59">
        <f t="shared" si="14"/>
        <v>314.75837084315418</v>
      </c>
      <c r="CY17" s="59">
        <f ca="1">AVERAGE(OFFSET($CX$3,0,0,'Données projet'!$E$13+1,1))-AVERAGE(OFFSET($H$3,0,0,'Données projet'!$E$13+1,1))</f>
        <v>158.74837032815333</v>
      </c>
      <c r="CZ17" s="59">
        <f t="shared" si="42"/>
        <v>92.286636088270086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2.1</v>
      </c>
      <c r="N18" s="13">
        <f>IF('Données projet'!$A$36&gt;35,N17+M18-V17,IF(A18&lt;'Données projet'!$A$36,$K$205^A18,IF(A18='Données projet'!$A$36,'Données projet'!$B$36,N17+M18-V17)))</f>
        <v>16.498215337821566</v>
      </c>
      <c r="O18" s="13">
        <f>N18*VLOOKUP('Données projet'!$B$9,Paramètres!$A$1:$I$89,3,0)*VLOOKUP('Données projet'!$B$9,Paramètres!$A$1:$I$89,5,0)</f>
        <v>13.898096600580887</v>
      </c>
      <c r="P18" s="13">
        <f t="shared" si="33"/>
        <v>4.7148446849071632</v>
      </c>
      <c r="Q18" s="20">
        <f t="shared" si="2"/>
        <v>32.417539405558351</v>
      </c>
      <c r="R18" s="59">
        <f t="shared" si="0"/>
        <v>325.75087273889164</v>
      </c>
      <c r="S18" s="59">
        <f ca="1">AVERAGE(OFFSET($R$3,0,0,'Données projet'!$E$9+1,1))-AVERAGE(OFFSET($H$3,0,0,'Données projet'!$E$9+1,1))</f>
        <v>231.91408074258248</v>
      </c>
      <c r="T18" s="59">
        <f t="shared" si="34"/>
        <v>143.57726487417773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2.1</v>
      </c>
      <c r="AI18" s="13">
        <f>IF('Données projet'!$A$62&gt;35,AI17+AH18-AQ17,IF(A18&lt;'Données projet'!$A$62,$AF$205^A18,IF(A18='Données projet'!$A$62,'Données projet'!$B$62,AI17+AH18-AQ17)))</f>
        <v>16.498215337821566</v>
      </c>
      <c r="AJ18" s="13">
        <f>AI18*VLOOKUP('Données projet'!$B$10,Paramètres!$A$1:$I$89,3,0)*VLOOKUP('Données projet'!$B$10,Paramètres!$A$1:$I$89,5,0)</f>
        <v>14.927585237660953</v>
      </c>
      <c r="AK18" s="13">
        <f t="shared" si="35"/>
        <v>5.0221449106318534</v>
      </c>
      <c r="AL18" s="20">
        <f t="shared" si="4"/>
        <v>34.745780008276633</v>
      </c>
      <c r="AM18" s="59">
        <f t="shared" si="5"/>
        <v>328.07911334160997</v>
      </c>
      <c r="AN18" s="59">
        <f ca="1">AVERAGE(OFFSET($AM$3,0,0,'Données projet'!$E$10+1,1))-AVERAGE(OFFSET($H$3,0,0,'Données projet'!$E$10+1,1))</f>
        <v>253.16772905022714</v>
      </c>
      <c r="AO18" s="59">
        <f t="shared" si="36"/>
        <v>156.67965022779907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6.4499999999999993</v>
      </c>
      <c r="BD18" s="12">
        <f>IF('Données projet'!$A$88&gt;35,BD17+BC18-BL17,IF(A18&lt;'Données projet'!$A$88,$BA$205^A18,IF(A18='Données projet'!$A$88,'Données projet'!$B$88,BD17+BC18-BL17)))</f>
        <v>44.349999999999994</v>
      </c>
      <c r="BE18" s="13">
        <f>BD18*VLOOKUP('Données projet'!$B$11,Paramètres!$A$1:$I$89,3,0)*VLOOKUP('Données projet'!$B$11,Paramètres!$A$1:$I$89,5,0)</f>
        <v>26.5213</v>
      </c>
      <c r="BF18" s="13">
        <f t="shared" si="37"/>
        <v>8.345270866612843</v>
      </c>
      <c r="BG18" s="20">
        <f t="shared" si="7"/>
        <v>60.725944259350712</v>
      </c>
      <c r="BH18" s="59">
        <f t="shared" si="8"/>
        <v>354.059277592684</v>
      </c>
      <c r="BI18" s="59">
        <f ca="1">AVERAGE(OFFSET($BH$3,0,0,'Données projet'!$E$11+1,1))-AVERAGE(OFFSET($H$3,0,0,'Données projet'!$E$11+1,1))</f>
        <v>119.24399403036387</v>
      </c>
      <c r="BJ18" s="59">
        <f t="shared" si="38"/>
        <v>119.60076838354843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1.05</v>
      </c>
      <c r="BY18" s="12">
        <f>IF('Données projet'!$A$114&gt;35,BY17+BX18-CG17,IF(A18&lt;'Données projet'!$A$114,$BV$205^A18,IF(A18='Données projet'!$A$114,'Données projet'!$B$114,BY17+BX18-CG17)))</f>
        <v>9.8098975322922115</v>
      </c>
      <c r="BZ18" s="13">
        <f>BY18*VLOOKUP('Données projet'!$B$12,Paramètres!$A$1:$I$89,3,0)*VLOOKUP('Données projet'!$B$12,Paramètres!$A$1:$I$89,5,0)</f>
        <v>9.4881328932330273</v>
      </c>
      <c r="CA18" s="13">
        <f t="shared" si="39"/>
        <v>3.3650303333773621</v>
      </c>
      <c r="CB18" s="20">
        <f t="shared" si="10"/>
        <v>22.385925953013096</v>
      </c>
      <c r="CC18" s="59">
        <f t="shared" si="11"/>
        <v>315.71925928634641</v>
      </c>
      <c r="CD18" s="59">
        <f ca="1">AVERAGE(OFFSET($CC$3,0,0,'Données projet'!$E$12+1,1))-AVERAGE(OFFSET($H$3,0,0,'Données projet'!$E$12+1,1))</f>
        <v>135.95692658150551</v>
      </c>
      <c r="CE18" s="59">
        <f t="shared" si="40"/>
        <v>79.394119001888612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1.05</v>
      </c>
      <c r="CT18" s="12">
        <f>IF('Données projet'!$A$140&gt;35,CT17+CS18-DB17,IF(A18&lt;'Données projet'!$A$140,$CQ$205^A18,IF(A18='Données projet'!$A$140,'Données projet'!$B$140,CT17+CS18-DB17)))</f>
        <v>9.8098975322922115</v>
      </c>
      <c r="CU18" s="17">
        <f>CT18*VLOOKUP('Données projet'!$B$13,Paramètres!$A$1:$I$89,3,0)*VLOOKUP('Données projet'!$B$13,Paramètres!$A$1:$I$89,5,0)</f>
        <v>10.559373703759336</v>
      </c>
      <c r="CV18" s="13">
        <f t="shared" si="41"/>
        <v>3.6986117341982632</v>
      </c>
      <c r="CW18" s="20">
        <f t="shared" si="13"/>
        <v>24.832657971109484</v>
      </c>
      <c r="CX18" s="59">
        <f t="shared" si="14"/>
        <v>318.1659913044428</v>
      </c>
      <c r="CY18" s="59">
        <f ca="1">AVERAGE(OFFSET($CX$3,0,0,'Données projet'!$E$13+1,1))-AVERAGE(OFFSET($H$3,0,0,'Données projet'!$E$13+1,1))</f>
        <v>158.74837032815333</v>
      </c>
      <c r="CZ18" s="59">
        <f t="shared" si="42"/>
        <v>92.286636088270086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2.1</v>
      </c>
      <c r="N19" s="13">
        <f>IF('Données projet'!$A$36&gt;35,N18+M19-V18,IF(A19&lt;'Données projet'!$A$36,$K$205^A19,IF(A19='Données projet'!$A$36,'Données projet'!$B$36,N18+M19-V18)))</f>
        <v>19.888381054913147</v>
      </c>
      <c r="O19" s="13">
        <f>N19*VLOOKUP('Données projet'!$B$9,Paramètres!$A$1:$I$89,3,0)*VLOOKUP('Données projet'!$B$9,Paramètres!$A$1:$I$89,5,0)</f>
        <v>16.753972200658836</v>
      </c>
      <c r="P19" s="13">
        <f t="shared" si="33"/>
        <v>5.5613796648680189</v>
      </c>
      <c r="Q19" s="20">
        <f t="shared" si="2"/>
        <v>38.865904499125939</v>
      </c>
      <c r="R19" s="59">
        <f t="shared" si="0"/>
        <v>332.19923783245923</v>
      </c>
      <c r="S19" s="59">
        <f ca="1">AVERAGE(OFFSET($R$3,0,0,'Données projet'!$E$9+1,1))-AVERAGE(OFFSET($H$3,0,0,'Données projet'!$E$9+1,1))</f>
        <v>231.91408074258248</v>
      </c>
      <c r="T19" s="59">
        <f t="shared" si="34"/>
        <v>143.57726487417773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2.1</v>
      </c>
      <c r="AI19" s="13">
        <f>IF('Données projet'!$A$62&gt;35,AI18+AH19-AQ18,IF(A19&lt;'Données projet'!$A$62,$AF$205^A19,IF(A19='Données projet'!$A$62,'Données projet'!$B$62,AI18+AH19-AQ18)))</f>
        <v>19.888381054913147</v>
      </c>
      <c r="AJ19" s="13">
        <f>AI19*VLOOKUP('Données projet'!$B$10,Paramètres!$A$1:$I$89,3,0)*VLOOKUP('Données projet'!$B$10,Paramètres!$A$1:$I$89,5,0)</f>
        <v>17.995007178485412</v>
      </c>
      <c r="AK19" s="13">
        <f t="shared" si="35"/>
        <v>5.9238546434872337</v>
      </c>
      <c r="AL19" s="20">
        <f t="shared" si="4"/>
        <v>41.658684339935689</v>
      </c>
      <c r="AM19" s="59">
        <f t="shared" si="5"/>
        <v>334.992017673269</v>
      </c>
      <c r="AN19" s="59">
        <f ca="1">AVERAGE(OFFSET($AM$3,0,0,'Données projet'!$E$10+1,1))-AVERAGE(OFFSET($H$3,0,0,'Données projet'!$E$10+1,1))</f>
        <v>253.16772905022714</v>
      </c>
      <c r="AO19" s="59">
        <f t="shared" si="36"/>
        <v>156.67965022779907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>
        <f>VLOOKUP(A19,'Données projet'!$A$87:$I$107,2,0)</f>
        <v>50.8</v>
      </c>
      <c r="BB19" s="12">
        <f>VLOOKUP(A19,'Données projet'!$A$87:$I$107,9,0)</f>
        <v>6.4499999999999993</v>
      </c>
      <c r="BC19" s="12">
        <f t="array" ref="BC19">INDEX(BB:BB,MIN(IF(ISNUMBER(BB19:BB215),ROW(BB19:BB215),"")))</f>
        <v>6.4499999999999993</v>
      </c>
      <c r="BD19" s="12">
        <f>IF('Données projet'!$A$88&gt;35,BD18+BC19-BL18,IF(A19&lt;'Données projet'!$A$88,$BA$205^A19,IF(A19='Données projet'!$A$88,'Données projet'!$B$88,BD18+BC19-BL18)))</f>
        <v>50.8</v>
      </c>
      <c r="BE19" s="13">
        <f>BD19*VLOOKUP('Données projet'!$B$11,Paramètres!$A$1:$I$89,3,0)*VLOOKUP('Données projet'!$B$11,Paramètres!$A$1:$I$89,5,0)</f>
        <v>30.378399999999999</v>
      </c>
      <c r="BF19" s="13">
        <f t="shared" si="37"/>
        <v>9.4090636668569267</v>
      </c>
      <c r="BG19" s="20">
        <f t="shared" si="7"/>
        <v>69.296499219775797</v>
      </c>
      <c r="BH19" s="59">
        <f t="shared" si="8"/>
        <v>362.62983255310911</v>
      </c>
      <c r="BI19" s="59">
        <f ca="1">AVERAGE(OFFSET($BH$3,0,0,'Données projet'!$E$11+1,1))-AVERAGE(OFFSET($H$3,0,0,'Données projet'!$E$11+1,1))</f>
        <v>119.24399403036387</v>
      </c>
      <c r="BJ19" s="59">
        <f t="shared" si="38"/>
        <v>119.60076838354843</v>
      </c>
      <c r="BK19" s="15">
        <f>IF(ISNA(VLOOKUP(A19,'Données projet'!$A$87:$I$107,3,0)),0,VLOOKUP(A19,'Données projet'!$A$87:$I$107,3,0))</f>
        <v>1</v>
      </c>
      <c r="BL19" s="15">
        <f>IF(ISNA(VLOOKUP(A19,'Données projet'!$A$87:$I$107,4,0)),0,VLOOKUP(A19,'Données projet'!$A$87:$I$107,4,0))</f>
        <v>7.6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0.5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2.572884672899141</v>
      </c>
      <c r="BS19" s="22">
        <f t="shared" si="9"/>
        <v>2.572884672899141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1.05</v>
      </c>
      <c r="BY19" s="12">
        <f>IF('Données projet'!$A$114&gt;35,BY18+BX19-CG18,IF(A19&lt;'Données projet'!$A$114,$BV$205^A19,IF(A19='Données projet'!$A$114,'Données projet'!$B$114,BY18+BX19-CG18)))</f>
        <v>11.42287530066646</v>
      </c>
      <c r="BZ19" s="13">
        <f>BY19*VLOOKUP('Données projet'!$B$12,Paramètres!$A$1:$I$89,3,0)*VLOOKUP('Données projet'!$B$12,Paramètres!$A$1:$I$89,5,0)</f>
        <v>11.048204990804599</v>
      </c>
      <c r="CA19" s="13">
        <f t="shared" si="39"/>
        <v>3.8495027292785511</v>
      </c>
      <c r="CB19" s="20">
        <f t="shared" si="10"/>
        <v>25.946840945811488</v>
      </c>
      <c r="CC19" s="59">
        <f t="shared" si="11"/>
        <v>319.28017427914483</v>
      </c>
      <c r="CD19" s="59">
        <f ca="1">AVERAGE(OFFSET($CC$3,0,0,'Données projet'!$E$12+1,1))-AVERAGE(OFFSET($H$3,0,0,'Données projet'!$E$12+1,1))</f>
        <v>135.95692658150551</v>
      </c>
      <c r="CE19" s="59">
        <f t="shared" si="40"/>
        <v>79.394119001888612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1.05</v>
      </c>
      <c r="CT19" s="12">
        <f>IF('Données projet'!$A$140&gt;35,CT18+CS19-DB18,IF(A19&lt;'Données projet'!$A$140,$CQ$205^A19,IF(A19='Données projet'!$A$140,'Données projet'!$B$140,CT18+CS19-DB18)))</f>
        <v>11.42287530066646</v>
      </c>
      <c r="CU19" s="17">
        <f>CT19*VLOOKUP('Données projet'!$B$13,Paramètres!$A$1:$I$89,3,0)*VLOOKUP('Données projet'!$B$13,Paramètres!$A$1:$I$89,5,0)</f>
        <v>12.295582973637377</v>
      </c>
      <c r="CV19" s="13">
        <f t="shared" si="41"/>
        <v>4.2311107344604242</v>
      </c>
      <c r="CW19" s="20">
        <f t="shared" si="13"/>
        <v>28.783991541603669</v>
      </c>
      <c r="CX19" s="59">
        <f t="shared" si="14"/>
        <v>322.11732487493697</v>
      </c>
      <c r="CY19" s="59">
        <f ca="1">AVERAGE(OFFSET($CX$3,0,0,'Données projet'!$E$13+1,1))-AVERAGE(OFFSET($H$3,0,0,'Données projet'!$E$13+1,1))</f>
        <v>158.74837032815333</v>
      </c>
      <c r="CZ19" s="59">
        <f t="shared" si="42"/>
        <v>92.286636088270086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2.1</v>
      </c>
      <c r="N20" s="13">
        <f>IF('Données projet'!$A$36&gt;35,N19+M20-V19,IF(A20&lt;'Données projet'!$A$36,$K$205^A20,IF(A20='Données projet'!$A$36,'Données projet'!$B$36,N19+M20-V19)))</f>
        <v>23.975181126327602</v>
      </c>
      <c r="O20" s="13">
        <f>N20*VLOOKUP('Données projet'!$B$9,Paramètres!$A$1:$I$89,3,0)*VLOOKUP('Données projet'!$B$9,Paramètres!$A$1:$I$89,5,0)</f>
        <v>20.196692580818372</v>
      </c>
      <c r="P20" s="13">
        <f t="shared" si="33"/>
        <v>6.5599072384749233</v>
      </c>
      <c r="Q20" s="20">
        <f t="shared" si="2"/>
        <v>46.601078018602493</v>
      </c>
      <c r="R20" s="59">
        <f t="shared" si="0"/>
        <v>339.93441135193581</v>
      </c>
      <c r="S20" s="59">
        <f ca="1">AVERAGE(OFFSET($R$3,0,0,'Données projet'!$E$9+1,1))-AVERAGE(OFFSET($H$3,0,0,'Données projet'!$E$9+1,1))</f>
        <v>231.91408074258248</v>
      </c>
      <c r="T20" s="59">
        <f t="shared" si="34"/>
        <v>143.57726487417773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2.1</v>
      </c>
      <c r="AI20" s="13">
        <f>IF('Données projet'!$A$62&gt;35,AI19+AH20-AQ19,IF(A20&lt;'Données projet'!$A$62,$AF$205^A20,IF(A20='Données projet'!$A$62,'Données projet'!$B$62,AI19+AH20-AQ19)))</f>
        <v>23.975181126327602</v>
      </c>
      <c r="AJ20" s="13">
        <f>AI20*VLOOKUP('Données projet'!$B$10,Paramètres!$A$1:$I$89,3,0)*VLOOKUP('Données projet'!$B$10,Paramètres!$A$1:$I$89,5,0)</f>
        <v>21.692743883101215</v>
      </c>
      <c r="AK20" s="13">
        <f t="shared" si="35"/>
        <v>6.98746341685115</v>
      </c>
      <c r="AL20" s="20">
        <f t="shared" si="4"/>
        <v>49.951361047417038</v>
      </c>
      <c r="AM20" s="59">
        <f t="shared" si="5"/>
        <v>343.28469438075035</v>
      </c>
      <c r="AN20" s="59">
        <f ca="1">AVERAGE(OFFSET($AM$3,0,0,'Données projet'!$E$10+1,1))-AVERAGE(OFFSET($H$3,0,0,'Données projet'!$E$10+1,1))</f>
        <v>253.16772905022714</v>
      </c>
      <c r="AO20" s="59">
        <f t="shared" si="36"/>
        <v>156.67965022779907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8.4</v>
      </c>
      <c r="BD20" s="12">
        <f>IF('Données projet'!$A$88&gt;35,BD19+BC20-BL19,IF(A20&lt;'Données projet'!$A$88,$BA$205^A20,IF(A20='Données projet'!$A$88,'Données projet'!$B$88,BD19+BC20-BL19)))</f>
        <v>51.599999999999994</v>
      </c>
      <c r="BE20" s="13">
        <f>BD20*VLOOKUP('Données projet'!$B$11,Paramètres!$A$1:$I$89,3,0)*VLOOKUP('Données projet'!$B$11,Paramètres!$A$1:$I$89,5,0)</f>
        <v>30.856799999999996</v>
      </c>
      <c r="BF20" s="13">
        <f t="shared" si="37"/>
        <v>9.5398711157752878</v>
      </c>
      <c r="BG20" s="20">
        <f t="shared" si="7"/>
        <v>70.357535526641954</v>
      </c>
      <c r="BH20" s="59">
        <f t="shared" si="8"/>
        <v>363.69086885997524</v>
      </c>
      <c r="BI20" s="59">
        <f ca="1">AVERAGE(OFFSET($BH$3,0,0,'Données projet'!$E$11+1,1))-AVERAGE(OFFSET($H$3,0,0,'Données projet'!$E$11+1,1))</f>
        <v>119.24399403036387</v>
      </c>
      <c r="BJ20" s="59">
        <f t="shared" si="38"/>
        <v>119.60076838354843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1.8193041994179149</v>
      </c>
      <c r="BS20" s="22">
        <f t="shared" si="9"/>
        <v>1.8193041994179149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1.05</v>
      </c>
      <c r="BY20" s="12">
        <f>IF('Données projet'!$A$114&gt;35,BY19+BX20-CG19,IF(A20&lt;'Données projet'!$A$114,$BV$205^A20,IF(A20='Données projet'!$A$114,'Données projet'!$B$114,BY19+BX20-CG19)))</f>
        <v>13.301064532535134</v>
      </c>
      <c r="BZ20" s="13">
        <f>BY20*VLOOKUP('Données projet'!$B$12,Paramètres!$A$1:$I$89,3,0)*VLOOKUP('Données projet'!$B$12,Paramètres!$A$1:$I$89,5,0)</f>
        <v>12.864789615867982</v>
      </c>
      <c r="CA20" s="13">
        <f t="shared" si="39"/>
        <v>4.4037259087201281</v>
      </c>
      <c r="CB20" s="20">
        <f t="shared" si="10"/>
        <v>30.07599787199096</v>
      </c>
      <c r="CC20" s="59">
        <f t="shared" si="11"/>
        <v>323.40933120532429</v>
      </c>
      <c r="CD20" s="59">
        <f ca="1">AVERAGE(OFFSET($CC$3,0,0,'Données projet'!$E$12+1,1))-AVERAGE(OFFSET($H$3,0,0,'Données projet'!$E$12+1,1))</f>
        <v>135.95692658150551</v>
      </c>
      <c r="CE20" s="59">
        <f t="shared" si="40"/>
        <v>79.394119001888612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1.05</v>
      </c>
      <c r="CT20" s="12">
        <f>IF('Données projet'!$A$140&gt;35,CT19+CS20-DB19,IF(A20&lt;'Données projet'!$A$140,$CQ$205^A20,IF(A20='Données projet'!$A$140,'Données projet'!$B$140,CT19+CS20-DB19)))</f>
        <v>13.301064532535134</v>
      </c>
      <c r="CU20" s="17">
        <f>CT20*VLOOKUP('Données projet'!$B$13,Paramètres!$A$1:$I$89,3,0)*VLOOKUP('Données projet'!$B$13,Paramètres!$A$1:$I$89,5,0)</f>
        <v>14.317265862820818</v>
      </c>
      <c r="CV20" s="13">
        <f t="shared" si="41"/>
        <v>4.8402750366406995</v>
      </c>
      <c r="CW20" s="20">
        <f t="shared" si="13"/>
        <v>33.366050399895471</v>
      </c>
      <c r="CX20" s="59">
        <f t="shared" si="14"/>
        <v>326.69938373322879</v>
      </c>
      <c r="CY20" s="59">
        <f ca="1">AVERAGE(OFFSET($CX$3,0,0,'Données projet'!$E$13+1,1))-AVERAGE(OFFSET($H$3,0,0,'Données projet'!$E$13+1,1))</f>
        <v>158.74837032815333</v>
      </c>
      <c r="CZ20" s="59">
        <f t="shared" si="42"/>
        <v>92.286636088270086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2.1</v>
      </c>
      <c r="N21" s="13">
        <f>IF('Données projet'!$A$36&gt;35,N20+M21-V20,IF(A21&lt;'Données projet'!$A$36,$K$205^A21,IF(A21='Données projet'!$A$36,'Données projet'!$B$36,N20+M21-V20)))</f>
        <v>28.901764726506816</v>
      </c>
      <c r="O21" s="13">
        <f>N21*VLOOKUP('Données projet'!$B$9,Paramètres!$A$1:$I$89,3,0)*VLOOKUP('Données projet'!$B$9,Paramètres!$A$1:$I$89,5,0)</f>
        <v>24.346846605609343</v>
      </c>
      <c r="P21" s="13">
        <f t="shared" si="33"/>
        <v>7.7377171800078735</v>
      </c>
      <c r="Q21" s="20">
        <f t="shared" si="2"/>
        <v>55.880615259949991</v>
      </c>
      <c r="R21" s="59">
        <f t="shared" si="0"/>
        <v>349.21394859328331</v>
      </c>
      <c r="S21" s="59">
        <f ca="1">AVERAGE(OFFSET($R$3,0,0,'Données projet'!$E$9+1,1))-AVERAGE(OFFSET($H$3,0,0,'Données projet'!$E$9+1,1))</f>
        <v>231.91408074258248</v>
      </c>
      <c r="T21" s="59">
        <f t="shared" si="34"/>
        <v>143.57726487417773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2.1</v>
      </c>
      <c r="AI21" s="13">
        <f>IF('Données projet'!$A$62&gt;35,AI20+AH21-AQ20,IF(A21&lt;'Données projet'!$A$62,$AF$205^A21,IF(A21='Données projet'!$A$62,'Données projet'!$B$62,AI20+AH21-AQ20)))</f>
        <v>28.901764726506816</v>
      </c>
      <c r="AJ21" s="13">
        <f>AI21*VLOOKUP('Données projet'!$B$10,Paramètres!$A$1:$I$89,3,0)*VLOOKUP('Données projet'!$B$10,Paramètres!$A$1:$I$89,5,0)</f>
        <v>26.150316724543362</v>
      </c>
      <c r="AK21" s="13">
        <f t="shared" si="35"/>
        <v>8.2420396752158016</v>
      </c>
      <c r="AL21" s="20">
        <f t="shared" si="4"/>
        <v>59.900020729580547</v>
      </c>
      <c r="AM21" s="59">
        <f t="shared" si="5"/>
        <v>353.23335406291386</v>
      </c>
      <c r="AN21" s="59">
        <f ca="1">AVERAGE(OFFSET($AM$3,0,0,'Données projet'!$E$10+1,1))-AVERAGE(OFFSET($H$3,0,0,'Données projet'!$E$10+1,1))</f>
        <v>253.16772905022714</v>
      </c>
      <c r="AO21" s="59">
        <f t="shared" si="36"/>
        <v>156.67965022779907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8.4</v>
      </c>
      <c r="BD21" s="12">
        <f>IF('Données projet'!$A$88&gt;35,BD20+BC21-BL20,IF(A21&lt;'Données projet'!$A$88,$BA$205^A21,IF(A21='Données projet'!$A$88,'Données projet'!$B$88,BD20+BC21-BL20)))</f>
        <v>59.999999999999993</v>
      </c>
      <c r="BE21" s="13">
        <f>BD21*VLOOKUP('Données projet'!$B$11,Paramètres!$A$1:$I$89,3,0)*VLOOKUP('Données projet'!$B$11,Paramètres!$A$1:$I$89,5,0)</f>
        <v>35.879999999999995</v>
      </c>
      <c r="BF21" s="13">
        <f t="shared" si="37"/>
        <v>10.899828780073781</v>
      </c>
      <c r="BG21" s="20">
        <f t="shared" si="7"/>
        <v>81.474868458628492</v>
      </c>
      <c r="BH21" s="59">
        <f t="shared" si="8"/>
        <v>374.80820179196178</v>
      </c>
      <c r="BI21" s="59">
        <f ca="1">AVERAGE(OFFSET($BH$3,0,0,'Données projet'!$E$11+1,1))-AVERAGE(OFFSET($H$3,0,0,'Données projet'!$E$11+1,1))</f>
        <v>119.24399403036387</v>
      </c>
      <c r="BJ21" s="59">
        <f t="shared" si="38"/>
        <v>119.60076838354843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1.2864423364495707</v>
      </c>
      <c r="BS21" s="22">
        <f t="shared" si="9"/>
        <v>1.2864423364495707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1.05</v>
      </c>
      <c r="BY21" s="12">
        <f>IF('Données projet'!$A$114&gt;35,BY20+BX21-CG20,IF(A21&lt;'Données projet'!$A$114,$BV$205^A21,IF(A21='Données projet'!$A$114,'Données projet'!$B$114,BY20+BX21-CG20)))</f>
        <v>15.48807222716875</v>
      </c>
      <c r="BZ21" s="13">
        <f>BY21*VLOOKUP('Données projet'!$B$12,Paramètres!$A$1:$I$89,3,0)*VLOOKUP('Données projet'!$B$12,Paramètres!$A$1:$I$89,5,0)</f>
        <v>14.980063458117616</v>
      </c>
      <c r="CA21" s="13">
        <f t="shared" si="39"/>
        <v>5.0377420781222293</v>
      </c>
      <c r="CB21" s="20">
        <f t="shared" si="10"/>
        <v>34.864344642284394</v>
      </c>
      <c r="CC21" s="59">
        <f t="shared" si="11"/>
        <v>328.19767797561769</v>
      </c>
      <c r="CD21" s="59">
        <f ca="1">AVERAGE(OFFSET($CC$3,0,0,'Données projet'!$E$12+1,1))-AVERAGE(OFFSET($H$3,0,0,'Données projet'!$E$12+1,1))</f>
        <v>135.95692658150551</v>
      </c>
      <c r="CE21" s="59">
        <f t="shared" si="40"/>
        <v>79.394119001888612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1.05</v>
      </c>
      <c r="CT21" s="12">
        <f>IF('Données projet'!$A$140&gt;35,CT20+CS21-DB20,IF(A21&lt;'Données projet'!$A$140,$CQ$205^A21,IF(A21='Données projet'!$A$140,'Données projet'!$B$140,CT20+CS21-DB20)))</f>
        <v>15.48807222716875</v>
      </c>
      <c r="CU21" s="17">
        <f>CT21*VLOOKUP('Données projet'!$B$13,Paramètres!$A$1:$I$89,3,0)*VLOOKUP('Données projet'!$B$13,Paramètres!$A$1:$I$89,5,0)</f>
        <v>16.671360945324444</v>
      </c>
      <c r="CV21" s="13">
        <f t="shared" si="41"/>
        <v>5.5371423488198674</v>
      </c>
      <c r="CW21" s="20">
        <f t="shared" si="13"/>
        <v>38.679809903968007</v>
      </c>
      <c r="CX21" s="59">
        <f t="shared" si="14"/>
        <v>332.01314323730134</v>
      </c>
      <c r="CY21" s="59">
        <f ca="1">AVERAGE(OFFSET($CX$3,0,0,'Données projet'!$E$13+1,1))-AVERAGE(OFFSET($H$3,0,0,'Données projet'!$E$13+1,1))</f>
        <v>158.74837032815333</v>
      </c>
      <c r="CZ21" s="59">
        <f t="shared" si="42"/>
        <v>92.286636088270086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2.1</v>
      </c>
      <c r="N22" s="13">
        <f>IF('Données projet'!$A$36&gt;35,N21+M22-V21,IF(A22&lt;'Données projet'!$A$36,$K$205^A22,IF(A22='Données projet'!$A$36,'Données projet'!$B$36,N21+M22-V21)))</f>
        <v>34.840696297767764</v>
      </c>
      <c r="O22" s="13">
        <f>N22*VLOOKUP('Données projet'!$B$9,Paramètres!$A$1:$I$89,3,0)*VLOOKUP('Données projet'!$B$9,Paramètres!$A$1:$I$89,5,0)</f>
        <v>29.349802561239567</v>
      </c>
      <c r="P22" s="13">
        <f t="shared" si="33"/>
        <v>9.1269990536799668</v>
      </c>
      <c r="Q22" s="20">
        <f t="shared" si="2"/>
        <v>67.013762812651535</v>
      </c>
      <c r="R22" s="59">
        <f t="shared" si="0"/>
        <v>360.34709614598484</v>
      </c>
      <c r="S22" s="59">
        <f ca="1">AVERAGE(OFFSET($R$3,0,0,'Données projet'!$E$9+1,1))-AVERAGE(OFFSET($H$3,0,0,'Données projet'!$E$9+1,1))</f>
        <v>231.91408074258248</v>
      </c>
      <c r="T22" s="59">
        <f t="shared" si="34"/>
        <v>143.57726487417773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2.1</v>
      </c>
      <c r="AI22" s="13">
        <f>IF('Données projet'!$A$62&gt;35,AI21+AH22-AQ21,IF(A22&lt;'Données projet'!$A$62,$AF$205^A22,IF(A22='Données projet'!$A$62,'Données projet'!$B$62,AI21+AH22-AQ21)))</f>
        <v>34.840696297767764</v>
      </c>
      <c r="AJ22" s="13">
        <f>AI22*VLOOKUP('Données projet'!$B$10,Paramètres!$A$1:$I$89,3,0)*VLOOKUP('Données projet'!$B$10,Paramètres!$A$1:$I$89,5,0)</f>
        <v>31.52386201022027</v>
      </c>
      <c r="AK22" s="13">
        <f t="shared" si="35"/>
        <v>9.7218710074397983</v>
      </c>
      <c r="AL22" s="20">
        <f t="shared" si="4"/>
        <v>71.836318339091292</v>
      </c>
      <c r="AM22" s="59">
        <f t="shared" si="5"/>
        <v>365.16965167242461</v>
      </c>
      <c r="AN22" s="59">
        <f ca="1">AVERAGE(OFFSET($AM$3,0,0,'Données projet'!$E$10+1,1))-AVERAGE(OFFSET($H$3,0,0,'Données projet'!$E$10+1,1))</f>
        <v>253.16772905022714</v>
      </c>
      <c r="AO22" s="59">
        <f t="shared" si="36"/>
        <v>156.67965022779907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8.4</v>
      </c>
      <c r="BD22" s="12">
        <f>IF('Données projet'!$A$88&gt;35,BD21+BC22-BL21,IF(A22&lt;'Données projet'!$A$88,$BA$205^A22,IF(A22='Données projet'!$A$88,'Données projet'!$B$88,BD21+BC22-BL21)))</f>
        <v>68.399999999999991</v>
      </c>
      <c r="BE22" s="13">
        <f>BD22*VLOOKUP('Données projet'!$B$11,Paramètres!$A$1:$I$89,3,0)*VLOOKUP('Données projet'!$B$11,Paramètres!$A$1:$I$89,5,0)</f>
        <v>40.903199999999998</v>
      </c>
      <c r="BF22" s="13">
        <f t="shared" si="37"/>
        <v>12.2377281784806</v>
      </c>
      <c r="BG22" s="20">
        <f t="shared" si="7"/>
        <v>92.553783244187045</v>
      </c>
      <c r="BH22" s="59">
        <f t="shared" si="8"/>
        <v>385.88711657752037</v>
      </c>
      <c r="BI22" s="59">
        <f ca="1">AVERAGE(OFFSET($BH$3,0,0,'Données projet'!$E$11+1,1))-AVERAGE(OFFSET($H$3,0,0,'Données projet'!$E$11+1,1))</f>
        <v>119.24399403036387</v>
      </c>
      <c r="BJ22" s="59">
        <f t="shared" si="38"/>
        <v>119.60076838354843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0.90965209970895766</v>
      </c>
      <c r="BS22" s="22">
        <f t="shared" si="9"/>
        <v>0.90965209970895766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1.05</v>
      </c>
      <c r="BY22" s="12">
        <f>IF('Données projet'!$A$114&gt;35,BY21+BX22-CG21,IF(A22&lt;'Données projet'!$A$114,$BV$205^A22,IF(A22='Données projet'!$A$114,'Données projet'!$B$114,BY21+BX22-CG21)))</f>
        <v>18.034675399644545</v>
      </c>
      <c r="BZ22" s="13">
        <f>BY22*VLOOKUP('Données projet'!$B$12,Paramètres!$A$1:$I$89,3,0)*VLOOKUP('Données projet'!$B$12,Paramètres!$A$1:$I$89,5,0)</f>
        <v>17.443138046536202</v>
      </c>
      <c r="CA22" s="13">
        <f t="shared" si="39"/>
        <v>5.7630392471586012</v>
      </c>
      <c r="CB22" s="20">
        <f t="shared" si="10"/>
        <v>40.417425453185118</v>
      </c>
      <c r="CC22" s="59">
        <f t="shared" si="11"/>
        <v>333.75075878651842</v>
      </c>
      <c r="CD22" s="59">
        <f ca="1">AVERAGE(OFFSET($CC$3,0,0,'Données projet'!$E$12+1,1))-AVERAGE(OFFSET($H$3,0,0,'Données projet'!$E$12+1,1))</f>
        <v>135.95692658150551</v>
      </c>
      <c r="CE22" s="59">
        <f t="shared" si="40"/>
        <v>79.394119001888612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1.05</v>
      </c>
      <c r="CT22" s="12">
        <f>IF('Données projet'!$A$140&gt;35,CT21+CS22-DB21,IF(A22&lt;'Données projet'!$A$140,$CQ$205^A22,IF(A22='Données projet'!$A$140,'Données projet'!$B$140,CT21+CS22-DB21)))</f>
        <v>18.034675399644545</v>
      </c>
      <c r="CU22" s="17">
        <f>CT22*VLOOKUP('Données projet'!$B$13,Paramètres!$A$1:$I$89,3,0)*VLOOKUP('Données projet'!$B$13,Paramètres!$A$1:$I$89,5,0)</f>
        <v>19.412524600177388</v>
      </c>
      <c r="CV22" s="13">
        <f t="shared" si="41"/>
        <v>6.3343395073626514</v>
      </c>
      <c r="CW22" s="20">
        <f t="shared" si="13"/>
        <v>44.842454987298908</v>
      </c>
      <c r="CX22" s="59">
        <f t="shared" si="14"/>
        <v>338.17578832063225</v>
      </c>
      <c r="CY22" s="59">
        <f ca="1">AVERAGE(OFFSET($CX$3,0,0,'Données projet'!$E$13+1,1))-AVERAGE(OFFSET($H$3,0,0,'Données projet'!$E$13+1,1))</f>
        <v>158.74837032815333</v>
      </c>
      <c r="CZ22" s="59">
        <f t="shared" si="42"/>
        <v>92.286636088270086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42</v>
      </c>
      <c r="L23" s="12">
        <f>VLOOKUP(A23,'Données projet'!$A$35:$I$55,9,0)</f>
        <v>2.1</v>
      </c>
      <c r="M23" s="12">
        <f t="array" ref="M23">INDEX(L:L,MIN(IF(ISNUMBER(L23:L219),ROW(L23:L219),"")))</f>
        <v>2.1</v>
      </c>
      <c r="N23" s="13">
        <f>IF('Données projet'!$A$36&gt;35,N22+M23-V22,IF(A23&lt;'Données projet'!$A$36,$K$205^A23,IF(A23='Données projet'!$A$36,'Données projet'!$B$36,N22+M23-V22)))</f>
        <v>42</v>
      </c>
      <c r="O23" s="13">
        <f>N23*VLOOKUP('Données projet'!$B$9,Paramètres!$A$1:$I$89,3,0)*VLOOKUP('Données projet'!$B$9,Paramètres!$A$1:$I$89,5,0)</f>
        <v>35.380800000000001</v>
      </c>
      <c r="P23" s="13">
        <f t="shared" si="33"/>
        <v>10.765721954933243</v>
      </c>
      <c r="Q23" s="20">
        <f t="shared" si="2"/>
        <v>80.371859071508723</v>
      </c>
      <c r="R23" s="59">
        <f t="shared" si="0"/>
        <v>373.70519240484202</v>
      </c>
      <c r="S23" s="59">
        <f ca="1">AVERAGE(OFFSET($R$3,0,0,'Données projet'!$E$9+1,1))-AVERAGE(OFFSET($H$3,0,0,'Données projet'!$E$9+1,1))</f>
        <v>231.91408074258248</v>
      </c>
      <c r="T23" s="59">
        <f t="shared" si="34"/>
        <v>143.57726487417773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42</v>
      </c>
      <c r="AG23" s="12">
        <f>VLOOKUP(A23,'Données projet'!$A$61:$I$81,9,0)</f>
        <v>2.1</v>
      </c>
      <c r="AH23" s="12">
        <f t="array" ref="AH23">INDEX(AG:AG,MIN(IF(ISNUMBER(AG23:AG219),ROW(AG23:AG219),"")))</f>
        <v>2.1</v>
      </c>
      <c r="AI23" s="13">
        <f>IF('Données projet'!$A$62&gt;35,AI22+AH23-AQ22,IF(A23&lt;'Données projet'!$A$62,$AF$205^A23,IF(A23='Données projet'!$A$62,'Données projet'!$B$62,AI22+AH23-AQ22)))</f>
        <v>42</v>
      </c>
      <c r="AJ23" s="13">
        <f>AI23*VLOOKUP('Données projet'!$B$10,Paramètres!$A$1:$I$89,3,0)*VLOOKUP('Données projet'!$B$10,Paramètres!$A$1:$I$89,5,0)</f>
        <v>38.001600000000003</v>
      </c>
      <c r="AK23" s="13">
        <f t="shared" si="35"/>
        <v>11.467401227090512</v>
      </c>
      <c r="AL23" s="20">
        <f t="shared" si="4"/>
        <v>86.158510470515978</v>
      </c>
      <c r="AM23" s="59">
        <f t="shared" si="5"/>
        <v>379.49184380384929</v>
      </c>
      <c r="AN23" s="59">
        <f ca="1">AVERAGE(OFFSET($AM$3,0,0,'Données projet'!$E$10+1,1))-AVERAGE(OFFSET($H$3,0,0,'Données projet'!$E$10+1,1))</f>
        <v>253.16772905022714</v>
      </c>
      <c r="AO23" s="59">
        <f t="shared" si="36"/>
        <v>156.67965022779907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76.8</v>
      </c>
      <c r="BB23" s="12">
        <f>VLOOKUP(A23,'Données projet'!$A$87:$I$107,9,0)</f>
        <v>8.4</v>
      </c>
      <c r="BC23" s="12">
        <f t="array" ref="BC23">INDEX(BB:BB,MIN(IF(ISNUMBER(BB23:BB219),ROW(BB23:BB219),"")))</f>
        <v>8.4</v>
      </c>
      <c r="BD23" s="12">
        <f>IF('Données projet'!$A$88&gt;35,BD22+BC23-BL22,IF(A23&lt;'Données projet'!$A$88,$BA$205^A23,IF(A23='Données projet'!$A$88,'Données projet'!$B$88,BD22+BC23-BL22)))</f>
        <v>76.8</v>
      </c>
      <c r="BE23" s="13">
        <f>BD23*VLOOKUP('Données projet'!$B$11,Paramètres!$A$1:$I$89,3,0)*VLOOKUP('Données projet'!$B$11,Paramètres!$A$1:$I$89,5,0)</f>
        <v>45.926400000000008</v>
      </c>
      <c r="BF23" s="13">
        <f t="shared" si="37"/>
        <v>13.556588234403826</v>
      </c>
      <c r="BG23" s="20">
        <f t="shared" si="7"/>
        <v>103.59953784158667</v>
      </c>
      <c r="BH23" s="59">
        <f t="shared" si="8"/>
        <v>396.93287117491997</v>
      </c>
      <c r="BI23" s="59">
        <f ca="1">AVERAGE(OFFSET($BH$3,0,0,'Données projet'!$E$11+1,1))-AVERAGE(OFFSET($H$3,0,0,'Données projet'!$E$11+1,1))</f>
        <v>119.24399403036387</v>
      </c>
      <c r="BJ23" s="59">
        <f t="shared" si="38"/>
        <v>119.60076838354843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13.8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0.5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5.3150380742784895</v>
      </c>
      <c r="BS23" s="22">
        <f t="shared" si="9"/>
        <v>5.3150380742784895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21</v>
      </c>
      <c r="BW23" s="12">
        <f>VLOOKUP(A23,'Données projet'!$A$113:$I$133,9,0)</f>
        <v>1.05</v>
      </c>
      <c r="BX23" s="12">
        <f t="array" ref="BX23">INDEX(BW:BW,MIN(IF(ISNUMBER(BW23:BW219),ROW(BW23:BW219),"")))</f>
        <v>1.05</v>
      </c>
      <c r="BY23" s="12">
        <f>IF('Données projet'!$A$114&gt;35,BY22+BX23-CG22,IF(A23&lt;'Données projet'!$A$114,$BV$205^A23,IF(A23='Données projet'!$A$114,'Données projet'!$B$114,BY22+BX23-CG22)))</f>
        <v>21</v>
      </c>
      <c r="BZ23" s="13">
        <f>BY23*VLOOKUP('Données projet'!$B$12,Paramètres!$A$1:$I$89,3,0)*VLOOKUP('Données projet'!$B$12,Paramètres!$A$1:$I$89,5,0)</f>
        <v>20.311199999999999</v>
      </c>
      <c r="CA23" s="13">
        <f t="shared" si="39"/>
        <v>6.5927593849088089</v>
      </c>
      <c r="CB23" s="20">
        <f t="shared" si="10"/>
        <v>46.85772926204951</v>
      </c>
      <c r="CC23" s="59">
        <f t="shared" si="11"/>
        <v>340.19106259538285</v>
      </c>
      <c r="CD23" s="59">
        <f ca="1">AVERAGE(OFFSET($CC$3,0,0,'Données projet'!$E$12+1,1))-AVERAGE(OFFSET($H$3,0,0,'Données projet'!$E$12+1,1))</f>
        <v>135.95692658150551</v>
      </c>
      <c r="CE23" s="59">
        <f t="shared" si="40"/>
        <v>79.394119001888612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21</v>
      </c>
      <c r="CR23" s="12">
        <f>VLOOKUP(A23,'Données projet'!$A$139:$I$159,9,0)</f>
        <v>1.05</v>
      </c>
      <c r="CS23" s="12">
        <f t="array" ref="CS23">INDEX(CR:CR,MIN(IF(ISNUMBER(CR23:CR219),ROW(CR23:CR219),"")))</f>
        <v>1.05</v>
      </c>
      <c r="CT23" s="12">
        <f>IF('Données projet'!$A$140&gt;35,CT22+CS23-DB22,IF(A23&lt;'Données projet'!$A$140,$CQ$205^A23,IF(A23='Données projet'!$A$140,'Données projet'!$B$140,CT22+CS23-DB22)))</f>
        <v>21</v>
      </c>
      <c r="CU23" s="17">
        <f>CT23*VLOOKUP('Données projet'!$B$13,Paramètres!$A$1:$I$89,3,0)*VLOOKUP('Données projet'!$B$13,Paramètres!$A$1:$I$89,5,0)</f>
        <v>22.604399999999998</v>
      </c>
      <c r="CV23" s="13">
        <f t="shared" si="41"/>
        <v>7.2463112679569939</v>
      </c>
      <c r="CW23" s="20">
        <f t="shared" si="13"/>
        <v>51.989988791691758</v>
      </c>
      <c r="CX23" s="59">
        <f t="shared" si="14"/>
        <v>345.32332212502507</v>
      </c>
      <c r="CY23" s="59">
        <f ca="1">AVERAGE(OFFSET($CX$3,0,0,'Données projet'!$E$13+1,1))-AVERAGE(OFFSET($H$3,0,0,'Données projet'!$E$13+1,1))</f>
        <v>158.74837032815333</v>
      </c>
      <c r="CZ23" s="59">
        <f t="shared" si="42"/>
        <v>92.286636088270086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5.6</v>
      </c>
      <c r="N24" s="13">
        <f>IF('Données projet'!$A$36&gt;35,N23+M24-V23,IF(A24&lt;'Données projet'!$A$36,$K$205^A24,IF(A24='Données projet'!$A$36,'Données projet'!$B$36,N23+M24-V23)))</f>
        <v>47.6</v>
      </c>
      <c r="O24" s="13">
        <f>N24*VLOOKUP('Données projet'!$B$9,Paramètres!$A$1:$I$89,3,0)*VLOOKUP('Données projet'!$B$9,Paramètres!$A$1:$I$89,5,0)</f>
        <v>40.098240000000011</v>
      </c>
      <c r="P24" s="13">
        <f t="shared" si="33"/>
        <v>12.024681710991171</v>
      </c>
      <c r="Q24" s="20">
        <f t="shared" si="2"/>
        <v>90.780755313309626</v>
      </c>
      <c r="R24" s="59">
        <f t="shared" si="0"/>
        <v>384.11408864664293</v>
      </c>
      <c r="S24" s="59">
        <f ca="1">AVERAGE(OFFSET($R$3,0,0,'Données projet'!$E$9+1,1))-AVERAGE(OFFSET($H$3,0,0,'Données projet'!$E$9+1,1))</f>
        <v>231.91408074258248</v>
      </c>
      <c r="T24" s="59">
        <f t="shared" si="34"/>
        <v>143.57726487417773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5.6</v>
      </c>
      <c r="AI24" s="13">
        <f>IF('Données projet'!$A$62&gt;35,AI23+AH24-AQ23,IF(A24&lt;'Données projet'!$A$62,$AF$205^A24,IF(A24='Données projet'!$A$62,'Données projet'!$B$62,AI23+AH24-AQ23)))</f>
        <v>47.6</v>
      </c>
      <c r="AJ24" s="13">
        <f>AI24*VLOOKUP('Données projet'!$B$10,Paramètres!$A$1:$I$89,3,0)*VLOOKUP('Données projet'!$B$10,Paramètres!$A$1:$I$89,5,0)</f>
        <v>43.068480000000001</v>
      </c>
      <c r="AK24" s="13">
        <f t="shared" si="35"/>
        <v>12.808416415102187</v>
      </c>
      <c r="AL24" s="20">
        <f t="shared" si="4"/>
        <v>97.318927922969635</v>
      </c>
      <c r="AM24" s="59">
        <f t="shared" si="5"/>
        <v>390.65226125630295</v>
      </c>
      <c r="AN24" s="59">
        <f ca="1">AVERAGE(OFFSET($AM$3,0,0,'Données projet'!$E$10+1,1))-AVERAGE(OFFSET($H$3,0,0,'Données projet'!$E$10+1,1))</f>
        <v>253.16772905022714</v>
      </c>
      <c r="AO24" s="59">
        <f t="shared" si="36"/>
        <v>156.67965022779907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9.5500000000000007</v>
      </c>
      <c r="BD24" s="12">
        <f>IF('Données projet'!$A$88&gt;35,BD23+BC24-BL23,IF(A24&lt;'Données projet'!$A$88,$BA$205^A24,IF(A24='Données projet'!$A$88,'Données projet'!$B$88,BD23+BC24-BL23)))</f>
        <v>72.55</v>
      </c>
      <c r="BE24" s="13">
        <f>BD24*VLOOKUP('Données projet'!$B$11,Paramètres!$A$1:$I$89,3,0)*VLOOKUP('Données projet'!$B$11,Paramètres!$A$1:$I$89,5,0)</f>
        <v>43.384900000000002</v>
      </c>
      <c r="BF24" s="13">
        <f t="shared" si="37"/>
        <v>12.891529670583241</v>
      </c>
      <c r="BG24" s="20">
        <f t="shared" si="7"/>
        <v>98.014781676265798</v>
      </c>
      <c r="BH24" s="59">
        <f t="shared" si="8"/>
        <v>391.3481150095991</v>
      </c>
      <c r="BI24" s="59">
        <f ca="1">AVERAGE(OFFSET($BH$3,0,0,'Données projet'!$E$11+1,1))-AVERAGE(OFFSET($H$3,0,0,'Données projet'!$E$11+1,1))</f>
        <v>119.24399403036387</v>
      </c>
      <c r="BJ24" s="59">
        <f t="shared" si="38"/>
        <v>119.60076838354843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3.7582994645870089</v>
      </c>
      <c r="BS24" s="22">
        <f t="shared" si="9"/>
        <v>3.7582994645870089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3</v>
      </c>
      <c r="BY24" s="12">
        <f>IF('Données projet'!$A$114&gt;35,BY23+BX24-CG23,IF(A24&lt;'Données projet'!$A$114,$BV$205^A24,IF(A24='Données projet'!$A$114,'Données projet'!$B$114,BY23+BX24-CG23)))</f>
        <v>24</v>
      </c>
      <c r="BZ24" s="13">
        <f>BY24*VLOOKUP('Données projet'!$B$12,Paramètres!$A$1:$I$89,3,0)*VLOOKUP('Données projet'!$B$12,Paramètres!$A$1:$I$89,5,0)</f>
        <v>23.212799999999998</v>
      </c>
      <c r="CA24" s="13">
        <f t="shared" si="39"/>
        <v>7.4183771657915161</v>
      </c>
      <c r="CB24" s="20">
        <f t="shared" si="10"/>
        <v>53.349300230420219</v>
      </c>
      <c r="CC24" s="59">
        <f t="shared" si="11"/>
        <v>346.68263356375354</v>
      </c>
      <c r="CD24" s="59">
        <f ca="1">AVERAGE(OFFSET($CC$3,0,0,'Données projet'!$E$12+1,1))-AVERAGE(OFFSET($H$3,0,0,'Données projet'!$E$12+1,1))</f>
        <v>135.95692658150551</v>
      </c>
      <c r="CE24" s="59">
        <f t="shared" si="40"/>
        <v>79.394119001888612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3</v>
      </c>
      <c r="CT24" s="12">
        <f>IF('Données projet'!$A$140&gt;35,CT23+CS24-DB23,IF(A24&lt;'Données projet'!$A$140,$CQ$205^A24,IF(A24='Données projet'!$A$140,'Données projet'!$B$140,CT23+CS24-DB23)))</f>
        <v>24</v>
      </c>
      <c r="CU24" s="17">
        <f>CT24*VLOOKUP('Données projet'!$B$13,Paramètres!$A$1:$I$89,3,0)*VLOOKUP('Données projet'!$B$13,Paramètres!$A$1:$I$89,5,0)</f>
        <v>25.833600000000001</v>
      </c>
      <c r="CV24" s="13">
        <f t="shared" si="41"/>
        <v>8.1537739978012986</v>
      </c>
      <c r="CW24" s="20">
        <f t="shared" si="13"/>
        <v>59.194676379503932</v>
      </c>
      <c r="CX24" s="59">
        <f t="shared" si="14"/>
        <v>352.52800971283727</v>
      </c>
      <c r="CY24" s="59">
        <f ca="1">AVERAGE(OFFSET($CX$3,0,0,'Données projet'!$E$13+1,1))-AVERAGE(OFFSET($H$3,0,0,'Données projet'!$E$13+1,1))</f>
        <v>158.74837032815333</v>
      </c>
      <c r="CZ24" s="59">
        <f t="shared" si="42"/>
        <v>92.286636088270086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5.6</v>
      </c>
      <c r="N25" s="13">
        <f>IF('Données projet'!$A$36&gt;35,N24+M25-V24,IF(A25&lt;'Données projet'!$A$36,$K$205^A25,IF(A25='Données projet'!$A$36,'Données projet'!$B$36,N24+M25-V24)))</f>
        <v>53.2</v>
      </c>
      <c r="O25" s="13">
        <f>N25*VLOOKUP('Données projet'!$B$9,Paramètres!$A$1:$I$89,3,0)*VLOOKUP('Données projet'!$B$9,Paramètres!$A$1:$I$89,5,0)</f>
        <v>44.815680000000008</v>
      </c>
      <c r="P25" s="13">
        <f t="shared" si="33"/>
        <v>13.266476878569183</v>
      </c>
      <c r="Q25" s="20">
        <f t="shared" si="2"/>
        <v>101.159756563508</v>
      </c>
      <c r="R25" s="59">
        <f t="shared" si="0"/>
        <v>394.4930898968413</v>
      </c>
      <c r="S25" s="59">
        <f ca="1">AVERAGE(OFFSET($R$3,0,0,'Données projet'!$E$9+1,1))-AVERAGE(OFFSET($H$3,0,0,'Données projet'!$E$9+1,1))</f>
        <v>231.91408074258248</v>
      </c>
      <c r="T25" s="59">
        <f t="shared" si="34"/>
        <v>143.57726487417773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5.6</v>
      </c>
      <c r="AI25" s="13">
        <f>IF('Données projet'!$A$62&gt;35,AI24+AH25-AQ24,IF(A25&lt;'Données projet'!$A$62,$AF$205^A25,IF(A25='Données projet'!$A$62,'Données projet'!$B$62,AI24+AH25-AQ24)))</f>
        <v>53.2</v>
      </c>
      <c r="AJ25" s="13">
        <f>AI25*VLOOKUP('Données projet'!$B$10,Paramètres!$A$1:$I$89,3,0)*VLOOKUP('Données projet'!$B$10,Paramètres!$A$1:$I$89,5,0)</f>
        <v>48.135359999999999</v>
      </c>
      <c r="AK25" s="13">
        <f t="shared" si="35"/>
        <v>14.131148275361113</v>
      </c>
      <c r="AL25" s="20">
        <f t="shared" si="4"/>
        <v>108.4475019129206</v>
      </c>
      <c r="AM25" s="59">
        <f t="shared" si="5"/>
        <v>401.7808352462539</v>
      </c>
      <c r="AN25" s="59">
        <f ca="1">AVERAGE(OFFSET($AM$3,0,0,'Données projet'!$E$10+1,1))-AVERAGE(OFFSET($H$3,0,0,'Données projet'!$E$10+1,1))</f>
        <v>253.16772905022714</v>
      </c>
      <c r="AO25" s="59">
        <f t="shared" si="36"/>
        <v>156.67965022779907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9.5500000000000007</v>
      </c>
      <c r="BD25" s="12">
        <f>IF('Données projet'!$A$88&gt;35,BD24+BC25-BL24,IF(A25&lt;'Données projet'!$A$88,$BA$205^A25,IF(A25='Données projet'!$A$88,'Données projet'!$B$88,BD24+BC25-BL24)))</f>
        <v>82.1</v>
      </c>
      <c r="BE25" s="13">
        <f>BD25*VLOOKUP('Données projet'!$B$11,Paramètres!$A$1:$I$89,3,0)*VLOOKUP('Données projet'!$B$11,Paramètres!$A$1:$I$89,5,0)</f>
        <v>49.095799999999997</v>
      </c>
      <c r="BF25" s="13">
        <f t="shared" si="37"/>
        <v>14.37999863004462</v>
      </c>
      <c r="BG25" s="20">
        <f t="shared" si="7"/>
        <v>110.55368261399435</v>
      </c>
      <c r="BH25" s="59">
        <f t="shared" si="8"/>
        <v>403.88701594732765</v>
      </c>
      <c r="BI25" s="59">
        <f ca="1">AVERAGE(OFFSET($BH$3,0,0,'Données projet'!$E$11+1,1))-AVERAGE(OFFSET($H$3,0,0,'Données projet'!$E$11+1,1))</f>
        <v>119.24399403036387</v>
      </c>
      <c r="BJ25" s="59">
        <f t="shared" si="38"/>
        <v>119.60076838354843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2.6575190371392452</v>
      </c>
      <c r="BS25" s="22">
        <f t="shared" si="9"/>
        <v>2.6575190371392452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3</v>
      </c>
      <c r="BY25" s="12">
        <f>IF('Données projet'!$A$114&gt;35,BY24+BX25-CG24,IF(A25&lt;'Données projet'!$A$114,$BV$205^A25,IF(A25='Données projet'!$A$114,'Données projet'!$B$114,BY24+BX25-CG24)))</f>
        <v>27</v>
      </c>
      <c r="BZ25" s="13">
        <f>BY25*VLOOKUP('Données projet'!$B$12,Paramètres!$A$1:$I$89,3,0)*VLOOKUP('Données projet'!$B$12,Paramètres!$A$1:$I$89,5,0)</f>
        <v>26.1144</v>
      </c>
      <c r="CA25" s="13">
        <f t="shared" si="39"/>
        <v>8.232036337964395</v>
      </c>
      <c r="CB25" s="20">
        <f t="shared" si="10"/>
        <v>59.820043288621314</v>
      </c>
      <c r="CC25" s="59">
        <f t="shared" si="11"/>
        <v>353.15337662195464</v>
      </c>
      <c r="CD25" s="59">
        <f ca="1">AVERAGE(OFFSET($CC$3,0,0,'Données projet'!$E$12+1,1))-AVERAGE(OFFSET($H$3,0,0,'Données projet'!$E$12+1,1))</f>
        <v>135.95692658150551</v>
      </c>
      <c r="CE25" s="59">
        <f t="shared" si="40"/>
        <v>79.394119001888612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3</v>
      </c>
      <c r="CT25" s="12">
        <f>IF('Données projet'!$A$140&gt;35,CT24+CS25-DB24,IF(A25&lt;'Données projet'!$A$140,$CQ$205^A25,IF(A25='Données projet'!$A$140,'Données projet'!$B$140,CT24+CS25-DB24)))</f>
        <v>27</v>
      </c>
      <c r="CU25" s="17">
        <f>CT25*VLOOKUP('Données projet'!$B$13,Paramètres!$A$1:$I$89,3,0)*VLOOKUP('Données projet'!$B$13,Paramètres!$A$1:$I$89,5,0)</f>
        <v>29.062799999999999</v>
      </c>
      <c r="CV25" s="13">
        <f t="shared" si="41"/>
        <v>9.0480926409310953</v>
      </c>
      <c r="CW25" s="20">
        <f t="shared" si="13"/>
        <v>66.376471349621667</v>
      </c>
      <c r="CX25" s="59">
        <f t="shared" si="14"/>
        <v>359.709804682955</v>
      </c>
      <c r="CY25" s="59">
        <f ca="1">AVERAGE(OFFSET($CX$3,0,0,'Données projet'!$E$13+1,1))-AVERAGE(OFFSET($H$3,0,0,'Données projet'!$E$13+1,1))</f>
        <v>158.74837032815333</v>
      </c>
      <c r="CZ25" s="59">
        <f t="shared" si="42"/>
        <v>92.286636088270086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5.6</v>
      </c>
      <c r="N26" s="13">
        <f>IF('Données projet'!$A$36&gt;35,N25+M26-V25,IF(A26&lt;'Données projet'!$A$36,$K$205^A26,IF(A26='Données projet'!$A$36,'Données projet'!$B$36,N25+M26-V25)))</f>
        <v>58.800000000000004</v>
      </c>
      <c r="O26" s="13">
        <f>N26*VLOOKUP('Données projet'!$B$9,Paramètres!$A$1:$I$89,3,0)*VLOOKUP('Données projet'!$B$9,Paramètres!$A$1:$I$89,5,0)</f>
        <v>49.533120000000011</v>
      </c>
      <c r="P26" s="13">
        <f t="shared" si="33"/>
        <v>14.493120113047395</v>
      </c>
      <c r="Q26" s="20">
        <f t="shared" si="2"/>
        <v>111.5123681968909</v>
      </c>
      <c r="R26" s="59">
        <f t="shared" si="0"/>
        <v>404.84570153022423</v>
      </c>
      <c r="S26" s="59">
        <f ca="1">AVERAGE(OFFSET($R$3,0,0,'Données projet'!$E$9+1,1))-AVERAGE(OFFSET($H$3,0,0,'Données projet'!$E$9+1,1))</f>
        <v>231.91408074258248</v>
      </c>
      <c r="T26" s="59">
        <f t="shared" si="34"/>
        <v>143.57726487417773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5.6</v>
      </c>
      <c r="AI26" s="13">
        <f>IF('Données projet'!$A$62&gt;35,AI25+AH26-AQ25,IF(A26&lt;'Données projet'!$A$62,$AF$205^A26,IF(A26='Données projet'!$A$62,'Données projet'!$B$62,AI25+AH26-AQ25)))</f>
        <v>58.800000000000004</v>
      </c>
      <c r="AJ26" s="13">
        <f>AI26*VLOOKUP('Données projet'!$B$10,Paramètres!$A$1:$I$89,3,0)*VLOOKUP('Données projet'!$B$10,Paramètres!$A$1:$I$89,5,0)</f>
        <v>53.202240000000003</v>
      </c>
      <c r="AK26" s="13">
        <f t="shared" si="35"/>
        <v>15.437740642425908</v>
      </c>
      <c r="AL26" s="20">
        <f t="shared" si="4"/>
        <v>119.54796628555846</v>
      </c>
      <c r="AM26" s="59">
        <f t="shared" si="5"/>
        <v>412.88129961889177</v>
      </c>
      <c r="AN26" s="59">
        <f ca="1">AVERAGE(OFFSET($AM$3,0,0,'Données projet'!$E$10+1,1))-AVERAGE(OFFSET($H$3,0,0,'Données projet'!$E$10+1,1))</f>
        <v>253.16772905022714</v>
      </c>
      <c r="AO26" s="59">
        <f t="shared" si="36"/>
        <v>156.67965022779907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9.5500000000000007</v>
      </c>
      <c r="BD26" s="12">
        <f>IF('Données projet'!$A$88&gt;35,BD25+BC26-BL25,IF(A26&lt;'Données projet'!$A$88,$BA$205^A26,IF(A26='Données projet'!$A$88,'Données projet'!$B$88,BD25+BC26-BL25)))</f>
        <v>91.649999999999991</v>
      </c>
      <c r="BE26" s="13">
        <f>BD26*VLOOKUP('Données projet'!$B$11,Paramètres!$A$1:$I$89,3,0)*VLOOKUP('Données projet'!$B$11,Paramètres!$A$1:$I$89,5,0)</f>
        <v>54.806699999999999</v>
      </c>
      <c r="BF26" s="13">
        <f t="shared" si="37"/>
        <v>15.848402080980593</v>
      </c>
      <c r="BG26" s="20">
        <f t="shared" si="7"/>
        <v>123.05763612437454</v>
      </c>
      <c r="BH26" s="59">
        <f t="shared" si="8"/>
        <v>416.39096945770785</v>
      </c>
      <c r="BI26" s="59">
        <f ca="1">AVERAGE(OFFSET($BH$3,0,0,'Données projet'!$E$11+1,1))-AVERAGE(OFFSET($H$3,0,0,'Données projet'!$E$11+1,1))</f>
        <v>119.24399403036387</v>
      </c>
      <c r="BJ26" s="59">
        <f t="shared" si="38"/>
        <v>119.60076838354843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1.8791497322935049</v>
      </c>
      <c r="BS26" s="22">
        <f t="shared" si="9"/>
        <v>1.8791497322935049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3</v>
      </c>
      <c r="BY26" s="12">
        <f>IF('Données projet'!$A$114&gt;35,BY25+BX26-CG25,IF(A26&lt;'Données projet'!$A$114,$BV$205^A26,IF(A26='Données projet'!$A$114,'Données projet'!$B$114,BY25+BX26-CG25)))</f>
        <v>30</v>
      </c>
      <c r="BZ26" s="13">
        <f>BY26*VLOOKUP('Données projet'!$B$12,Paramètres!$A$1:$I$89,3,0)*VLOOKUP('Données projet'!$B$12,Paramètres!$A$1:$I$89,5,0)</f>
        <v>29.016000000000002</v>
      </c>
      <c r="CA26" s="13">
        <f t="shared" si="39"/>
        <v>9.0352172071357728</v>
      </c>
      <c r="CB26" s="20">
        <f t="shared" si="10"/>
        <v>66.272536635761469</v>
      </c>
      <c r="CC26" s="59">
        <f t="shared" si="11"/>
        <v>359.60586996909478</v>
      </c>
      <c r="CD26" s="59">
        <f ca="1">AVERAGE(OFFSET($CC$3,0,0,'Données projet'!$E$12+1,1))-AVERAGE(OFFSET($H$3,0,0,'Données projet'!$E$12+1,1))</f>
        <v>135.95692658150551</v>
      </c>
      <c r="CE26" s="59">
        <f t="shared" si="40"/>
        <v>79.394119001888612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3</v>
      </c>
      <c r="CT26" s="12">
        <f>IF('Données projet'!$A$140&gt;35,CT25+CS26-DB25,IF(A26&lt;'Données projet'!$A$140,$CQ$205^A26,IF(A26='Données projet'!$A$140,'Données projet'!$B$140,CT25+CS26-DB25)))</f>
        <v>30</v>
      </c>
      <c r="CU26" s="17">
        <f>CT26*VLOOKUP('Données projet'!$B$13,Paramètres!$A$1:$I$89,3,0)*VLOOKUP('Données projet'!$B$13,Paramètres!$A$1:$I$89,5,0)</f>
        <v>32.292000000000002</v>
      </c>
      <c r="CV26" s="13">
        <f t="shared" si="41"/>
        <v>9.9308942483743401</v>
      </c>
      <c r="CW26" s="20">
        <f t="shared" si="13"/>
        <v>73.538207482585321</v>
      </c>
      <c r="CX26" s="59">
        <f t="shared" si="14"/>
        <v>366.87154081591865</v>
      </c>
      <c r="CY26" s="59">
        <f ca="1">AVERAGE(OFFSET($CX$3,0,0,'Données projet'!$E$13+1,1))-AVERAGE(OFFSET($H$3,0,0,'Données projet'!$E$13+1,1))</f>
        <v>158.74837032815333</v>
      </c>
      <c r="CZ26" s="59">
        <f t="shared" si="42"/>
        <v>92.286636088270086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5.6</v>
      </c>
      <c r="N27" s="13">
        <f>IF('Données projet'!$A$36&gt;35,N26+M27-V26,IF(A27&lt;'Données projet'!$A$36,$K$205^A27,IF(A27='Données projet'!$A$36,'Données projet'!$B$36,N26+M27-V26)))</f>
        <v>64.400000000000006</v>
      </c>
      <c r="O27" s="13">
        <f>N27*VLOOKUP('Données projet'!$B$9,Paramètres!$A$1:$I$89,3,0)*VLOOKUP('Données projet'!$B$9,Paramètres!$A$1:$I$89,5,0)</f>
        <v>54.250560000000007</v>
      </c>
      <c r="P27" s="13">
        <f t="shared" si="33"/>
        <v>15.706218631166928</v>
      </c>
      <c r="Q27" s="20">
        <f t="shared" si="2"/>
        <v>121.84138944928242</v>
      </c>
      <c r="R27" s="59">
        <f t="shared" si="0"/>
        <v>415.17472278261573</v>
      </c>
      <c r="S27" s="59">
        <f ca="1">AVERAGE(OFFSET($R$3,0,0,'Données projet'!$E$9+1,1))-AVERAGE(OFFSET($H$3,0,0,'Données projet'!$E$9+1,1))</f>
        <v>231.91408074258248</v>
      </c>
      <c r="T27" s="59">
        <f t="shared" si="34"/>
        <v>143.57726487417773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5.6</v>
      </c>
      <c r="AI27" s="13">
        <f>IF('Données projet'!$A$62&gt;35,AI26+AH27-AQ26,IF(A27&lt;'Données projet'!$A$62,$AF$205^A27,IF(A27='Données projet'!$A$62,'Données projet'!$B$62,AI26+AH27-AQ26)))</f>
        <v>64.400000000000006</v>
      </c>
      <c r="AJ27" s="13">
        <f>AI27*VLOOKUP('Données projet'!$B$10,Paramètres!$A$1:$I$89,3,0)*VLOOKUP('Données projet'!$B$10,Paramètres!$A$1:$I$89,5,0)</f>
        <v>58.269120000000008</v>
      </c>
      <c r="AK27" s="13">
        <f t="shared" si="35"/>
        <v>16.729905486873804</v>
      </c>
      <c r="AL27" s="20">
        <f t="shared" si="4"/>
        <v>130.62330272297189</v>
      </c>
      <c r="AM27" s="59">
        <f t="shared" si="5"/>
        <v>423.95663605630523</v>
      </c>
      <c r="AN27" s="59">
        <f ca="1">AVERAGE(OFFSET($AM$3,0,0,'Données projet'!$E$10+1,1))-AVERAGE(OFFSET($H$3,0,0,'Données projet'!$E$10+1,1))</f>
        <v>253.16772905022714</v>
      </c>
      <c r="AO27" s="59">
        <f t="shared" si="36"/>
        <v>156.67965022779907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>
        <f>VLOOKUP(A27,'Données projet'!$A$87:$I$107,2,0)</f>
        <v>101.2</v>
      </c>
      <c r="BB27" s="12">
        <f>VLOOKUP(A27,'Données projet'!$A$87:$I$107,9,0)</f>
        <v>9.5500000000000007</v>
      </c>
      <c r="BC27" s="12">
        <f t="array" ref="BC27">INDEX(BB:BB,MIN(IF(ISNUMBER(BB27:BB223),ROW(BB27:BB223),"")))</f>
        <v>9.5500000000000007</v>
      </c>
      <c r="BD27" s="12">
        <f>IF('Données projet'!$A$88&gt;35,BD26+BC27-BL26,IF(A27&lt;'Données projet'!$A$88,$BA$205^A27,IF(A27='Données projet'!$A$88,'Données projet'!$B$88,BD26+BC27-BL26)))</f>
        <v>101.19999999999999</v>
      </c>
      <c r="BE27" s="13">
        <f>BD27*VLOOKUP('Données projet'!$B$11,Paramètres!$A$1:$I$89,3,0)*VLOOKUP('Données projet'!$B$11,Paramètres!$A$1:$I$89,5,0)</f>
        <v>60.517600000000002</v>
      </c>
      <c r="BF27" s="13">
        <f t="shared" si="37"/>
        <v>17.299069038249009</v>
      </c>
      <c r="BG27" s="20">
        <f t="shared" si="7"/>
        <v>135.53069857495038</v>
      </c>
      <c r="BH27" s="59">
        <f t="shared" si="8"/>
        <v>428.86403190828366</v>
      </c>
      <c r="BI27" s="59">
        <f ca="1">AVERAGE(OFFSET($BH$3,0,0,'Données projet'!$E$11+1,1))-AVERAGE(OFFSET($H$3,0,0,'Données projet'!$E$11+1,1))</f>
        <v>119.24399403036387</v>
      </c>
      <c r="BJ27" s="59">
        <f t="shared" si="38"/>
        <v>119.60076838354843</v>
      </c>
      <c r="BK27" s="15">
        <f>IF(ISNA(VLOOKUP(A27,'Données projet'!$A$87:$I$107,3,0)),0,VLOOKUP(A27,'Données projet'!$A$87:$I$107,3,0))</f>
        <v>3</v>
      </c>
      <c r="BL27" s="15">
        <f>IF(ISNA(VLOOKUP(A27,'Données projet'!$A$87:$I$107,4,0)),0,VLOOKUP(A27,'Données projet'!$A$87:$I$107,4,0))</f>
        <v>19.7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0.5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7.9979474206897647</v>
      </c>
      <c r="BS27" s="22">
        <f t="shared" si="9"/>
        <v>7.9979474206897647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3</v>
      </c>
      <c r="BY27" s="12">
        <f>IF('Données projet'!$A$114&gt;35,BY26+BX27-CG26,IF(A27&lt;'Données projet'!$A$114,$BV$205^A27,IF(A27='Données projet'!$A$114,'Données projet'!$B$114,BY26+BX27-CG26)))</f>
        <v>33</v>
      </c>
      <c r="BZ27" s="13">
        <f>BY27*VLOOKUP('Données projet'!$B$12,Paramètres!$A$1:$I$89,3,0)*VLOOKUP('Données projet'!$B$12,Paramètres!$A$1:$I$89,5,0)</f>
        <v>31.917600000000004</v>
      </c>
      <c r="CA27" s="13">
        <f t="shared" si="39"/>
        <v>9.829086885605312</v>
      </c>
      <c r="CB27" s="20">
        <f t="shared" si="10"/>
        <v>72.708812992429259</v>
      </c>
      <c r="CC27" s="59">
        <f t="shared" si="11"/>
        <v>366.04214632576259</v>
      </c>
      <c r="CD27" s="59">
        <f ca="1">AVERAGE(OFFSET($CC$3,0,0,'Données projet'!$E$12+1,1))-AVERAGE(OFFSET($H$3,0,0,'Données projet'!$E$12+1,1))</f>
        <v>135.95692658150551</v>
      </c>
      <c r="CE27" s="59">
        <f t="shared" si="40"/>
        <v>79.394119001888612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3</v>
      </c>
      <c r="CT27" s="12">
        <f>IF('Données projet'!$A$140&gt;35,CT26+CS27-DB26,IF(A27&lt;'Données projet'!$A$140,$CQ$205^A27,IF(A27='Données projet'!$A$140,'Données projet'!$B$140,CT26+CS27-DB26)))</f>
        <v>33</v>
      </c>
      <c r="CU27" s="17">
        <f>CT27*VLOOKUP('Données projet'!$B$13,Paramètres!$A$1:$I$89,3,0)*VLOOKUP('Données projet'!$B$13,Paramètres!$A$1:$I$89,5,0)</f>
        <v>35.5212</v>
      </c>
      <c r="CV27" s="13">
        <f t="shared" si="41"/>
        <v>10.803461630334509</v>
      </c>
      <c r="CW27" s="20">
        <f t="shared" si="13"/>
        <v>80.682119006165934</v>
      </c>
      <c r="CX27" s="59">
        <f t="shared" si="14"/>
        <v>374.01545233949923</v>
      </c>
      <c r="CY27" s="59">
        <f ca="1">AVERAGE(OFFSET($CX$3,0,0,'Données projet'!$E$13+1,1))-AVERAGE(OFFSET($H$3,0,0,'Données projet'!$E$13+1,1))</f>
        <v>158.74837032815333</v>
      </c>
      <c r="CZ27" s="59">
        <f t="shared" si="42"/>
        <v>92.286636088270086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70</v>
      </c>
      <c r="L28" s="12">
        <f>VLOOKUP(A28,'Données projet'!$A$35:$I$55,9,0)</f>
        <v>5.6</v>
      </c>
      <c r="M28" s="12">
        <f t="array" ref="M28">INDEX(L:L,MIN(IF(ISNUMBER(L28:L224),ROW(L28:L224),"")))</f>
        <v>5.6</v>
      </c>
      <c r="N28" s="13">
        <f>IF('Données projet'!$A$36&gt;35,N27+M28-V27,IF(A28&lt;'Données projet'!$A$36,$K$205^A28,IF(A28='Données projet'!$A$36,'Données projet'!$B$36,N27+M28-V27)))</f>
        <v>70</v>
      </c>
      <c r="O28" s="13">
        <f>N28*VLOOKUP('Données projet'!$B$9,Paramètres!$A$1:$I$89,3,0)*VLOOKUP('Données projet'!$B$9,Paramètres!$A$1:$I$89,5,0)</f>
        <v>58.968000000000011</v>
      </c>
      <c r="P28" s="13">
        <f t="shared" si="33"/>
        <v>16.907084152971134</v>
      </c>
      <c r="Q28" s="20">
        <f t="shared" si="2"/>
        <v>132.14910489975807</v>
      </c>
      <c r="R28" s="59">
        <f t="shared" si="0"/>
        <v>425.48243823309139</v>
      </c>
      <c r="S28" s="59">
        <f ca="1">AVERAGE(OFFSET($R$3,0,0,'Données projet'!$E$9+1,1))-AVERAGE(OFFSET($H$3,0,0,'Données projet'!$E$9+1,1))</f>
        <v>231.91408074258248</v>
      </c>
      <c r="T28" s="59">
        <f t="shared" si="34"/>
        <v>143.57726487417773</v>
      </c>
      <c r="U28" s="15">
        <f>IF(ISNA(VLOOKUP(A28,'Données projet'!$A$35:$I$55,3,0)),0,VLOOKUP(A28,'Données projet'!$A$35:$I$55,3,0))</f>
        <v>1</v>
      </c>
      <c r="V28" s="15">
        <f>IF(ISNA(VLOOKUP(A28,'Données projet'!$A$35:$I$55,4,0)),0,VLOOKUP(A28,'Données projet'!$A$35:$I$55,4,0))</f>
        <v>8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0.4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2.5434466331634531</v>
      </c>
      <c r="AC28" s="22">
        <f t="shared" si="3"/>
        <v>2.5434466331634531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70</v>
      </c>
      <c r="AG28" s="12">
        <f>VLOOKUP(A28,'Données projet'!$A$61:$I$81,9,0)</f>
        <v>5.6</v>
      </c>
      <c r="AH28" s="12">
        <f t="array" ref="AH28">INDEX(AG:AG,MIN(IF(ISNUMBER(AG28:AG224),ROW(AG28:AG224),"")))</f>
        <v>5.6</v>
      </c>
      <c r="AI28" s="13">
        <f>IF('Données projet'!$A$62&gt;35,AI27+AH28-AQ27,IF(A28&lt;'Données projet'!$A$62,$AF$205^A28,IF(A28='Données projet'!$A$62,'Données projet'!$B$62,AI27+AH28-AQ27)))</f>
        <v>70</v>
      </c>
      <c r="AJ28" s="13">
        <f>AI28*VLOOKUP('Données projet'!$B$10,Paramètres!$A$1:$I$89,3,0)*VLOOKUP('Données projet'!$B$10,Paramètres!$A$1:$I$89,5,0)</f>
        <v>63.335999999999991</v>
      </c>
      <c r="AK28" s="13">
        <f t="shared" si="35"/>
        <v>18.009040022946227</v>
      </c>
      <c r="AL28" s="20">
        <f t="shared" si="4"/>
        <v>141.67594470663133</v>
      </c>
      <c r="AM28" s="59">
        <f t="shared" si="5"/>
        <v>435.00927803996467</v>
      </c>
      <c r="AN28" s="59">
        <f ca="1">AVERAGE(OFFSET($AM$3,0,0,'Données projet'!$E$10+1,1))-AVERAGE(OFFSET($H$3,0,0,'Données projet'!$E$10+1,1))</f>
        <v>253.16772905022714</v>
      </c>
      <c r="AO28" s="59">
        <f t="shared" si="36"/>
        <v>156.67965022779907</v>
      </c>
      <c r="AP28" s="15">
        <f>IF(ISNA(VLOOKUP(A28,'Données projet'!$A$61:$I$81,3,0)),0,VLOOKUP(A28,'Données projet'!$A$61:$I$81,3,0))</f>
        <v>1</v>
      </c>
      <c r="AQ28" s="15">
        <f>IF(ISNA(VLOOKUP(A28,'Données projet'!$A$61:$I$81,4,0)),0,VLOOKUP(A28,'Données projet'!$A$61:$I$81,4,0))</f>
        <v>8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0.4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2.731850087471857</v>
      </c>
      <c r="AX28" s="21">
        <f t="shared" si="6"/>
        <v>2.731850087471857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10.375</v>
      </c>
      <c r="BD28" s="12">
        <f>IF('Données projet'!$A$88&gt;35,BD27+BC28-BL27,IF(A28&lt;'Données projet'!$A$88,$BA$205^A28,IF(A28='Données projet'!$A$88,'Données projet'!$B$88,BD27+BC28-BL27)))</f>
        <v>91.874999999999986</v>
      </c>
      <c r="BE28" s="13">
        <f>BD28*VLOOKUP('Données projet'!$B$11,Paramètres!$A$1:$I$89,3,0)*VLOOKUP('Données projet'!$B$11,Paramètres!$A$1:$I$89,5,0)</f>
        <v>54.941249999999997</v>
      </c>
      <c r="BF28" s="13">
        <f t="shared" si="37"/>
        <v>15.882776014832698</v>
      </c>
      <c r="BG28" s="20">
        <f t="shared" si="7"/>
        <v>123.35184530916695</v>
      </c>
      <c r="BH28" s="59">
        <f t="shared" si="8"/>
        <v>416.68517864250026</v>
      </c>
      <c r="BI28" s="59">
        <f ca="1">AVERAGE(OFFSET($BH$3,0,0,'Données projet'!$E$11+1,1))-AVERAGE(OFFSET($H$3,0,0,'Données projet'!$E$11+1,1))</f>
        <v>119.24399403036387</v>
      </c>
      <c r="BJ28" s="59">
        <f t="shared" si="38"/>
        <v>119.60076838354843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5.6554028567431898</v>
      </c>
      <c r="BS28" s="22">
        <f t="shared" si="9"/>
        <v>5.6554028567431898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36</v>
      </c>
      <c r="BW28" s="12">
        <f>VLOOKUP(A28,'Données projet'!$A$113:$I$133,9,0)</f>
        <v>3</v>
      </c>
      <c r="BX28" s="12">
        <f t="array" ref="BX28">INDEX(BW:BW,MIN(IF(ISNUMBER(BW28:BW224),ROW(BW28:BW224),"")))</f>
        <v>3</v>
      </c>
      <c r="BY28" s="12">
        <f>IF('Données projet'!$A$114&gt;35,BY27+BX28-CG27,IF(A28&lt;'Données projet'!$A$114,$BV$205^A28,IF(A28='Données projet'!$A$114,'Données projet'!$B$114,BY27+BX28-CG27)))</f>
        <v>36</v>
      </c>
      <c r="BZ28" s="13">
        <f>BY28*VLOOKUP('Données projet'!$B$12,Paramètres!$A$1:$I$89,3,0)*VLOOKUP('Données projet'!$B$12,Paramètres!$A$1:$I$89,5,0)</f>
        <v>34.819200000000002</v>
      </c>
      <c r="CA28" s="13">
        <f t="shared" si="39"/>
        <v>10.61458811221417</v>
      </c>
      <c r="CB28" s="20">
        <f t="shared" si="10"/>
        <v>79.130514295439681</v>
      </c>
      <c r="CC28" s="59">
        <f t="shared" si="11"/>
        <v>372.46384762877301</v>
      </c>
      <c r="CD28" s="59">
        <f ca="1">AVERAGE(OFFSET($CC$3,0,0,'Données projet'!$E$12+1,1))-AVERAGE(OFFSET($H$3,0,0,'Données projet'!$E$12+1,1))</f>
        <v>135.95692658150551</v>
      </c>
      <c r="CE28" s="59">
        <f t="shared" si="40"/>
        <v>79.394119001888612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>
        <f>VLOOKUP(A28,'Données projet'!$A$139:$I$159,2,0)</f>
        <v>36</v>
      </c>
      <c r="CR28" s="12">
        <f>VLOOKUP(A28,'Données projet'!$A$139:$I$159,9,0)</f>
        <v>3</v>
      </c>
      <c r="CS28" s="12">
        <f t="array" ref="CS28">INDEX(CR:CR,MIN(IF(ISNUMBER(CR28:CR224),ROW(CR28:CR224),"")))</f>
        <v>3</v>
      </c>
      <c r="CT28" s="12">
        <f>IF('Données projet'!$A$140&gt;35,CT27+CS28-DB27,IF(A28&lt;'Données projet'!$A$140,$CQ$205^A28,IF(A28='Données projet'!$A$140,'Données projet'!$B$140,CT27+CS28-DB27)))</f>
        <v>36</v>
      </c>
      <c r="CU28" s="17">
        <f>CT28*VLOOKUP('Données projet'!$B$13,Paramètres!$A$1:$I$89,3,0)*VLOOKUP('Données projet'!$B$13,Paramètres!$A$1:$I$89,5,0)</f>
        <v>38.750399999999999</v>
      </c>
      <c r="CV28" s="13">
        <f t="shared" si="41"/>
        <v>11.666830981019302</v>
      </c>
      <c r="CW28" s="20">
        <f t="shared" si="13"/>
        <v>87.810010625275268</v>
      </c>
      <c r="CX28" s="59">
        <f t="shared" si="14"/>
        <v>381.14334395860857</v>
      </c>
      <c r="CY28" s="59">
        <f ca="1">AVERAGE(OFFSET($CX$3,0,0,'Données projet'!$E$13+1,1))-AVERAGE(OFFSET($H$3,0,0,'Données projet'!$E$13+1,1))</f>
        <v>158.74837032815333</v>
      </c>
      <c r="CZ28" s="59">
        <f t="shared" si="42"/>
        <v>92.286636088270086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7</v>
      </c>
      <c r="N29" s="13">
        <f>IF('Données projet'!$A$36&gt;35,N28+M29-V28,IF(A29&lt;'Données projet'!$A$36,$K$205^A29,IF(A29='Données projet'!$A$36,'Données projet'!$B$36,N28+M29-V28)))</f>
        <v>69</v>
      </c>
      <c r="O29" s="13">
        <f>N29*VLOOKUP('Données projet'!$B$9,Paramètres!$A$1:$I$89,3,0)*VLOOKUP('Données projet'!$B$9,Paramètres!$A$1:$I$89,5,0)</f>
        <v>58.125600000000013</v>
      </c>
      <c r="P29" s="13">
        <f t="shared" si="33"/>
        <v>16.693490054590175</v>
      </c>
      <c r="Q29" s="20">
        <f t="shared" si="2"/>
        <v>130.30991517841125</v>
      </c>
      <c r="R29" s="59">
        <f t="shared" si="0"/>
        <v>423.64324851174456</v>
      </c>
      <c r="S29" s="59">
        <f ca="1">AVERAGE(OFFSET($R$3,0,0,'Données projet'!$E$9+1,1))-AVERAGE(OFFSET($H$3,0,0,'Données projet'!$E$9+1,1))</f>
        <v>231.91408074258248</v>
      </c>
      <c r="T29" s="59">
        <f t="shared" si="34"/>
        <v>143.57726487417773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1.7984883618959711</v>
      </c>
      <c r="AC29" s="22">
        <f t="shared" si="3"/>
        <v>1.7984883618959711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7</v>
      </c>
      <c r="AI29" s="13">
        <f>IF('Données projet'!$A$62&gt;35,AI28+AH29-AQ28,IF(A29&lt;'Données projet'!$A$62,$AF$205^A29,IF(A29='Données projet'!$A$62,'Données projet'!$B$62,AI28+AH29-AQ28)))</f>
        <v>69</v>
      </c>
      <c r="AJ29" s="13">
        <f>AI29*VLOOKUP('Données projet'!$B$10,Paramètres!$A$1:$I$89,3,0)*VLOOKUP('Données projet'!$B$10,Paramètres!$A$1:$I$89,5,0)</f>
        <v>62.431199999999997</v>
      </c>
      <c r="AK29" s="13">
        <f t="shared" si="35"/>
        <v>17.781524466058684</v>
      </c>
      <c r="AL29" s="20">
        <f t="shared" si="4"/>
        <v>139.70382844505221</v>
      </c>
      <c r="AM29" s="59">
        <f t="shared" si="5"/>
        <v>433.03716177838555</v>
      </c>
      <c r="AN29" s="59">
        <f ca="1">AVERAGE(OFFSET($AM$3,0,0,'Données projet'!$E$10+1,1))-AVERAGE(OFFSET($H$3,0,0,'Données projet'!$E$10+1,1))</f>
        <v>253.16772905022714</v>
      </c>
      <c r="AO29" s="59">
        <f t="shared" si="36"/>
        <v>156.67965022779907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1.9317097220364132</v>
      </c>
      <c r="AX29" s="21">
        <f t="shared" si="6"/>
        <v>1.9317097220364132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10.375</v>
      </c>
      <c r="BD29" s="12">
        <f>IF('Données projet'!$A$88&gt;35,BD28+BC29-BL28,IF(A29&lt;'Données projet'!$A$88,$BA$205^A29,IF(A29='Données projet'!$A$88,'Données projet'!$B$88,BD28+BC29-BL28)))</f>
        <v>102.24999999999999</v>
      </c>
      <c r="BE29" s="13">
        <f>BD29*VLOOKUP('Données projet'!$B$11,Paramètres!$A$1:$I$89,3,0)*VLOOKUP('Données projet'!$B$11,Paramètres!$A$1:$I$89,5,0)</f>
        <v>61.145499999999998</v>
      </c>
      <c r="BF29" s="13">
        <f t="shared" si="37"/>
        <v>17.457567810962214</v>
      </c>
      <c r="BG29" s="20">
        <f t="shared" si="7"/>
        <v>136.90034310409251</v>
      </c>
      <c r="BH29" s="59">
        <f t="shared" si="8"/>
        <v>430.23367643742586</v>
      </c>
      <c r="BI29" s="59">
        <f ca="1">AVERAGE(OFFSET($BH$3,0,0,'Données projet'!$E$11+1,1))-AVERAGE(OFFSET($H$3,0,0,'Données projet'!$E$11+1,1))</f>
        <v>119.24399403036387</v>
      </c>
      <c r="BJ29" s="59">
        <f t="shared" si="38"/>
        <v>119.60076838354843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3.9989737103448828</v>
      </c>
      <c r="BS29" s="22">
        <f t="shared" si="9"/>
        <v>3.9989737103448828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3.6</v>
      </c>
      <c r="BY29" s="12">
        <f>IF('Données projet'!$A$114&gt;35,BY28+BX29-CG28,IF(A29&lt;'Données projet'!$A$114,$BV$205^A29,IF(A29='Données projet'!$A$114,'Données projet'!$B$114,BY28+BX29-CG28)))</f>
        <v>39.6</v>
      </c>
      <c r="BZ29" s="13">
        <f>BY29*VLOOKUP('Données projet'!$B$12,Paramètres!$A$1:$I$89,3,0)*VLOOKUP('Données projet'!$B$12,Paramètres!$A$1:$I$89,5,0)</f>
        <v>38.301119999999997</v>
      </c>
      <c r="CA29" s="13">
        <f t="shared" si="39"/>
        <v>11.547227522927502</v>
      </c>
      <c r="CB29" s="20">
        <f t="shared" si="10"/>
        <v>86.819205269098731</v>
      </c>
      <c r="CC29" s="59">
        <f t="shared" si="11"/>
        <v>380.15253860243206</v>
      </c>
      <c r="CD29" s="59">
        <f ca="1">AVERAGE(OFFSET($CC$3,0,0,'Données projet'!$E$12+1,1))-AVERAGE(OFFSET($H$3,0,0,'Données projet'!$E$12+1,1))</f>
        <v>135.95692658150551</v>
      </c>
      <c r="CE29" s="59">
        <f t="shared" si="40"/>
        <v>79.394119001888612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3.6</v>
      </c>
      <c r="CT29" s="12">
        <f>IF('Données projet'!$A$140&gt;35,CT28+CS29-DB28,IF(A29&lt;'Données projet'!$A$140,$CQ$205^A29,IF(A29='Données projet'!$A$140,'Données projet'!$B$140,CT28+CS29-DB28)))</f>
        <v>39.6</v>
      </c>
      <c r="CU29" s="17">
        <f>CT29*VLOOKUP('Données projet'!$B$13,Paramètres!$A$1:$I$89,3,0)*VLOOKUP('Données projet'!$B$13,Paramètres!$A$1:$I$89,5,0)</f>
        <v>42.625439999999998</v>
      </c>
      <c r="CV29" s="13">
        <f t="shared" si="41"/>
        <v>12.691924583898647</v>
      </c>
      <c r="CW29" s="20">
        <f t="shared" si="13"/>
        <v>96.344409983623464</v>
      </c>
      <c r="CX29" s="59">
        <f t="shared" si="14"/>
        <v>389.67774331695676</v>
      </c>
      <c r="CY29" s="59">
        <f ca="1">AVERAGE(OFFSET($CX$3,0,0,'Données projet'!$E$13+1,1))-AVERAGE(OFFSET($H$3,0,0,'Données projet'!$E$13+1,1))</f>
        <v>158.74837032815333</v>
      </c>
      <c r="CZ29" s="59">
        <f t="shared" si="42"/>
        <v>92.286636088270086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7</v>
      </c>
      <c r="N30" s="13">
        <f>IF('Données projet'!$A$36&gt;35,N29+M30-V29,IF(A30&lt;'Données projet'!$A$36,$K$205^A30,IF(A30='Données projet'!$A$36,'Données projet'!$B$36,N29+M30-V29)))</f>
        <v>76</v>
      </c>
      <c r="O30" s="13">
        <f>N30*VLOOKUP('Données projet'!$B$9,Paramètres!$A$1:$I$89,3,0)*VLOOKUP('Données projet'!$B$9,Paramètres!$A$1:$I$89,5,0)</f>
        <v>64.022400000000019</v>
      </c>
      <c r="P30" s="13">
        <f t="shared" si="33"/>
        <v>18.181385543312242</v>
      </c>
      <c r="Q30" s="20">
        <f t="shared" si="2"/>
        <v>143.17159315460219</v>
      </c>
      <c r="R30" s="59">
        <f t="shared" si="0"/>
        <v>436.50492648793551</v>
      </c>
      <c r="S30" s="59">
        <f ca="1">AVERAGE(OFFSET($R$3,0,0,'Données projet'!$E$9+1,1))-AVERAGE(OFFSET($H$3,0,0,'Données projet'!$E$9+1,1))</f>
        <v>231.91408074258248</v>
      </c>
      <c r="T30" s="59">
        <f t="shared" si="34"/>
        <v>143.57726487417773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1.2717233165817268</v>
      </c>
      <c r="AC30" s="22">
        <f t="shared" si="3"/>
        <v>1.2717233165817268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7</v>
      </c>
      <c r="AI30" s="13">
        <f>IF('Données projet'!$A$62&gt;35,AI29+AH30-AQ29,IF(A30&lt;'Données projet'!$A$62,$AF$205^A30,IF(A30='Données projet'!$A$62,'Données projet'!$B$62,AI29+AH30-AQ29)))</f>
        <v>76</v>
      </c>
      <c r="AJ30" s="13">
        <f>AI30*VLOOKUP('Données projet'!$B$10,Paramètres!$A$1:$I$89,3,0)*VLOOKUP('Données projet'!$B$10,Paramètres!$A$1:$I$89,5,0)</f>
        <v>68.764799999999994</v>
      </c>
      <c r="AK30" s="13">
        <f t="shared" si="35"/>
        <v>19.366396769521369</v>
      </c>
      <c r="AL30" s="20">
        <f t="shared" si="4"/>
        <v>153.49516770691636</v>
      </c>
      <c r="AM30" s="59">
        <f t="shared" si="5"/>
        <v>446.82850104024965</v>
      </c>
      <c r="AN30" s="59">
        <f ca="1">AVERAGE(OFFSET($AM$3,0,0,'Données projet'!$E$10+1,1))-AVERAGE(OFFSET($H$3,0,0,'Données projet'!$E$10+1,1))</f>
        <v>253.16772905022714</v>
      </c>
      <c r="AO30" s="59">
        <f t="shared" si="36"/>
        <v>156.67965022779907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1.3659250437359287</v>
      </c>
      <c r="AX30" s="21">
        <f t="shared" si="6"/>
        <v>1.3659250437359287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10.375</v>
      </c>
      <c r="BD30" s="12">
        <f>IF('Données projet'!$A$88&gt;35,BD29+BC30-BL29,IF(A30&lt;'Données projet'!$A$88,$BA$205^A30,IF(A30='Données projet'!$A$88,'Données projet'!$B$88,BD29+BC30-BL29)))</f>
        <v>112.62499999999999</v>
      </c>
      <c r="BE30" s="13">
        <f>BD30*VLOOKUP('Données projet'!$B$11,Paramètres!$A$1:$I$89,3,0)*VLOOKUP('Données projet'!$B$11,Paramètres!$A$1:$I$89,5,0)</f>
        <v>67.34975</v>
      </c>
      <c r="BF30" s="13">
        <f t="shared" si="37"/>
        <v>19.013836007614369</v>
      </c>
      <c r="BG30" s="20">
        <f t="shared" si="7"/>
        <v>150.41657896326168</v>
      </c>
      <c r="BH30" s="59">
        <f t="shared" si="8"/>
        <v>443.74991229659497</v>
      </c>
      <c r="BI30" s="59">
        <f ca="1">AVERAGE(OFFSET($BH$3,0,0,'Données projet'!$E$11+1,1))-AVERAGE(OFFSET($H$3,0,0,'Données projet'!$E$11+1,1))</f>
        <v>119.24399403036387</v>
      </c>
      <c r="BJ30" s="59">
        <f t="shared" si="38"/>
        <v>119.60076838354843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2.8277014283715953</v>
      </c>
      <c r="BS30" s="22">
        <f t="shared" si="9"/>
        <v>2.8277014283715953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3.6</v>
      </c>
      <c r="BY30" s="12">
        <f>IF('Données projet'!$A$114&gt;35,BY29+BX30-CG29,IF(A30&lt;'Données projet'!$A$114,$BV$205^A30,IF(A30='Données projet'!$A$114,'Données projet'!$B$114,BY29+BX30-CG29)))</f>
        <v>43.2</v>
      </c>
      <c r="BZ30" s="13">
        <f>BY30*VLOOKUP('Données projet'!$B$12,Paramètres!$A$1:$I$89,3,0)*VLOOKUP('Données projet'!$B$12,Paramètres!$A$1:$I$89,5,0)</f>
        <v>41.783040000000007</v>
      </c>
      <c r="CA30" s="13">
        <f t="shared" si="39"/>
        <v>12.470035662559953</v>
      </c>
      <c r="CB30" s="20">
        <f t="shared" si="10"/>
        <v>94.490773445625265</v>
      </c>
      <c r="CC30" s="59">
        <f t="shared" si="11"/>
        <v>387.82410677895859</v>
      </c>
      <c r="CD30" s="59">
        <f ca="1">AVERAGE(OFFSET($CC$3,0,0,'Données projet'!$E$12+1,1))-AVERAGE(OFFSET($H$3,0,0,'Données projet'!$E$12+1,1))</f>
        <v>135.95692658150551</v>
      </c>
      <c r="CE30" s="59">
        <f t="shared" si="40"/>
        <v>79.394119001888612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3.6</v>
      </c>
      <c r="CT30" s="12">
        <f>IF('Données projet'!$A$140&gt;35,CT29+CS30-DB29,IF(A30&lt;'Données projet'!$A$140,$CQ$205^A30,IF(A30='Données projet'!$A$140,'Données projet'!$B$140,CT29+CS30-DB29)))</f>
        <v>43.2</v>
      </c>
      <c r="CU30" s="17">
        <f>CT30*VLOOKUP('Données projet'!$B$13,Paramètres!$A$1:$I$89,3,0)*VLOOKUP('Données projet'!$B$13,Paramètres!$A$1:$I$89,5,0)</f>
        <v>46.500480000000003</v>
      </c>
      <c r="CV30" s="13">
        <f t="shared" si="41"/>
        <v>13.706212324429247</v>
      </c>
      <c r="CW30" s="20">
        <f t="shared" si="13"/>
        <v>104.85998913171427</v>
      </c>
      <c r="CX30" s="59">
        <f t="shared" si="14"/>
        <v>398.19332246504757</v>
      </c>
      <c r="CY30" s="59">
        <f ca="1">AVERAGE(OFFSET($CX$3,0,0,'Données projet'!$E$13+1,1))-AVERAGE(OFFSET($H$3,0,0,'Données projet'!$E$13+1,1))</f>
        <v>158.74837032815333</v>
      </c>
      <c r="CZ30" s="59">
        <f t="shared" si="42"/>
        <v>92.286636088270086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7</v>
      </c>
      <c r="N31" s="13">
        <f>IF('Données projet'!$A$36&gt;35,N30+M31-V30,IF(A31&lt;'Données projet'!$A$36,$K$205^A31,IF(A31='Données projet'!$A$36,'Données projet'!$B$36,N30+M31-V30)))</f>
        <v>83</v>
      </c>
      <c r="O31" s="13">
        <f>N31*VLOOKUP('Données projet'!$B$9,Paramètres!$A$1:$I$89,3,0)*VLOOKUP('Données projet'!$B$9,Paramètres!$A$1:$I$89,5,0)</f>
        <v>69.919200000000004</v>
      </c>
      <c r="P31" s="13">
        <f t="shared" si="33"/>
        <v>19.653390735061731</v>
      </c>
      <c r="Q31" s="20">
        <f t="shared" si="2"/>
        <v>156.00559553023251</v>
      </c>
      <c r="R31" s="59">
        <f t="shared" si="0"/>
        <v>449.3389288635658</v>
      </c>
      <c r="S31" s="59">
        <f ca="1">AVERAGE(OFFSET($R$3,0,0,'Données projet'!$E$9+1,1))-AVERAGE(OFFSET($H$3,0,0,'Données projet'!$E$9+1,1))</f>
        <v>231.91408074258248</v>
      </c>
      <c r="T31" s="59">
        <f t="shared" si="34"/>
        <v>143.57726487417773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0.89924418094798564</v>
      </c>
      <c r="AC31" s="22">
        <f t="shared" si="3"/>
        <v>0.89924418094798564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7</v>
      </c>
      <c r="AI31" s="13">
        <f>IF('Données projet'!$A$62&gt;35,AI30+AH31-AQ30,IF(A31&lt;'Données projet'!$A$62,$AF$205^A31,IF(A31='Données projet'!$A$62,'Données projet'!$B$62,AI30+AH31-AQ30)))</f>
        <v>83</v>
      </c>
      <c r="AJ31" s="13">
        <f>AI31*VLOOKUP('Données projet'!$B$10,Paramètres!$A$1:$I$89,3,0)*VLOOKUP('Données projet'!$B$10,Paramètres!$A$1:$I$89,5,0)</f>
        <v>75.098399999999998</v>
      </c>
      <c r="AK31" s="13">
        <f t="shared" si="35"/>
        <v>20.934343091450742</v>
      </c>
      <c r="AL31" s="20">
        <f t="shared" si="4"/>
        <v>167.25702755094335</v>
      </c>
      <c r="AM31" s="59">
        <f t="shared" si="5"/>
        <v>460.59036088427666</v>
      </c>
      <c r="AN31" s="59">
        <f ca="1">AVERAGE(OFFSET($AM$3,0,0,'Données projet'!$E$10+1,1))-AVERAGE(OFFSET($H$3,0,0,'Données projet'!$E$10+1,1))</f>
        <v>253.16772905022714</v>
      </c>
      <c r="AO31" s="59">
        <f t="shared" si="36"/>
        <v>156.67965022779907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0.96585486101820672</v>
      </c>
      <c r="AX31" s="21">
        <f t="shared" si="6"/>
        <v>0.96585486101820672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>
        <f>VLOOKUP(A31,'Données projet'!$A$87:$I$107,2,0)</f>
        <v>123</v>
      </c>
      <c r="BB31" s="12">
        <f>VLOOKUP(A31,'Données projet'!$A$87:$I$107,9,0)</f>
        <v>10.375</v>
      </c>
      <c r="BC31" s="12">
        <f t="array" ref="BC31">INDEX(BB:BB,MIN(IF(ISNUMBER(BB31:BB227),ROW(BB31:BB227),"")))</f>
        <v>10.375</v>
      </c>
      <c r="BD31" s="12">
        <f>IF('Données projet'!$A$88&gt;35,BD30+BC31-BL30,IF(A31&lt;'Données projet'!$A$88,$BA$205^A31,IF(A31='Données projet'!$A$88,'Données projet'!$B$88,BD30+BC31-BL30)))</f>
        <v>122.99999999999999</v>
      </c>
      <c r="BE31" s="13">
        <f>BD31*VLOOKUP('Données projet'!$B$11,Paramètres!$A$1:$I$89,3,0)*VLOOKUP('Données projet'!$B$11,Paramètres!$A$1:$I$89,5,0)</f>
        <v>73.554000000000002</v>
      </c>
      <c r="BF31" s="13">
        <f t="shared" si="37"/>
        <v>20.553481077376691</v>
      </c>
      <c r="BG31" s="20">
        <f t="shared" si="7"/>
        <v>163.90386287643108</v>
      </c>
      <c r="BH31" s="59">
        <f t="shared" si="8"/>
        <v>457.23719620976442</v>
      </c>
      <c r="BI31" s="59">
        <f ca="1">AVERAGE(OFFSET($BH$3,0,0,'Données projet'!$E$11+1,1))-AVERAGE(OFFSET($H$3,0,0,'Données projet'!$E$11+1,1))</f>
        <v>119.24399403036387</v>
      </c>
      <c r="BJ31" s="59">
        <f t="shared" si="38"/>
        <v>119.60076838354843</v>
      </c>
      <c r="BK31" s="15">
        <f>IF(ISNA(VLOOKUP(A31,'Données projet'!$A$87:$I$107,3,0)),0,VLOOKUP(A31,'Données projet'!$A$87:$I$107,3,0))</f>
        <v>4</v>
      </c>
      <c r="BL31" s="15">
        <f>IF(ISNA(VLOOKUP(A31,'Données projet'!$A$87:$I$107,4,0)),0,VLOOKUP(A31,'Données projet'!$A$87:$I$107,4,0))</f>
        <v>23.4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1.9994868551724416</v>
      </c>
      <c r="BS31" s="22">
        <f t="shared" si="9"/>
        <v>1.9994868551724416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3.6</v>
      </c>
      <c r="BY31" s="12">
        <f>IF('Données projet'!$A$114&gt;35,BY30+BX31-CG30,IF(A31&lt;'Données projet'!$A$114,$BV$205^A31,IF(A31='Données projet'!$A$114,'Données projet'!$B$114,BY30+BX31-CG30)))</f>
        <v>46.800000000000004</v>
      </c>
      <c r="BZ31" s="13">
        <f>BY31*VLOOKUP('Données projet'!$B$12,Paramètres!$A$1:$I$89,3,0)*VLOOKUP('Données projet'!$B$12,Paramètres!$A$1:$I$89,5,0)</f>
        <v>45.264960000000002</v>
      </c>
      <c r="CA31" s="13">
        <f t="shared" si="39"/>
        <v>13.383924947719283</v>
      </c>
      <c r="CB31" s="20">
        <f t="shared" si="10"/>
        <v>102.14680795061109</v>
      </c>
      <c r="CC31" s="59">
        <f t="shared" si="11"/>
        <v>395.48014128394442</v>
      </c>
      <c r="CD31" s="59">
        <f ca="1">AVERAGE(OFFSET($CC$3,0,0,'Données projet'!$E$12+1,1))-AVERAGE(OFFSET($H$3,0,0,'Données projet'!$E$12+1,1))</f>
        <v>135.95692658150551</v>
      </c>
      <c r="CE31" s="59">
        <f t="shared" si="40"/>
        <v>79.394119001888612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3.6</v>
      </c>
      <c r="CT31" s="12">
        <f>IF('Données projet'!$A$140&gt;35,CT30+CS31-DB30,IF(A31&lt;'Données projet'!$A$140,$CQ$205^A31,IF(A31='Données projet'!$A$140,'Données projet'!$B$140,CT30+CS31-DB30)))</f>
        <v>46.800000000000004</v>
      </c>
      <c r="CU31" s="17">
        <f>CT31*VLOOKUP('Données projet'!$B$13,Paramètres!$A$1:$I$89,3,0)*VLOOKUP('Données projet'!$B$13,Paramètres!$A$1:$I$89,5,0)</f>
        <v>50.375520000000002</v>
      </c>
      <c r="CV31" s="13">
        <f t="shared" si="41"/>
        <v>14.710697068688855</v>
      </c>
      <c r="CW31" s="20">
        <f t="shared" si="13"/>
        <v>113.3584947279664</v>
      </c>
      <c r="CX31" s="59">
        <f t="shared" si="14"/>
        <v>406.6918280612997</v>
      </c>
      <c r="CY31" s="59">
        <f ca="1">AVERAGE(OFFSET($CX$3,0,0,'Données projet'!$E$13+1,1))-AVERAGE(OFFSET($H$3,0,0,'Données projet'!$E$13+1,1))</f>
        <v>158.74837032815333</v>
      </c>
      <c r="CZ31" s="59">
        <f t="shared" si="42"/>
        <v>92.286636088270086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7</v>
      </c>
      <c r="N32" s="13">
        <f>IF('Données projet'!$A$36&gt;35,N31+M32-V31,IF(A32&lt;'Données projet'!$A$36,$K$205^A32,IF(A32='Données projet'!$A$36,'Données projet'!$B$36,N31+M32-V31)))</f>
        <v>90</v>
      </c>
      <c r="O32" s="13">
        <f>N32*VLOOKUP('Données projet'!$B$9,Paramètres!$A$1:$I$89,3,0)*VLOOKUP('Données projet'!$B$9,Paramètres!$A$1:$I$89,5,0)</f>
        <v>75.816000000000003</v>
      </c>
      <c r="P32" s="13">
        <f t="shared" si="33"/>
        <v>21.110998140607162</v>
      </c>
      <c r="Q32" s="20">
        <f t="shared" si="2"/>
        <v>168.81452176155747</v>
      </c>
      <c r="R32" s="59">
        <f t="shared" si="0"/>
        <v>462.14785509489082</v>
      </c>
      <c r="S32" s="59">
        <f ca="1">AVERAGE(OFFSET($R$3,0,0,'Données projet'!$E$9+1,1))-AVERAGE(OFFSET($H$3,0,0,'Données projet'!$E$9+1,1))</f>
        <v>231.91408074258248</v>
      </c>
      <c r="T32" s="59">
        <f t="shared" si="34"/>
        <v>143.57726487417773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0.6358616582908635</v>
      </c>
      <c r="AC32" s="22">
        <f t="shared" si="3"/>
        <v>0.6358616582908635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7</v>
      </c>
      <c r="AI32" s="13">
        <f>IF('Données projet'!$A$62&gt;35,AI31+AH32-AQ31,IF(A32&lt;'Données projet'!$A$62,$AF$205^A32,IF(A32='Données projet'!$A$62,'Données projet'!$B$62,AI31+AH32-AQ31)))</f>
        <v>90</v>
      </c>
      <c r="AJ32" s="13">
        <f>AI32*VLOOKUP('Données projet'!$B$10,Paramètres!$A$1:$I$89,3,0)*VLOOKUP('Données projet'!$B$10,Paramètres!$A$1:$I$89,5,0)</f>
        <v>81.432000000000002</v>
      </c>
      <c r="AK32" s="13">
        <f t="shared" si="35"/>
        <v>22.486953220240881</v>
      </c>
      <c r="AL32" s="20">
        <f t="shared" si="4"/>
        <v>180.99217685858619</v>
      </c>
      <c r="AM32" s="59">
        <f t="shared" si="5"/>
        <v>474.32551019191953</v>
      </c>
      <c r="AN32" s="59">
        <f ca="1">AVERAGE(OFFSET($AM$3,0,0,'Données projet'!$E$10+1,1))-AVERAGE(OFFSET($H$3,0,0,'Données projet'!$E$10+1,1))</f>
        <v>253.16772905022714</v>
      </c>
      <c r="AO32" s="59">
        <f t="shared" si="36"/>
        <v>156.67965022779907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0.68296252186796447</v>
      </c>
      <c r="AX32" s="21">
        <f t="shared" si="6"/>
        <v>0.68296252186796447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9.2833333333333368</v>
      </c>
      <c r="BD32" s="12">
        <f>IF('Données projet'!$A$88&gt;35,BD31+BC32-BL31,IF(A32&lt;'Données projet'!$A$88,$BA$205^A32,IF(A32='Données projet'!$A$88,'Données projet'!$B$88,BD31+BC32-BL31)))</f>
        <v>108.88333333333333</v>
      </c>
      <c r="BE32" s="13">
        <f>BD32*VLOOKUP('Données projet'!$B$11,Paramètres!$A$1:$I$89,3,0)*VLOOKUP('Données projet'!$B$11,Paramètres!$A$1:$I$89,5,0)</f>
        <v>65.112233333333336</v>
      </c>
      <c r="BF32" s="13">
        <f t="shared" si="37"/>
        <v>18.454587022433227</v>
      </c>
      <c r="BG32" s="20">
        <f t="shared" si="7"/>
        <v>145.54554545296011</v>
      </c>
      <c r="BH32" s="59">
        <f t="shared" si="8"/>
        <v>438.8788787862934</v>
      </c>
      <c r="BI32" s="59">
        <f ca="1">AVERAGE(OFFSET($BH$3,0,0,'Données projet'!$E$11+1,1))-AVERAGE(OFFSET($H$3,0,0,'Données projet'!$E$11+1,1))</f>
        <v>119.24399403036387</v>
      </c>
      <c r="BJ32" s="59">
        <f t="shared" si="38"/>
        <v>119.60076838354843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1.4138507141857979</v>
      </c>
      <c r="BS32" s="22">
        <f t="shared" si="9"/>
        <v>1.4138507141857979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3.6</v>
      </c>
      <c r="BY32" s="12">
        <f>IF('Données projet'!$A$114&gt;35,BY31+BX32-CG31,IF(A32&lt;'Données projet'!$A$114,$BV$205^A32,IF(A32='Données projet'!$A$114,'Données projet'!$B$114,BY31+BX32-CG31)))</f>
        <v>50.400000000000006</v>
      </c>
      <c r="BZ32" s="13">
        <f>BY32*VLOOKUP('Données projet'!$B$12,Paramètres!$A$1:$I$89,3,0)*VLOOKUP('Données projet'!$B$12,Paramètres!$A$1:$I$89,5,0)</f>
        <v>48.746880000000012</v>
      </c>
      <c r="CA32" s="13">
        <f t="shared" si="39"/>
        <v>14.2896594492068</v>
      </c>
      <c r="CB32" s="20">
        <f t="shared" si="10"/>
        <v>109.78863954070187</v>
      </c>
      <c r="CC32" s="59">
        <f t="shared" si="11"/>
        <v>403.12197287403518</v>
      </c>
      <c r="CD32" s="59">
        <f ca="1">AVERAGE(OFFSET($CC$3,0,0,'Données projet'!$E$12+1,1))-AVERAGE(OFFSET($H$3,0,0,'Données projet'!$E$12+1,1))</f>
        <v>135.95692658150551</v>
      </c>
      <c r="CE32" s="59">
        <f t="shared" si="40"/>
        <v>79.394119001888612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3.6</v>
      </c>
      <c r="CT32" s="12">
        <f>IF('Données projet'!$A$140&gt;35,CT31+CS32-DB31,IF(A32&lt;'Données projet'!$A$140,$CQ$205^A32,IF(A32='Données projet'!$A$140,'Données projet'!$B$140,CT31+CS32-DB31)))</f>
        <v>50.400000000000006</v>
      </c>
      <c r="CU32" s="17">
        <f>CT32*VLOOKUP('Données projet'!$B$13,Paramètres!$A$1:$I$89,3,0)*VLOOKUP('Données projet'!$B$13,Paramètres!$A$1:$I$89,5,0)</f>
        <v>54.250560000000007</v>
      </c>
      <c r="CV32" s="13">
        <f t="shared" si="41"/>
        <v>15.706218631166928</v>
      </c>
      <c r="CW32" s="20">
        <f t="shared" si="13"/>
        <v>121.84138944928242</v>
      </c>
      <c r="CX32" s="59">
        <f t="shared" si="14"/>
        <v>415.17472278261573</v>
      </c>
      <c r="CY32" s="59">
        <f ca="1">AVERAGE(OFFSET($CX$3,0,0,'Données projet'!$E$13+1,1))-AVERAGE(OFFSET($H$3,0,0,'Données projet'!$E$13+1,1))</f>
        <v>158.74837032815333</v>
      </c>
      <c r="CZ32" s="59">
        <f t="shared" si="42"/>
        <v>92.286636088270086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97</v>
      </c>
      <c r="L33" s="12">
        <f>VLOOKUP(A33,'Données projet'!$A$35:$I$55,9,0)</f>
        <v>7</v>
      </c>
      <c r="M33" s="12">
        <f t="array" ref="M33">INDEX(L:L,MIN(IF(ISNUMBER(L33:L229),ROW(L33:L229),"")))</f>
        <v>7</v>
      </c>
      <c r="N33" s="13">
        <f>IF('Données projet'!$A$36&gt;35,N32+M33-V32,IF(A33&lt;'Données projet'!$A$36,$K$205^A33,IF(A33='Données projet'!$A$36,'Données projet'!$B$36,N32+M33-V32)))</f>
        <v>97</v>
      </c>
      <c r="O33" s="13">
        <f>N33*VLOOKUP('Données projet'!$B$9,Paramètres!$A$1:$I$89,3,0)*VLOOKUP('Données projet'!$B$9,Paramètres!$A$1:$I$89,5,0)</f>
        <v>81.712800000000001</v>
      </c>
      <c r="P33" s="13">
        <f t="shared" si="33"/>
        <v>22.55545490774292</v>
      </c>
      <c r="Q33" s="20">
        <f t="shared" si="2"/>
        <v>181.60054396431892</v>
      </c>
      <c r="R33" s="59">
        <f t="shared" si="0"/>
        <v>474.9338772976522</v>
      </c>
      <c r="S33" s="59">
        <f ca="1">AVERAGE(OFFSET($R$3,0,0,'Données projet'!$E$9+1,1))-AVERAGE(OFFSET($H$3,0,0,'Données projet'!$E$9+1,1))</f>
        <v>231.91408074258248</v>
      </c>
      <c r="T33" s="59">
        <f t="shared" si="34"/>
        <v>143.57726487417773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21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0.4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7.1261695025280565</v>
      </c>
      <c r="AC33" s="22">
        <f t="shared" si="3"/>
        <v>7.1261695025280565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97</v>
      </c>
      <c r="AG33" s="12">
        <f>VLOOKUP(A33,'Données projet'!$A$61:$I$81,9,0)</f>
        <v>7</v>
      </c>
      <c r="AH33" s="12">
        <f t="array" ref="AH33">INDEX(AG:AG,MIN(IF(ISNUMBER(AG33:AG229),ROW(AG33:AG229),"")))</f>
        <v>7</v>
      </c>
      <c r="AI33" s="13">
        <f>IF('Données projet'!$A$62&gt;35,AI32+AH33-AQ32,IF(A33&lt;'Données projet'!$A$62,$AF$205^A33,IF(A33='Données projet'!$A$62,'Données projet'!$B$62,AI32+AH33-AQ32)))</f>
        <v>97</v>
      </c>
      <c r="AJ33" s="13">
        <f>AI33*VLOOKUP('Données projet'!$B$10,Paramètres!$A$1:$I$89,3,0)*VLOOKUP('Données projet'!$B$10,Paramètres!$A$1:$I$89,5,0)</f>
        <v>87.765600000000006</v>
      </c>
      <c r="AK33" s="13">
        <f t="shared" si="35"/>
        <v>24.025555589247954</v>
      </c>
      <c r="AL33" s="20">
        <f t="shared" si="4"/>
        <v>194.7029293179402</v>
      </c>
      <c r="AM33" s="59">
        <f t="shared" si="5"/>
        <v>488.03626265127355</v>
      </c>
      <c r="AN33" s="59">
        <f ca="1">AVERAGE(OFFSET($AM$3,0,0,'Données projet'!$E$10+1,1))-AVERAGE(OFFSET($H$3,0,0,'Données projet'!$E$10+1,1))</f>
        <v>253.16772905022714</v>
      </c>
      <c r="AO33" s="59">
        <f t="shared" si="36"/>
        <v>156.67965022779907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21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0.4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7.6540339101227266</v>
      </c>
      <c r="AX33" s="21">
        <f t="shared" si="6"/>
        <v>7.6540339101227266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9.2833333333333368</v>
      </c>
      <c r="BD33" s="12">
        <f>IF('Données projet'!$A$88&gt;35,BD32+BC33-BL32,IF(A33&lt;'Données projet'!$A$88,$BA$205^A33,IF(A33='Données projet'!$A$88,'Données projet'!$B$88,BD32+BC33-BL32)))</f>
        <v>118.16666666666666</v>
      </c>
      <c r="BE33" s="13">
        <f>BD33*VLOOKUP('Données projet'!$B$11,Paramètres!$A$1:$I$89,3,0)*VLOOKUP('Données projet'!$B$11,Paramètres!$A$1:$I$89,5,0)</f>
        <v>70.663666666666657</v>
      </c>
      <c r="BF33" s="13">
        <f t="shared" si="37"/>
        <v>19.838178772772348</v>
      </c>
      <c r="BG33" s="20">
        <f t="shared" si="7"/>
        <v>157.62404747368961</v>
      </c>
      <c r="BH33" s="59">
        <f t="shared" si="8"/>
        <v>450.9573808070229</v>
      </c>
      <c r="BI33" s="59">
        <f ca="1">AVERAGE(OFFSET($BH$3,0,0,'Données projet'!$E$11+1,1))-AVERAGE(OFFSET($H$3,0,0,'Données projet'!$E$11+1,1))</f>
        <v>119.24399403036387</v>
      </c>
      <c r="BJ33" s="59">
        <f t="shared" si="38"/>
        <v>119.60076838354843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0.99974342758622103</v>
      </c>
      <c r="BS33" s="22">
        <f t="shared" si="9"/>
        <v>0.99974342758622103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54</v>
      </c>
      <c r="BW33" s="12">
        <f>VLOOKUP(A33,'Données projet'!$A$113:$I$133,9,0)</f>
        <v>3.6</v>
      </c>
      <c r="BX33" s="12">
        <f t="array" ref="BX33">INDEX(BW:BW,MIN(IF(ISNUMBER(BW33:BW229),ROW(BW33:BW229),"")))</f>
        <v>3.6</v>
      </c>
      <c r="BY33" s="12">
        <f>IF('Données projet'!$A$114&gt;35,BY32+BX33-CG32,IF(A33&lt;'Données projet'!$A$114,$BV$205^A33,IF(A33='Données projet'!$A$114,'Données projet'!$B$114,BY32+BX33-CG32)))</f>
        <v>54.000000000000007</v>
      </c>
      <c r="BZ33" s="13">
        <f>BY33*VLOOKUP('Données projet'!$B$12,Paramètres!$A$1:$I$89,3,0)*VLOOKUP('Données projet'!$B$12,Paramètres!$A$1:$I$89,5,0)</f>
        <v>52.228800000000007</v>
      </c>
      <c r="CA33" s="13">
        <f t="shared" si="39"/>
        <v>15.18788789973001</v>
      </c>
      <c r="CB33" s="20">
        <f t="shared" si="10"/>
        <v>117.41739809202979</v>
      </c>
      <c r="CC33" s="59">
        <f t="shared" si="11"/>
        <v>410.75073142536309</v>
      </c>
      <c r="CD33" s="59">
        <f ca="1">AVERAGE(OFFSET($CC$3,0,0,'Données projet'!$E$12+1,1))-AVERAGE(OFFSET($H$3,0,0,'Données projet'!$E$12+1,1))</f>
        <v>135.95692658150551</v>
      </c>
      <c r="CE33" s="59">
        <f t="shared" si="40"/>
        <v>79.394119001888612</v>
      </c>
      <c r="CF33" s="15">
        <f>IF(ISNA(VLOOKUP(A33,'Données projet'!$A$113:$I$133,3,0)),0,VLOOKUP(A33,'Données projet'!$A$113:$I$133,3,0))</f>
        <v>1</v>
      </c>
      <c r="CG33" s="15">
        <f>IF(ISNA(VLOOKUP(A33,'Données projet'!$A$113:$I$133,4,0)),0,VLOOKUP(A33,'Données projet'!$A$113:$I$133,4,0))</f>
        <v>9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54</v>
      </c>
      <c r="CR33" s="12">
        <f>VLOOKUP(A33,'Données projet'!$A$139:$I$159,9,0)</f>
        <v>3.6</v>
      </c>
      <c r="CS33" s="12">
        <f t="array" ref="CS33">INDEX(CR:CR,MIN(IF(ISNUMBER(CR33:CR229),ROW(CR33:CR229),"")))</f>
        <v>3.6</v>
      </c>
      <c r="CT33" s="12">
        <f>IF('Données projet'!$A$140&gt;35,CT32+CS33-DB32,IF(A33&lt;'Données projet'!$A$140,$CQ$205^A33,IF(A33='Données projet'!$A$140,'Données projet'!$B$140,CT32+CS33-DB32)))</f>
        <v>54.000000000000007</v>
      </c>
      <c r="CU33" s="17">
        <f>CT33*VLOOKUP('Données projet'!$B$13,Paramètres!$A$1:$I$89,3,0)*VLOOKUP('Données projet'!$B$13,Paramètres!$A$1:$I$89,5,0)</f>
        <v>58.125600000000013</v>
      </c>
      <c r="CV33" s="13">
        <f t="shared" si="41"/>
        <v>16.693490054590175</v>
      </c>
      <c r="CW33" s="20">
        <f t="shared" si="13"/>
        <v>130.30991517841125</v>
      </c>
      <c r="CX33" s="59">
        <f t="shared" si="14"/>
        <v>423.64324851174456</v>
      </c>
      <c r="CY33" s="59">
        <f ca="1">AVERAGE(OFFSET($CX$3,0,0,'Données projet'!$E$13+1,1))-AVERAGE(OFFSET($H$3,0,0,'Données projet'!$E$13+1,1))</f>
        <v>158.74837032815333</v>
      </c>
      <c r="CZ33" s="59">
        <f t="shared" si="42"/>
        <v>92.286636088270086</v>
      </c>
      <c r="DA33" s="15">
        <f>IF(ISNA(VLOOKUP(A33,'Données projet'!$A$139:$I$159,3,0)),0,VLOOKUP(A33,'Données projet'!$A$139:$I$159,3,0))</f>
        <v>1</v>
      </c>
      <c r="DB33" s="15">
        <f>IF(ISNA(VLOOKUP(A33,'Données projet'!$A$139:$I$159,4,0)),0,VLOOKUP(A33,'Données projet'!$A$139:$I$159,4,0))</f>
        <v>9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8.1999999999999993</v>
      </c>
      <c r="N34" s="13">
        <f>IF('Données projet'!$A$36&gt;35,N33+M34-V33,IF(A34&lt;'Données projet'!$A$36,$K$205^A34,IF(A34='Données projet'!$A$36,'Données projet'!$B$36,N33+M34-V33)))</f>
        <v>84.2</v>
      </c>
      <c r="O34" s="13">
        <f>N34*VLOOKUP('Données projet'!$B$9,Paramètres!$A$1:$I$89,3,0)*VLOOKUP('Données projet'!$B$9,Paramètres!$A$1:$I$89,5,0)</f>
        <v>70.930080000000004</v>
      </c>
      <c r="P34" s="13">
        <f t="shared" si="33"/>
        <v>19.904251483253447</v>
      </c>
      <c r="Q34" s="20">
        <f t="shared" si="2"/>
        <v>158.20312733333307</v>
      </c>
      <c r="R34" s="59">
        <f t="shared" si="0"/>
        <v>451.53646066666636</v>
      </c>
      <c r="S34" s="59">
        <f ca="1">AVERAGE(OFFSET($R$3,0,0,'Données projet'!$E$9+1,1))-AVERAGE(OFFSET($H$3,0,0,'Données projet'!$E$9+1,1))</f>
        <v>231.91408074258248</v>
      </c>
      <c r="T34" s="59">
        <f t="shared" si="34"/>
        <v>143.57726487417773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5.0389627791223548</v>
      </c>
      <c r="AC34" s="22">
        <f t="shared" si="3"/>
        <v>5.0389627791223548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8.1999999999999993</v>
      </c>
      <c r="AI34" s="13">
        <f>IF('Données projet'!$A$62&gt;35,AI33+AH34-AQ33,IF(A34&lt;'Données projet'!$A$62,$AF$205^A34,IF(A34='Données projet'!$A$62,'Données projet'!$B$62,AI33+AH34-AQ33)))</f>
        <v>84.2</v>
      </c>
      <c r="AJ34" s="13">
        <f>AI34*VLOOKUP('Données projet'!$B$10,Paramètres!$A$1:$I$89,3,0)*VLOOKUP('Données projet'!$B$10,Paramètres!$A$1:$I$89,5,0)</f>
        <v>76.184160000000006</v>
      </c>
      <c r="AK34" s="13">
        <f t="shared" si="35"/>
        <v>21.201554232857223</v>
      </c>
      <c r="AL34" s="20">
        <f t="shared" si="4"/>
        <v>169.613452288893</v>
      </c>
      <c r="AM34" s="59">
        <f t="shared" si="5"/>
        <v>462.94678562222634</v>
      </c>
      <c r="AN34" s="59">
        <f ca="1">AVERAGE(OFFSET($AM$3,0,0,'Données projet'!$E$10+1,1))-AVERAGE(OFFSET($H$3,0,0,'Données projet'!$E$10+1,1))</f>
        <v>253.16772905022714</v>
      </c>
      <c r="AO34" s="59">
        <f t="shared" si="36"/>
        <v>156.67965022779907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5.4122192812795662</v>
      </c>
      <c r="AX34" s="21">
        <f t="shared" si="6"/>
        <v>5.4122192812795662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9.2833333333333368</v>
      </c>
      <c r="BD34" s="12">
        <f>IF('Données projet'!$A$88&gt;35,BD33+BC34-BL33,IF(A34&lt;'Données projet'!$A$88,$BA$205^A34,IF(A34='Données projet'!$A$88,'Données projet'!$B$88,BD33+BC34-BL33)))</f>
        <v>127.44999999999999</v>
      </c>
      <c r="BE34" s="13">
        <f>BD34*VLOOKUP('Données projet'!$B$11,Paramètres!$A$1:$I$89,3,0)*VLOOKUP('Données projet'!$B$11,Paramètres!$A$1:$I$89,5,0)</f>
        <v>76.215099999999993</v>
      </c>
      <c r="BF34" s="13">
        <f t="shared" si="37"/>
        <v>21.209162202457978</v>
      </c>
      <c r="BG34" s="20">
        <f t="shared" si="7"/>
        <v>169.68059000261428</v>
      </c>
      <c r="BH34" s="59">
        <f t="shared" si="8"/>
        <v>463.0139233359476</v>
      </c>
      <c r="BI34" s="59">
        <f ca="1">AVERAGE(OFFSET($BH$3,0,0,'Données projet'!$E$11+1,1))-AVERAGE(OFFSET($H$3,0,0,'Données projet'!$E$11+1,1))</f>
        <v>119.24399403036387</v>
      </c>
      <c r="BJ34" s="59">
        <f t="shared" si="38"/>
        <v>119.60076838354843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0.70692535709289905</v>
      </c>
      <c r="BS34" s="22">
        <f t="shared" si="9"/>
        <v>0.70692535709289905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3.6</v>
      </c>
      <c r="BY34" s="12">
        <f>IF('Données projet'!$A$114&gt;35,BY33+BX34-CG33,IF(A34&lt;'Données projet'!$A$114,$BV$205^A34,IF(A34='Données projet'!$A$114,'Données projet'!$B$114,BY33+BX34-CG33)))</f>
        <v>48.600000000000009</v>
      </c>
      <c r="BZ34" s="13">
        <f>BY34*VLOOKUP('Données projet'!$B$12,Paramètres!$A$1:$I$89,3,0)*VLOOKUP('Données projet'!$B$12,Paramètres!$A$1:$I$89,5,0)</f>
        <v>47.00592000000001</v>
      </c>
      <c r="CA34" s="13">
        <f t="shared" si="39"/>
        <v>13.83776861377101</v>
      </c>
      <c r="CB34" s="20">
        <f t="shared" si="10"/>
        <v>105.9694243356512</v>
      </c>
      <c r="CC34" s="59">
        <f t="shared" si="11"/>
        <v>399.3027576689845</v>
      </c>
      <c r="CD34" s="59">
        <f ca="1">AVERAGE(OFFSET($CC$3,0,0,'Données projet'!$E$12+1,1))-AVERAGE(OFFSET($H$3,0,0,'Données projet'!$E$12+1,1))</f>
        <v>135.95692658150551</v>
      </c>
      <c r="CE34" s="59">
        <f t="shared" si="40"/>
        <v>79.394119001888612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3.6</v>
      </c>
      <c r="CT34" s="12">
        <f>IF('Données projet'!$A$140&gt;35,CT33+CS34-DB33,IF(A34&lt;'Données projet'!$A$140,$CQ$205^A34,IF(A34='Données projet'!$A$140,'Données projet'!$B$140,CT33+CS34-DB33)))</f>
        <v>48.600000000000009</v>
      </c>
      <c r="CU34" s="17">
        <f>CT34*VLOOKUP('Données projet'!$B$13,Paramètres!$A$1:$I$89,3,0)*VLOOKUP('Données projet'!$B$13,Paramètres!$A$1:$I$89,5,0)</f>
        <v>52.313040000000008</v>
      </c>
      <c r="CV34" s="13">
        <f t="shared" si="41"/>
        <v>15.209531059010045</v>
      </c>
      <c r="CW34" s="20">
        <f t="shared" si="13"/>
        <v>117.60181126110916</v>
      </c>
      <c r="CX34" s="59">
        <f t="shared" si="14"/>
        <v>410.93514459444248</v>
      </c>
      <c r="CY34" s="59">
        <f ca="1">AVERAGE(OFFSET($CX$3,0,0,'Données projet'!$E$13+1,1))-AVERAGE(OFFSET($H$3,0,0,'Données projet'!$E$13+1,1))</f>
        <v>158.74837032815333</v>
      </c>
      <c r="CZ34" s="59">
        <f t="shared" si="42"/>
        <v>92.286636088270086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8.1999999999999993</v>
      </c>
      <c r="N35" s="13">
        <f>IF('Données projet'!$A$36&gt;35,N34+M35-V34,IF(A35&lt;'Données projet'!$A$36,$K$205^A35,IF(A35='Données projet'!$A$36,'Données projet'!$B$36,N34+M35-V34)))</f>
        <v>92.4</v>
      </c>
      <c r="O35" s="13">
        <f>N35*VLOOKUP('Données projet'!$B$9,Paramètres!$A$1:$I$89,3,0)*VLOOKUP('Données projet'!$B$9,Paramètres!$A$1:$I$89,5,0)</f>
        <v>77.837760000000017</v>
      </c>
      <c r="P35" s="13">
        <f t="shared" si="33"/>
        <v>21.607665094033621</v>
      </c>
      <c r="Q35" s="20">
        <f t="shared" ref="Q35:Q66" si="53">(O35+P35)*0.475*44/12</f>
        <v>173.20078203877526</v>
      </c>
      <c r="R35" s="59">
        <f t="shared" si="0"/>
        <v>466.53411537210854</v>
      </c>
      <c r="S35" s="59">
        <f ca="1">AVERAGE(OFFSET($R$3,0,0,'Données projet'!$E$9+1,1))-AVERAGE(OFFSET($H$3,0,0,'Données projet'!$E$9+1,1))</f>
        <v>231.91408074258248</v>
      </c>
      <c r="T35" s="59">
        <f t="shared" si="34"/>
        <v>143.57726487417773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3.5630847512640287</v>
      </c>
      <c r="AC35" s="22">
        <f t="shared" si="3"/>
        <v>3.5630847512640287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8.1999999999999993</v>
      </c>
      <c r="AI35" s="13">
        <f>IF('Données projet'!$A$62&gt;35,AI34+AH35-AQ34,IF(A35&lt;'Données projet'!$A$62,$AF$205^A35,IF(A35='Données projet'!$A$62,'Données projet'!$B$62,AI34+AH35-AQ34)))</f>
        <v>92.4</v>
      </c>
      <c r="AJ35" s="13">
        <f>AI35*VLOOKUP('Données projet'!$B$10,Paramètres!$A$1:$I$89,3,0)*VLOOKUP('Données projet'!$B$10,Paramètres!$A$1:$I$89,5,0)</f>
        <v>83.603520000000003</v>
      </c>
      <c r="AK35" s="13">
        <f t="shared" si="35"/>
        <v>23.0159915192997</v>
      </c>
      <c r="AL35" s="20">
        <f t="shared" si="4"/>
        <v>185.69564922944699</v>
      </c>
      <c r="AM35" s="59">
        <f t="shared" si="5"/>
        <v>479.0289825627803</v>
      </c>
      <c r="AN35" s="59">
        <f ca="1">AVERAGE(OFFSET($AM$3,0,0,'Données projet'!$E$10+1,1))-AVERAGE(OFFSET($H$3,0,0,'Données projet'!$E$10+1,1))</f>
        <v>253.16772905022714</v>
      </c>
      <c r="AO35" s="59">
        <f t="shared" si="36"/>
        <v>156.67965022779907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3.8270169550613642</v>
      </c>
      <c r="AX35" s="21">
        <f t="shared" si="6"/>
        <v>3.8270169550613642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9.2833333333333368</v>
      </c>
      <c r="BD35" s="12">
        <f>IF('Données projet'!$A$88&gt;35,BD34+BC35-BL34,IF(A35&lt;'Données projet'!$A$88,$BA$205^A35,IF(A35='Données projet'!$A$88,'Données projet'!$B$88,BD34+BC35-BL34)))</f>
        <v>136.73333333333332</v>
      </c>
      <c r="BE35" s="13">
        <f>BD35*VLOOKUP('Données projet'!$B$11,Paramètres!$A$1:$I$89,3,0)*VLOOKUP('Données projet'!$B$11,Paramètres!$A$1:$I$89,5,0)</f>
        <v>81.766533333333328</v>
      </c>
      <c r="BF35" s="13">
        <f t="shared" si="37"/>
        <v>22.568560129394299</v>
      </c>
      <c r="BG35" s="20">
        <f t="shared" si="7"/>
        <v>181.71695444758393</v>
      </c>
      <c r="BH35" s="59">
        <f t="shared" si="8"/>
        <v>475.05028778091724</v>
      </c>
      <c r="BI35" s="59">
        <f ca="1">AVERAGE(OFFSET($BH$3,0,0,'Données projet'!$E$11+1,1))-AVERAGE(OFFSET($H$3,0,0,'Données projet'!$E$11+1,1))</f>
        <v>119.24399403036387</v>
      </c>
      <c r="BJ35" s="59">
        <f t="shared" si="38"/>
        <v>119.60076838354843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0.49987171379311057</v>
      </c>
      <c r="BS35" s="22">
        <f t="shared" si="9"/>
        <v>0.49987171379311057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3.6</v>
      </c>
      <c r="BY35" s="12">
        <f>IF('Données projet'!$A$114&gt;35,BY34+BX35-CG34,IF(A35&lt;'Données projet'!$A$114,$BV$205^A35,IF(A35='Données projet'!$A$114,'Données projet'!$B$114,BY34+BX35-CG34)))</f>
        <v>52.20000000000001</v>
      </c>
      <c r="BZ35" s="13">
        <f>BY35*VLOOKUP('Données projet'!$B$12,Paramètres!$A$1:$I$89,3,0)*VLOOKUP('Données projet'!$B$12,Paramètres!$A$1:$I$89,5,0)</f>
        <v>50.487840000000006</v>
      </c>
      <c r="CA35" s="13">
        <f t="shared" si="39"/>
        <v>14.73967518815938</v>
      </c>
      <c r="CB35" s="20">
        <f t="shared" si="10"/>
        <v>113.60458895271091</v>
      </c>
      <c r="CC35" s="59">
        <f t="shared" si="11"/>
        <v>406.93792228604423</v>
      </c>
      <c r="CD35" s="59">
        <f ca="1">AVERAGE(OFFSET($CC$3,0,0,'Données projet'!$E$12+1,1))-AVERAGE(OFFSET($H$3,0,0,'Données projet'!$E$12+1,1))</f>
        <v>135.95692658150551</v>
      </c>
      <c r="CE35" s="59">
        <f t="shared" si="40"/>
        <v>79.394119001888612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3.6</v>
      </c>
      <c r="CT35" s="12">
        <f>IF('Données projet'!$A$140&gt;35,CT34+CS35-DB34,IF(A35&lt;'Données projet'!$A$140,$CQ$205^A35,IF(A35='Données projet'!$A$140,'Données projet'!$B$140,CT34+CS35-DB34)))</f>
        <v>52.20000000000001</v>
      </c>
      <c r="CU35" s="17">
        <f>CT35*VLOOKUP('Données projet'!$B$13,Paramètres!$A$1:$I$89,3,0)*VLOOKUP('Données projet'!$B$13,Paramètres!$A$1:$I$89,5,0)</f>
        <v>56.188080000000006</v>
      </c>
      <c r="CV35" s="13">
        <f t="shared" si="41"/>
        <v>16.200845225214124</v>
      </c>
      <c r="CW35" s="20">
        <f t="shared" si="13"/>
        <v>126.0773781005813</v>
      </c>
      <c r="CX35" s="59">
        <f t="shared" si="14"/>
        <v>419.41071143391463</v>
      </c>
      <c r="CY35" s="59">
        <f ca="1">AVERAGE(OFFSET($CX$3,0,0,'Données projet'!$E$13+1,1))-AVERAGE(OFFSET($H$3,0,0,'Données projet'!$E$13+1,1))</f>
        <v>158.74837032815333</v>
      </c>
      <c r="CZ35" s="59">
        <f t="shared" si="42"/>
        <v>92.286636088270086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8.1999999999999993</v>
      </c>
      <c r="N36" s="13">
        <f>IF('Données projet'!$A$36&gt;35,N35+M36-V35,IF(A36&lt;'Données projet'!$A$36,$K$205^A36,IF(A36='Données projet'!$A$36,'Données projet'!$B$36,N35+M36-V35)))</f>
        <v>100.60000000000001</v>
      </c>
      <c r="O36" s="13">
        <f>N36*VLOOKUP('Données projet'!$B$9,Paramètres!$A$1:$I$89,3,0)*VLOOKUP('Données projet'!$B$9,Paramètres!$A$1:$I$89,5,0)</f>
        <v>84.745440000000016</v>
      </c>
      <c r="P36" s="13">
        <f t="shared" si="33"/>
        <v>23.293548964150126</v>
      </c>
      <c r="Q36" s="20">
        <f t="shared" si="53"/>
        <v>188.16790577922816</v>
      </c>
      <c r="R36" s="59">
        <f t="shared" si="0"/>
        <v>481.50123911256151</v>
      </c>
      <c r="S36" s="59">
        <f ca="1">AVERAGE(OFFSET($R$3,0,0,'Données projet'!$E$9+1,1))-AVERAGE(OFFSET($H$3,0,0,'Données projet'!$E$9+1,1))</f>
        <v>231.91408074258248</v>
      </c>
      <c r="T36" s="59">
        <f t="shared" si="34"/>
        <v>143.57726487417773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2.5194813895611778</v>
      </c>
      <c r="AC36" s="22">
        <f t="shared" si="3"/>
        <v>2.5194813895611778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8.1999999999999993</v>
      </c>
      <c r="AI36" s="13">
        <f>IF('Données projet'!$A$62&gt;35,AI35+AH36-AQ35,IF(A36&lt;'Données projet'!$A$62,$AF$205^A36,IF(A36='Données projet'!$A$62,'Données projet'!$B$62,AI35+AH36-AQ35)))</f>
        <v>100.60000000000001</v>
      </c>
      <c r="AJ36" s="13">
        <f>AI36*VLOOKUP('Données projet'!$B$10,Paramètres!$A$1:$I$89,3,0)*VLOOKUP('Données projet'!$B$10,Paramètres!$A$1:$I$89,5,0)</f>
        <v>91.022880000000001</v>
      </c>
      <c r="AK36" s="13">
        <f t="shared" si="35"/>
        <v>24.811756526220293</v>
      </c>
      <c r="AL36" s="20">
        <f t="shared" si="4"/>
        <v>201.74532528316698</v>
      </c>
      <c r="AM36" s="59">
        <f t="shared" si="5"/>
        <v>495.07865861650032</v>
      </c>
      <c r="AN36" s="59">
        <f ca="1">AVERAGE(OFFSET($AM$3,0,0,'Données projet'!$E$10+1,1))-AVERAGE(OFFSET($H$3,0,0,'Données projet'!$E$10+1,1))</f>
        <v>253.16772905022714</v>
      </c>
      <c r="AO36" s="59">
        <f t="shared" si="36"/>
        <v>156.67965022779907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2.7061096406397835</v>
      </c>
      <c r="AX36" s="21">
        <f t="shared" si="6"/>
        <v>2.7061096406397835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9.2833333333333368</v>
      </c>
      <c r="BD36" s="12">
        <f>IF('Données projet'!$A$88&gt;35,BD35+BC36-BL35,IF(A36&lt;'Données projet'!$A$88,$BA$205^A36,IF(A36='Données projet'!$A$88,'Données projet'!$B$88,BD35+BC36-BL35)))</f>
        <v>146.01666666666665</v>
      </c>
      <c r="BE36" s="13">
        <f>BD36*VLOOKUP('Données projet'!$B$11,Paramètres!$A$1:$I$89,3,0)*VLOOKUP('Données projet'!$B$11,Paramètres!$A$1:$I$89,5,0)</f>
        <v>87.317966666666663</v>
      </c>
      <c r="BF36" s="13">
        <f t="shared" si="37"/>
        <v>23.917248625442834</v>
      </c>
      <c r="BG36" s="20">
        <f t="shared" si="7"/>
        <v>193.73466663375737</v>
      </c>
      <c r="BH36" s="59">
        <f t="shared" si="8"/>
        <v>487.06799996709071</v>
      </c>
      <c r="BI36" s="59">
        <f ca="1">AVERAGE(OFFSET($BH$3,0,0,'Données projet'!$E$11+1,1))-AVERAGE(OFFSET($H$3,0,0,'Données projet'!$E$11+1,1))</f>
        <v>119.24399403036387</v>
      </c>
      <c r="BJ36" s="59">
        <f t="shared" si="38"/>
        <v>119.60076838354843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0.35346267854644958</v>
      </c>
      <c r="BS36" s="22">
        <f t="shared" si="9"/>
        <v>0.35346267854644958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3.6</v>
      </c>
      <c r="BY36" s="12">
        <f>IF('Données projet'!$A$114&gt;35,BY35+BX36-CG35,IF(A36&lt;'Données projet'!$A$114,$BV$205^A36,IF(A36='Données projet'!$A$114,'Données projet'!$B$114,BY35+BX36-CG35)))</f>
        <v>55.800000000000011</v>
      </c>
      <c r="BZ36" s="13">
        <f>BY36*VLOOKUP('Données projet'!$B$12,Paramètres!$A$1:$I$89,3,0)*VLOOKUP('Données projet'!$B$12,Paramètres!$A$1:$I$89,5,0)</f>
        <v>53.969760000000008</v>
      </c>
      <c r="CA36" s="13">
        <f t="shared" si="39"/>
        <v>15.634364575776658</v>
      </c>
      <c r="CB36" s="20">
        <f t="shared" si="10"/>
        <v>121.22718363614437</v>
      </c>
      <c r="CC36" s="59">
        <f t="shared" si="11"/>
        <v>414.5605169694777</v>
      </c>
      <c r="CD36" s="59">
        <f ca="1">AVERAGE(OFFSET($CC$3,0,0,'Données projet'!$E$12+1,1))-AVERAGE(OFFSET($H$3,0,0,'Données projet'!$E$12+1,1))</f>
        <v>135.95692658150551</v>
      </c>
      <c r="CE36" s="59">
        <f t="shared" si="40"/>
        <v>79.394119001888612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3.6</v>
      </c>
      <c r="CT36" s="12">
        <f>IF('Données projet'!$A$140&gt;35,CT35+CS36-DB35,IF(A36&lt;'Données projet'!$A$140,$CQ$205^A36,IF(A36='Données projet'!$A$140,'Données projet'!$B$140,CT35+CS36-DB35)))</f>
        <v>55.800000000000011</v>
      </c>
      <c r="CU36" s="17">
        <f>CT36*VLOOKUP('Données projet'!$B$13,Paramètres!$A$1:$I$89,3,0)*VLOOKUP('Données projet'!$B$13,Paramètres!$A$1:$I$89,5,0)</f>
        <v>60.063120000000005</v>
      </c>
      <c r="CV36" s="13">
        <f t="shared" si="41"/>
        <v>17.184226752174279</v>
      </c>
      <c r="CW36" s="20">
        <f t="shared" si="13"/>
        <v>134.53912892670354</v>
      </c>
      <c r="CX36" s="59">
        <f t="shared" si="14"/>
        <v>427.87246226003685</v>
      </c>
      <c r="CY36" s="59">
        <f ca="1">AVERAGE(OFFSET($CX$3,0,0,'Données projet'!$E$13+1,1))-AVERAGE(OFFSET($H$3,0,0,'Données projet'!$E$13+1,1))</f>
        <v>158.74837032815333</v>
      </c>
      <c r="CZ36" s="59">
        <f t="shared" si="42"/>
        <v>92.286636088270086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8.1999999999999993</v>
      </c>
      <c r="N37" s="13">
        <f>IF('Données projet'!$A$36&gt;35,N36+M37-V36,IF(A37&lt;'Données projet'!$A$36,$K$205^A37,IF(A37='Données projet'!$A$36,'Données projet'!$B$36,N36+M37-V36)))</f>
        <v>108.80000000000001</v>
      </c>
      <c r="O37" s="13">
        <f>N37*VLOOKUP('Données projet'!$B$9,Paramètres!$A$1:$I$89,3,0)*VLOOKUP('Données projet'!$B$9,Paramètres!$A$1:$I$89,5,0)</f>
        <v>91.653120000000015</v>
      </c>
      <c r="P37" s="13">
        <f t="shared" si="33"/>
        <v>24.963494406608529</v>
      </c>
      <c r="Q37" s="20">
        <f t="shared" si="53"/>
        <v>203.10727009150989</v>
      </c>
      <c r="R37" s="59">
        <f t="shared" si="0"/>
        <v>496.44060342484318</v>
      </c>
      <c r="S37" s="59">
        <f ca="1">AVERAGE(OFFSET($R$3,0,0,'Données projet'!$E$9+1,1))-AVERAGE(OFFSET($H$3,0,0,'Données projet'!$E$9+1,1))</f>
        <v>231.91408074258248</v>
      </c>
      <c r="T37" s="59">
        <f t="shared" si="34"/>
        <v>143.57726487417773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1.7815423756320146</v>
      </c>
      <c r="AC37" s="22">
        <f t="shared" si="3"/>
        <v>1.7815423756320146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8.1999999999999993</v>
      </c>
      <c r="AI37" s="13">
        <f>IF('Données projet'!$A$62&gt;35,AI36+AH37-AQ36,IF(A37&lt;'Données projet'!$A$62,$AF$205^A37,IF(A37='Données projet'!$A$62,'Données projet'!$B$62,AI36+AH37-AQ36)))</f>
        <v>108.80000000000001</v>
      </c>
      <c r="AJ37" s="13">
        <f>AI37*VLOOKUP('Données projet'!$B$10,Paramètres!$A$1:$I$89,3,0)*VLOOKUP('Données projet'!$B$10,Paramètres!$A$1:$I$89,5,0)</f>
        <v>98.442239999999998</v>
      </c>
      <c r="AK37" s="13">
        <f t="shared" si="35"/>
        <v>26.590544283900247</v>
      </c>
      <c r="AL37" s="20">
        <f t="shared" si="4"/>
        <v>217.76543262779288</v>
      </c>
      <c r="AM37" s="59">
        <f t="shared" si="5"/>
        <v>511.09876596112622</v>
      </c>
      <c r="AN37" s="59">
        <f ca="1">AVERAGE(OFFSET($AM$3,0,0,'Données projet'!$E$10+1,1))-AVERAGE(OFFSET($H$3,0,0,'Données projet'!$E$10+1,1))</f>
        <v>253.16772905022714</v>
      </c>
      <c r="AO37" s="59">
        <f t="shared" si="36"/>
        <v>156.67965022779907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1.9135084775306823</v>
      </c>
      <c r="AX37" s="21">
        <f t="shared" si="6"/>
        <v>1.9135084775306823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>
        <f>VLOOKUP(A37,'Données projet'!$A$87:$I$107,2,0)</f>
        <v>155.30000000000001</v>
      </c>
      <c r="BB37" s="12">
        <f>VLOOKUP(A37,'Données projet'!$A$87:$I$107,9,0)</f>
        <v>9.2833333333333368</v>
      </c>
      <c r="BC37" s="12">
        <f t="array" ref="BC37">INDEX(BB:BB,MIN(IF(ISNUMBER(BB37:BB233),ROW(BB37:BB233),"")))</f>
        <v>9.2833333333333368</v>
      </c>
      <c r="BD37" s="12">
        <f>IF('Données projet'!$A$88&gt;35,BD36+BC37-BL36,IF(A37&lt;'Données projet'!$A$88,$BA$205^A37,IF(A37='Données projet'!$A$88,'Données projet'!$B$88,BD36+BC37-BL36)))</f>
        <v>155.29999999999998</v>
      </c>
      <c r="BE37" s="13">
        <f>BD37*VLOOKUP('Données projet'!$B$11,Paramètres!$A$1:$I$89,3,0)*VLOOKUP('Données projet'!$B$11,Paramètres!$A$1:$I$89,5,0)</f>
        <v>92.869399999999985</v>
      </c>
      <c r="BF37" s="13">
        <f t="shared" si="37"/>
        <v>25.255986068569758</v>
      </c>
      <c r="BG37" s="20">
        <f t="shared" si="7"/>
        <v>205.73504740275897</v>
      </c>
      <c r="BH37" s="59">
        <f t="shared" si="8"/>
        <v>499.06838073609231</v>
      </c>
      <c r="BI37" s="59">
        <f ca="1">AVERAGE(OFFSET($BH$3,0,0,'Données projet'!$E$11+1,1))-AVERAGE(OFFSET($H$3,0,0,'Données projet'!$E$11+1,1))</f>
        <v>119.24399403036387</v>
      </c>
      <c r="BJ37" s="59">
        <f t="shared" si="38"/>
        <v>119.60076838354843</v>
      </c>
      <c r="BK37" s="15">
        <f>IF(ISNA(VLOOKUP(A37,'Données projet'!$A$87:$I$107,3,0)),0,VLOOKUP(A37,'Données projet'!$A$87:$I$107,3,0))</f>
        <v>5</v>
      </c>
      <c r="BL37" s="15">
        <f>IF(ISNA(VLOOKUP(A37,'Données projet'!$A$87:$I$107,4,0)),0,VLOOKUP(A37,'Données projet'!$A$87:$I$107,4,0))</f>
        <v>38.299999999999997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0.24993585689655534</v>
      </c>
      <c r="BS37" s="22">
        <f t="shared" si="9"/>
        <v>0.24993585689655534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3.6</v>
      </c>
      <c r="BY37" s="12">
        <f>IF('Données projet'!$A$114&gt;35,BY36+BX37-CG36,IF(A37&lt;'Données projet'!$A$114,$BV$205^A37,IF(A37='Données projet'!$A$114,'Données projet'!$B$114,BY36+BX37-CG36)))</f>
        <v>59.400000000000013</v>
      </c>
      <c r="BZ37" s="13">
        <f>BY37*VLOOKUP('Données projet'!$B$12,Paramètres!$A$1:$I$89,3,0)*VLOOKUP('Données projet'!$B$12,Paramètres!$A$1:$I$89,5,0)</f>
        <v>57.451680000000017</v>
      </c>
      <c r="CA37" s="13">
        <f t="shared" si="39"/>
        <v>16.522355395881359</v>
      </c>
      <c r="CB37" s="20">
        <f t="shared" si="10"/>
        <v>128.83811164782671</v>
      </c>
      <c r="CC37" s="59">
        <f t="shared" si="11"/>
        <v>422.17144498115999</v>
      </c>
      <c r="CD37" s="59">
        <f ca="1">AVERAGE(OFFSET($CC$3,0,0,'Données projet'!$E$12+1,1))-AVERAGE(OFFSET($H$3,0,0,'Données projet'!$E$12+1,1))</f>
        <v>135.95692658150551</v>
      </c>
      <c r="CE37" s="59">
        <f t="shared" si="40"/>
        <v>79.394119001888612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3.6</v>
      </c>
      <c r="CT37" s="12">
        <f>IF('Données projet'!$A$140&gt;35,CT36+CS37-DB36,IF(A37&lt;'Données projet'!$A$140,$CQ$205^A37,IF(A37='Données projet'!$A$140,'Données projet'!$B$140,CT36+CS37-DB36)))</f>
        <v>59.400000000000013</v>
      </c>
      <c r="CU37" s="17">
        <f>CT37*VLOOKUP('Données projet'!$B$13,Paramètres!$A$1:$I$89,3,0)*VLOOKUP('Données projet'!$B$13,Paramètres!$A$1:$I$89,5,0)</f>
        <v>63.938160000000011</v>
      </c>
      <c r="CV37" s="13">
        <f t="shared" si="41"/>
        <v>18.160245670792243</v>
      </c>
      <c r="CW37" s="20">
        <f t="shared" si="13"/>
        <v>142.98805654329652</v>
      </c>
      <c r="CX37" s="59">
        <f t="shared" si="14"/>
        <v>436.32138987662984</v>
      </c>
      <c r="CY37" s="59">
        <f ca="1">AVERAGE(OFFSET($CX$3,0,0,'Données projet'!$E$13+1,1))-AVERAGE(OFFSET($H$3,0,0,'Données projet'!$E$13+1,1))</f>
        <v>158.74837032815333</v>
      </c>
      <c r="CZ37" s="59">
        <f t="shared" si="42"/>
        <v>92.286636088270086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8.1999999999999993</v>
      </c>
      <c r="N38" s="13">
        <f>IF('Données projet'!$A$36&gt;35,N37+M38-V37,IF(A38&lt;'Données projet'!$A$36,$K$205^A38,IF(A38='Données projet'!$A$36,'Données projet'!$B$36,N37+M38-V37)))</f>
        <v>117.00000000000001</v>
      </c>
      <c r="O38" s="13">
        <f>N38*VLOOKUP('Données projet'!$B$9,Paramètres!$A$1:$I$89,3,0)*VLOOKUP('Données projet'!$B$9,Paramètres!$A$1:$I$89,5,0)</f>
        <v>98.560800000000029</v>
      </c>
      <c r="P38" s="13">
        <f t="shared" si="33"/>
        <v>26.618839252010222</v>
      </c>
      <c r="Q38" s="20">
        <f t="shared" si="53"/>
        <v>218.0212050305845</v>
      </c>
      <c r="R38" s="59">
        <f t="shared" si="0"/>
        <v>511.35453836391781</v>
      </c>
      <c r="S38" s="59">
        <f ca="1">AVERAGE(OFFSET($R$3,0,0,'Données projet'!$E$9+1,1))-AVERAGE(OFFSET($H$3,0,0,'Données projet'!$E$9+1,1))</f>
        <v>231.91408074258248</v>
      </c>
      <c r="T38" s="59">
        <f t="shared" si="34"/>
        <v>143.57726487417773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1.2597406947805891</v>
      </c>
      <c r="AC38" s="22">
        <f t="shared" si="3"/>
        <v>1.2597406947805891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8.1999999999999993</v>
      </c>
      <c r="AI38" s="13">
        <f>IF('Données projet'!$A$62&gt;35,AI37+AH38-AQ37,IF(A38&lt;'Données projet'!$A$62,$AF$205^A38,IF(A38='Données projet'!$A$62,'Données projet'!$B$62,AI37+AH38-AQ37)))</f>
        <v>117.00000000000001</v>
      </c>
      <c r="AJ38" s="13">
        <f>AI38*VLOOKUP('Données projet'!$B$10,Paramètres!$A$1:$I$89,3,0)*VLOOKUP('Données projet'!$B$10,Paramètres!$A$1:$I$89,5,0)</f>
        <v>105.8616</v>
      </c>
      <c r="AK38" s="13">
        <f t="shared" si="35"/>
        <v>28.353779818951288</v>
      </c>
      <c r="AL38" s="20">
        <f t="shared" si="4"/>
        <v>233.75845318467347</v>
      </c>
      <c r="AM38" s="59">
        <f t="shared" si="5"/>
        <v>527.09178651800676</v>
      </c>
      <c r="AN38" s="59">
        <f ca="1">AVERAGE(OFFSET($AM$3,0,0,'Données projet'!$E$10+1,1))-AVERAGE(OFFSET($H$3,0,0,'Données projet'!$E$10+1,1))</f>
        <v>253.16772905022714</v>
      </c>
      <c r="AO38" s="59">
        <f t="shared" si="36"/>
        <v>156.67965022779907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1.353054820319892</v>
      </c>
      <c r="AX38" s="21">
        <f t="shared" si="6"/>
        <v>1.353054820319892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11.099999999999996</v>
      </c>
      <c r="BD38" s="12">
        <f>IF('Données projet'!$A$88&gt;35,BD37+BC38-BL37,IF(A38&lt;'Données projet'!$A$88,$BA$205^A38,IF(A38='Données projet'!$A$88,'Données projet'!$B$88,BD37+BC38-BL37)))</f>
        <v>128.09999999999997</v>
      </c>
      <c r="BE38" s="13">
        <f>BD38*VLOOKUP('Données projet'!$B$11,Paramètres!$A$1:$I$89,3,0)*VLOOKUP('Données projet'!$B$11,Paramètres!$A$1:$I$89,5,0)</f>
        <v>76.603799999999993</v>
      </c>
      <c r="BF38" s="13">
        <f t="shared" si="37"/>
        <v>21.304710742203991</v>
      </c>
      <c r="BG38" s="20">
        <f t="shared" si="7"/>
        <v>170.52398954267196</v>
      </c>
      <c r="BH38" s="59">
        <f t="shared" si="8"/>
        <v>463.85732287600524</v>
      </c>
      <c r="BI38" s="59">
        <f ca="1">AVERAGE(OFFSET($BH$3,0,0,'Données projet'!$E$11+1,1))-AVERAGE(OFFSET($H$3,0,0,'Données projet'!$E$11+1,1))</f>
        <v>119.24399403036387</v>
      </c>
      <c r="BJ38" s="59">
        <f t="shared" si="38"/>
        <v>119.60076838354843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0.17673133927322482</v>
      </c>
      <c r="BS38" s="22">
        <f t="shared" si="9"/>
        <v>0.17673133927322482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63</v>
      </c>
      <c r="BW38" s="12">
        <f>VLOOKUP(A38,'Données projet'!$A$113:$I$133,9,0)</f>
        <v>3.6</v>
      </c>
      <c r="BX38" s="12">
        <f t="array" ref="BX38">INDEX(BW:BW,MIN(IF(ISNUMBER(BW38:BW234),ROW(BW38:BW234),"")))</f>
        <v>3.6</v>
      </c>
      <c r="BY38" s="12">
        <f>IF('Données projet'!$A$114&gt;35,BY37+BX38-CG37,IF(A38&lt;'Données projet'!$A$114,$BV$205^A38,IF(A38='Données projet'!$A$114,'Données projet'!$B$114,BY37+BX38-CG37)))</f>
        <v>63.000000000000014</v>
      </c>
      <c r="BZ38" s="13">
        <f>BY38*VLOOKUP('Données projet'!$B$12,Paramètres!$A$1:$I$89,3,0)*VLOOKUP('Données projet'!$B$12,Paramètres!$A$1:$I$89,5,0)</f>
        <v>60.93360000000002</v>
      </c>
      <c r="CA38" s="13">
        <f t="shared" si="39"/>
        <v>17.404099852856145</v>
      </c>
      <c r="CB38" s="20">
        <f t="shared" si="10"/>
        <v>136.4381605770578</v>
      </c>
      <c r="CC38" s="59">
        <f t="shared" si="11"/>
        <v>429.77149391039109</v>
      </c>
      <c r="CD38" s="59">
        <f ca="1">AVERAGE(OFFSET($CC$3,0,0,'Données projet'!$E$12+1,1))-AVERAGE(OFFSET($H$3,0,0,'Données projet'!$E$12+1,1))</f>
        <v>135.95692658150551</v>
      </c>
      <c r="CE38" s="59">
        <f t="shared" si="40"/>
        <v>79.394119001888612</v>
      </c>
      <c r="CF38" s="15">
        <f>IF(ISNA(VLOOKUP(A38,'Données projet'!$A$113:$I$133,3,0)),0,VLOOKUP(A38,'Données projet'!$A$113:$I$133,3,0))</f>
        <v>2</v>
      </c>
      <c r="CG38" s="15">
        <f>IF(ISNA(VLOOKUP(A38,'Données projet'!$A$113:$I$133,4,0)),0,VLOOKUP(A38,'Données projet'!$A$113:$I$133,4,0))</f>
        <v>8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63</v>
      </c>
      <c r="CR38" s="12">
        <f>VLOOKUP(A38,'Données projet'!$A$139:$I$159,9,0)</f>
        <v>3.6</v>
      </c>
      <c r="CS38" s="12">
        <f t="array" ref="CS38">INDEX(CR:CR,MIN(IF(ISNUMBER(CR38:CR234),ROW(CR38:CR234),"")))</f>
        <v>3.6</v>
      </c>
      <c r="CT38" s="12">
        <f>IF('Données projet'!$A$140&gt;35,CT37+CS38-DB37,IF(A38&lt;'Données projet'!$A$140,$CQ$205^A38,IF(A38='Données projet'!$A$140,'Données projet'!$B$140,CT37+CS38-DB37)))</f>
        <v>63.000000000000014</v>
      </c>
      <c r="CU38" s="17">
        <f>CT38*VLOOKUP('Données projet'!$B$13,Paramètres!$A$1:$I$89,3,0)*VLOOKUP('Données projet'!$B$13,Paramètres!$A$1:$I$89,5,0)</f>
        <v>67.813200000000009</v>
      </c>
      <c r="CV38" s="13">
        <f t="shared" si="41"/>
        <v>19.12939901326985</v>
      </c>
      <c r="CW38" s="20">
        <f t="shared" si="13"/>
        <v>151.42502661477832</v>
      </c>
      <c r="CX38" s="59">
        <f t="shared" si="14"/>
        <v>444.75835994811166</v>
      </c>
      <c r="CY38" s="59">
        <f ca="1">AVERAGE(OFFSET($CX$3,0,0,'Données projet'!$E$13+1,1))-AVERAGE(OFFSET($H$3,0,0,'Données projet'!$E$13+1,1))</f>
        <v>158.74837032815333</v>
      </c>
      <c r="CZ38" s="59">
        <f t="shared" si="42"/>
        <v>92.286636088270086</v>
      </c>
      <c r="DA38" s="15">
        <f>IF(ISNA(VLOOKUP(A38,'Données projet'!$A$139:$I$159,3,0)),0,VLOOKUP(A38,'Données projet'!$A$139:$I$159,3,0))</f>
        <v>2</v>
      </c>
      <c r="DB38" s="15">
        <f>IF(ISNA(VLOOKUP(A38,'Données projet'!$A$139:$I$159,4,0)),0,VLOOKUP(A38,'Données projet'!$A$139:$I$159,4,0))</f>
        <v>8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8.1999999999999993</v>
      </c>
      <c r="N39" s="13">
        <f>IF('Données projet'!$A$36&gt;35,N38+M39-V38,IF(A39&lt;'Données projet'!$A$36,$K$205^A39,IF(A39='Données projet'!$A$36,'Données projet'!$B$36,N38+M39-V38)))</f>
        <v>125.20000000000002</v>
      </c>
      <c r="O39" s="13">
        <f>N39*VLOOKUP('Données projet'!$B$9,Paramètres!$A$1:$I$89,3,0)*VLOOKUP('Données projet'!$B$9,Paramètres!$A$1:$I$89,5,0)</f>
        <v>105.46848000000003</v>
      </c>
      <c r="P39" s="13">
        <f t="shared" si="33"/>
        <v>28.260723185270692</v>
      </c>
      <c r="Q39" s="20">
        <f t="shared" si="53"/>
        <v>232.91169554767978</v>
      </c>
      <c r="R39" s="59">
        <f t="shared" si="0"/>
        <v>526.24502888101313</v>
      </c>
      <c r="S39" s="59">
        <f ca="1">AVERAGE(OFFSET($R$3,0,0,'Données projet'!$E$9+1,1))-AVERAGE(OFFSET($H$3,0,0,'Données projet'!$E$9+1,1))</f>
        <v>231.91408074258248</v>
      </c>
      <c r="T39" s="59">
        <f t="shared" si="34"/>
        <v>143.57726487417773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0.8907711878160075</v>
      </c>
      <c r="AC39" s="22">
        <f t="shared" si="3"/>
        <v>0.8907711878160075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8.1999999999999993</v>
      </c>
      <c r="AI39" s="13">
        <f>IF('Données projet'!$A$62&gt;35,AI38+AH39-AQ38,IF(A39&lt;'Données projet'!$A$62,$AF$205^A39,IF(A39='Données projet'!$A$62,'Données projet'!$B$62,AI38+AH39-AQ38)))</f>
        <v>125.20000000000002</v>
      </c>
      <c r="AJ39" s="13">
        <f>AI39*VLOOKUP('Données projet'!$B$10,Paramètres!$A$1:$I$89,3,0)*VLOOKUP('Données projet'!$B$10,Paramètres!$A$1:$I$89,5,0)</f>
        <v>113.28096000000001</v>
      </c>
      <c r="AK39" s="13">
        <f t="shared" si="35"/>
        <v>30.102677097724484</v>
      </c>
      <c r="AL39" s="20">
        <f t="shared" si="4"/>
        <v>249.7265012785368</v>
      </c>
      <c r="AM39" s="59">
        <f t="shared" si="5"/>
        <v>543.05983461187009</v>
      </c>
      <c r="AN39" s="59">
        <f ca="1">AVERAGE(OFFSET($AM$3,0,0,'Données projet'!$E$10+1,1))-AVERAGE(OFFSET($H$3,0,0,'Données projet'!$E$10+1,1))</f>
        <v>253.16772905022714</v>
      </c>
      <c r="AO39" s="59">
        <f t="shared" si="36"/>
        <v>156.67965022779907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0.95675423876534127</v>
      </c>
      <c r="AX39" s="21">
        <f t="shared" si="6"/>
        <v>0.95675423876534127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11.099999999999996</v>
      </c>
      <c r="BD39" s="12">
        <f>IF('Données projet'!$A$88&gt;35,BD38+BC39-BL38,IF(A39&lt;'Données projet'!$A$88,$BA$205^A39,IF(A39='Données projet'!$A$88,'Données projet'!$B$88,BD38+BC39-BL38)))</f>
        <v>139.19999999999996</v>
      </c>
      <c r="BE39" s="13">
        <f>BD39*VLOOKUP('Données projet'!$B$11,Paramètres!$A$1:$I$89,3,0)*VLOOKUP('Données projet'!$B$11,Paramètres!$A$1:$I$89,5,0)</f>
        <v>83.241599999999977</v>
      </c>
      <c r="BF39" s="13">
        <f t="shared" si="37"/>
        <v>22.927930643846508</v>
      </c>
      <c r="BG39" s="20">
        <f t="shared" si="7"/>
        <v>184.9119325380326</v>
      </c>
      <c r="BH39" s="59">
        <f t="shared" si="8"/>
        <v>478.24526587136592</v>
      </c>
      <c r="BI39" s="59">
        <f ca="1">AVERAGE(OFFSET($BH$3,0,0,'Données projet'!$E$11+1,1))-AVERAGE(OFFSET($H$3,0,0,'Données projet'!$E$11+1,1))</f>
        <v>119.24399403036387</v>
      </c>
      <c r="BJ39" s="59">
        <f t="shared" si="38"/>
        <v>119.60076838354843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0.12496792844827768</v>
      </c>
      <c r="BS39" s="22">
        <f t="shared" si="9"/>
        <v>0.12496792844827768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4</v>
      </c>
      <c r="BY39" s="12">
        <f>IF('Données projet'!$A$114&gt;35,BY38+BX39-CG38,IF(A39&lt;'Données projet'!$A$114,$BV$205^A39,IF(A39='Données projet'!$A$114,'Données projet'!$B$114,BY38+BX39-CG38)))</f>
        <v>59.000000000000014</v>
      </c>
      <c r="BZ39" s="13">
        <f>BY39*VLOOKUP('Données projet'!$B$12,Paramètres!$A$1:$I$89,3,0)*VLOOKUP('Données projet'!$B$12,Paramètres!$A$1:$I$89,5,0)</f>
        <v>57.064800000000012</v>
      </c>
      <c r="CA39" s="13">
        <f t="shared" si="39"/>
        <v>16.424005972947395</v>
      </c>
      <c r="CB39" s="20">
        <f t="shared" si="10"/>
        <v>127.99300373621674</v>
      </c>
      <c r="CC39" s="59">
        <f t="shared" si="11"/>
        <v>421.32633706955005</v>
      </c>
      <c r="CD39" s="59">
        <f ca="1">AVERAGE(OFFSET($CC$3,0,0,'Données projet'!$E$12+1,1))-AVERAGE(OFFSET($H$3,0,0,'Données projet'!$E$12+1,1))</f>
        <v>135.95692658150551</v>
      </c>
      <c r="CE39" s="59">
        <f t="shared" si="40"/>
        <v>79.394119001888612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4</v>
      </c>
      <c r="CT39" s="12">
        <f>IF('Données projet'!$A$140&gt;35,CT38+CS39-DB38,IF(A39&lt;'Données projet'!$A$140,$CQ$205^A39,IF(A39='Données projet'!$A$140,'Données projet'!$B$140,CT38+CS39-DB38)))</f>
        <v>59.000000000000014</v>
      </c>
      <c r="CU39" s="17">
        <f>CT39*VLOOKUP('Données projet'!$B$13,Paramètres!$A$1:$I$89,3,0)*VLOOKUP('Données projet'!$B$13,Paramètres!$A$1:$I$89,5,0)</f>
        <v>63.507600000000018</v>
      </c>
      <c r="CV39" s="13">
        <f t="shared" si="41"/>
        <v>18.052146695841813</v>
      </c>
      <c r="CW39" s="20">
        <f t="shared" si="13"/>
        <v>142.0498921619245</v>
      </c>
      <c r="CX39" s="59">
        <f t="shared" si="14"/>
        <v>435.38322549525782</v>
      </c>
      <c r="CY39" s="59">
        <f ca="1">AVERAGE(OFFSET($CX$3,0,0,'Données projet'!$E$13+1,1))-AVERAGE(OFFSET($H$3,0,0,'Données projet'!$E$13+1,1))</f>
        <v>158.74837032815333</v>
      </c>
      <c r="CZ39" s="59">
        <f t="shared" si="42"/>
        <v>92.286636088270086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8.1999999999999993</v>
      </c>
      <c r="N40" s="13">
        <f>IF('Données projet'!$A$36&gt;35,N39+M40-V39,IF(A40&lt;'Données projet'!$A$36,$K$205^A40,IF(A40='Données projet'!$A$36,'Données projet'!$B$36,N39+M40-V39)))</f>
        <v>133.4</v>
      </c>
      <c r="O40" s="13">
        <f>N40*VLOOKUP('Données projet'!$B$9,Paramètres!$A$1:$I$89,3,0)*VLOOKUP('Données projet'!$B$9,Paramètres!$A$1:$I$89,5,0)</f>
        <v>112.37616000000001</v>
      </c>
      <c r="P40" s="13">
        <f t="shared" si="33"/>
        <v>29.890128160230216</v>
      </c>
      <c r="Q40" s="20">
        <f t="shared" si="53"/>
        <v>247.78045187906764</v>
      </c>
      <c r="R40" s="59">
        <f t="shared" si="0"/>
        <v>541.1137852124009</v>
      </c>
      <c r="S40" s="59">
        <f ca="1">AVERAGE(OFFSET($R$3,0,0,'Données projet'!$E$9+1,1))-AVERAGE(OFFSET($H$3,0,0,'Données projet'!$E$9+1,1))</f>
        <v>231.91408074258248</v>
      </c>
      <c r="T40" s="59">
        <f t="shared" si="34"/>
        <v>143.57726487417773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0.62987034739029468</v>
      </c>
      <c r="AC40" s="22">
        <f t="shared" si="3"/>
        <v>0.62987034739029468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8.1999999999999993</v>
      </c>
      <c r="AI40" s="13">
        <f>IF('Données projet'!$A$62&gt;35,AI39+AH40-AQ39,IF(A40&lt;'Données projet'!$A$62,$AF$205^A40,IF(A40='Données projet'!$A$62,'Données projet'!$B$62,AI39+AH40-AQ39)))</f>
        <v>133.4</v>
      </c>
      <c r="AJ40" s="13">
        <f>AI40*VLOOKUP('Données projet'!$B$10,Paramètres!$A$1:$I$89,3,0)*VLOOKUP('Données projet'!$B$10,Paramètres!$A$1:$I$89,5,0)</f>
        <v>120.70032</v>
      </c>
      <c r="AK40" s="13">
        <f t="shared" si="35"/>
        <v>31.838282075030818</v>
      </c>
      <c r="AL40" s="20">
        <f t="shared" si="4"/>
        <v>265.67139861401199</v>
      </c>
      <c r="AM40" s="59">
        <f t="shared" si="5"/>
        <v>559.00473194734536</v>
      </c>
      <c r="AN40" s="59">
        <f ca="1">AVERAGE(OFFSET($AM$3,0,0,'Données projet'!$E$10+1,1))-AVERAGE(OFFSET($H$3,0,0,'Données projet'!$E$10+1,1))</f>
        <v>253.16772905022714</v>
      </c>
      <c r="AO40" s="59">
        <f t="shared" si="36"/>
        <v>156.67965022779907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0.67652741015994611</v>
      </c>
      <c r="AX40" s="21">
        <f t="shared" si="6"/>
        <v>0.67652741015994611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11.099999999999996</v>
      </c>
      <c r="BD40" s="12">
        <f>IF('Données projet'!$A$88&gt;35,BD39+BC40-BL39,IF(A40&lt;'Données projet'!$A$88,$BA$205^A40,IF(A40='Données projet'!$A$88,'Données projet'!$B$88,BD39+BC40-BL39)))</f>
        <v>150.29999999999995</v>
      </c>
      <c r="BE40" s="13">
        <f>BD40*VLOOKUP('Données projet'!$B$11,Paramètres!$A$1:$I$89,3,0)*VLOOKUP('Données projet'!$B$11,Paramètres!$A$1:$I$89,5,0)</f>
        <v>89.879399999999976</v>
      </c>
      <c r="BF40" s="13">
        <f t="shared" si="37"/>
        <v>24.536136908474692</v>
      </c>
      <c r="BG40" s="20">
        <f t="shared" si="7"/>
        <v>199.27372678226001</v>
      </c>
      <c r="BH40" s="59">
        <f t="shared" si="8"/>
        <v>492.6070601155933</v>
      </c>
      <c r="BI40" s="59">
        <f ca="1">AVERAGE(OFFSET($BH$3,0,0,'Données projet'!$E$11+1,1))-AVERAGE(OFFSET($H$3,0,0,'Données projet'!$E$11+1,1))</f>
        <v>119.24399403036387</v>
      </c>
      <c r="BJ40" s="59">
        <f t="shared" si="38"/>
        <v>119.60076838354843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8.8365669636612423E-2</v>
      </c>
      <c r="BS40" s="22">
        <f t="shared" si="9"/>
        <v>8.8365669636612423E-2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4</v>
      </c>
      <c r="BY40" s="12">
        <f>IF('Données projet'!$A$114&gt;35,BY39+BX40-CG39,IF(A40&lt;'Données projet'!$A$114,$BV$205^A40,IF(A40='Données projet'!$A$114,'Données projet'!$B$114,BY39+BX40-CG39)))</f>
        <v>63.000000000000014</v>
      </c>
      <c r="BZ40" s="13">
        <f>BY40*VLOOKUP('Données projet'!$B$12,Paramètres!$A$1:$I$89,3,0)*VLOOKUP('Données projet'!$B$12,Paramètres!$A$1:$I$89,5,0)</f>
        <v>60.93360000000002</v>
      </c>
      <c r="CA40" s="13">
        <f t="shared" si="39"/>
        <v>17.404099852856145</v>
      </c>
      <c r="CB40" s="20">
        <f t="shared" si="10"/>
        <v>136.4381605770578</v>
      </c>
      <c r="CC40" s="59">
        <f t="shared" si="11"/>
        <v>429.77149391039109</v>
      </c>
      <c r="CD40" s="59">
        <f ca="1">AVERAGE(OFFSET($CC$3,0,0,'Données projet'!$E$12+1,1))-AVERAGE(OFFSET($H$3,0,0,'Données projet'!$E$12+1,1))</f>
        <v>135.95692658150551</v>
      </c>
      <c r="CE40" s="59">
        <f t="shared" si="40"/>
        <v>79.394119001888612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4</v>
      </c>
      <c r="CT40" s="12">
        <f>IF('Données projet'!$A$140&gt;35,CT39+CS40-DB39,IF(A40&lt;'Données projet'!$A$140,$CQ$205^A40,IF(A40='Données projet'!$A$140,'Données projet'!$B$140,CT39+CS40-DB39)))</f>
        <v>63.000000000000014</v>
      </c>
      <c r="CU40" s="17">
        <f>CT40*VLOOKUP('Données projet'!$B$13,Paramètres!$A$1:$I$89,3,0)*VLOOKUP('Données projet'!$B$13,Paramètres!$A$1:$I$89,5,0)</f>
        <v>67.813200000000009</v>
      </c>
      <c r="CV40" s="13">
        <f t="shared" si="41"/>
        <v>19.12939901326985</v>
      </c>
      <c r="CW40" s="20">
        <f t="shared" si="13"/>
        <v>151.42502661477832</v>
      </c>
      <c r="CX40" s="59">
        <f t="shared" si="14"/>
        <v>444.75835994811166</v>
      </c>
      <c r="CY40" s="59">
        <f ca="1">AVERAGE(OFFSET($CX$3,0,0,'Données projet'!$E$13+1,1))-AVERAGE(OFFSET($H$3,0,0,'Données projet'!$E$13+1,1))</f>
        <v>158.74837032815333</v>
      </c>
      <c r="CZ40" s="59">
        <f t="shared" si="42"/>
        <v>92.286636088270086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8.1999999999999993</v>
      </c>
      <c r="N41" s="13">
        <f>IF('Données projet'!$A$36&gt;35,N40+M41-V40,IF(A41&lt;'Données projet'!$A$36,$K$205^A41,IF(A41='Données projet'!$A$36,'Données projet'!$B$36,N40+M41-V40)))</f>
        <v>141.6</v>
      </c>
      <c r="O41" s="13">
        <f>N41*VLOOKUP('Données projet'!$B$9,Paramètres!$A$1:$I$89,3,0)*VLOOKUP('Données projet'!$B$9,Paramètres!$A$1:$I$89,5,0)</f>
        <v>119.28384</v>
      </c>
      <c r="P41" s="13">
        <f t="shared" si="33"/>
        <v>31.507908588859923</v>
      </c>
      <c r="Q41" s="20">
        <f t="shared" si="53"/>
        <v>262.62896212559764</v>
      </c>
      <c r="R41" s="59">
        <f t="shared" si="0"/>
        <v>555.96229545893095</v>
      </c>
      <c r="S41" s="59">
        <f ca="1">AVERAGE(OFFSET($R$3,0,0,'Données projet'!$E$9+1,1))-AVERAGE(OFFSET($H$3,0,0,'Données projet'!$E$9+1,1))</f>
        <v>231.91408074258248</v>
      </c>
      <c r="T41" s="59">
        <f t="shared" si="34"/>
        <v>143.57726487417773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0.44538559390800381</v>
      </c>
      <c r="AC41" s="22">
        <f t="shared" si="3"/>
        <v>0.44538559390800381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8.1999999999999993</v>
      </c>
      <c r="AI41" s="13">
        <f>IF('Données projet'!$A$62&gt;35,AI40+AH41-AQ40,IF(A41&lt;'Données projet'!$A$62,$AF$205^A41,IF(A41='Données projet'!$A$62,'Données projet'!$B$62,AI40+AH41-AQ40)))</f>
        <v>141.6</v>
      </c>
      <c r="AJ41" s="13">
        <f>AI41*VLOOKUP('Données projet'!$B$10,Paramètres!$A$1:$I$89,3,0)*VLOOKUP('Données projet'!$B$10,Paramètres!$A$1:$I$89,5,0)</f>
        <v>128.11967999999999</v>
      </c>
      <c r="AK41" s="13">
        <f t="shared" si="35"/>
        <v>33.561504850994297</v>
      </c>
      <c r="AL41" s="20">
        <f t="shared" si="4"/>
        <v>281.5947302821483</v>
      </c>
      <c r="AM41" s="59">
        <f t="shared" si="5"/>
        <v>574.92806361548162</v>
      </c>
      <c r="AN41" s="59">
        <f ca="1">AVERAGE(OFFSET($AM$3,0,0,'Données projet'!$E$10+1,1))-AVERAGE(OFFSET($H$3,0,0,'Données projet'!$E$10+1,1))</f>
        <v>253.16772905022714</v>
      </c>
      <c r="AO41" s="59">
        <f t="shared" si="36"/>
        <v>156.67965022779907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0.47837711938267075</v>
      </c>
      <c r="AX41" s="21">
        <f t="shared" si="6"/>
        <v>0.47837711938267075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11.099999999999996</v>
      </c>
      <c r="BD41" s="12">
        <f>IF('Données projet'!$A$88&gt;35,BD40+BC41-BL40,IF(A41&lt;'Données projet'!$A$88,$BA$205^A41,IF(A41='Données projet'!$A$88,'Données projet'!$B$88,BD40+BC41-BL40)))</f>
        <v>161.39999999999995</v>
      </c>
      <c r="BE41" s="13">
        <f>BD41*VLOOKUP('Données projet'!$B$11,Paramètres!$A$1:$I$89,3,0)*VLOOKUP('Données projet'!$B$11,Paramètres!$A$1:$I$89,5,0)</f>
        <v>96.517199999999988</v>
      </c>
      <c r="BF41" s="13">
        <f t="shared" si="37"/>
        <v>26.130564414257559</v>
      </c>
      <c r="BG41" s="20">
        <f t="shared" si="7"/>
        <v>213.61152302149856</v>
      </c>
      <c r="BH41" s="59">
        <f t="shared" si="8"/>
        <v>506.94485635483187</v>
      </c>
      <c r="BI41" s="59">
        <f ca="1">AVERAGE(OFFSET($BH$3,0,0,'Données projet'!$E$11+1,1))-AVERAGE(OFFSET($H$3,0,0,'Données projet'!$E$11+1,1))</f>
        <v>119.24399403036387</v>
      </c>
      <c r="BJ41" s="59">
        <f t="shared" si="38"/>
        <v>119.60076838354843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6.2483964224138849E-2</v>
      </c>
      <c r="BS41" s="22">
        <f t="shared" si="9"/>
        <v>6.2483964224138849E-2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4</v>
      </c>
      <c r="BY41" s="12">
        <f>IF('Données projet'!$A$114&gt;35,BY40+BX41-CG40,IF(A41&lt;'Données projet'!$A$114,$BV$205^A41,IF(A41='Données projet'!$A$114,'Données projet'!$B$114,BY40+BX41-CG40)))</f>
        <v>67.000000000000014</v>
      </c>
      <c r="BZ41" s="13">
        <f>BY41*VLOOKUP('Données projet'!$B$12,Paramètres!$A$1:$I$89,3,0)*VLOOKUP('Données projet'!$B$12,Paramètres!$A$1:$I$89,5,0)</f>
        <v>64.802400000000006</v>
      </c>
      <c r="CA41" s="13">
        <f t="shared" si="39"/>
        <v>18.376971951830182</v>
      </c>
      <c r="CB41" s="20">
        <f t="shared" si="10"/>
        <v>144.87073948277092</v>
      </c>
      <c r="CC41" s="59">
        <f t="shared" si="11"/>
        <v>438.20407281610426</v>
      </c>
      <c r="CD41" s="59">
        <f ca="1">AVERAGE(OFFSET($CC$3,0,0,'Données projet'!$E$12+1,1))-AVERAGE(OFFSET($H$3,0,0,'Données projet'!$E$12+1,1))</f>
        <v>135.95692658150551</v>
      </c>
      <c r="CE41" s="59">
        <f t="shared" si="40"/>
        <v>79.394119001888612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4</v>
      </c>
      <c r="CT41" s="12">
        <f>IF('Données projet'!$A$140&gt;35,CT40+CS41-DB40,IF(A41&lt;'Données projet'!$A$140,$CQ$205^A41,IF(A41='Données projet'!$A$140,'Données projet'!$B$140,CT40+CS41-DB40)))</f>
        <v>67.000000000000014</v>
      </c>
      <c r="CU41" s="17">
        <f>CT41*VLOOKUP('Données projet'!$B$13,Paramètres!$A$1:$I$89,3,0)*VLOOKUP('Données projet'!$B$13,Paramètres!$A$1:$I$89,5,0)</f>
        <v>72.118800000000007</v>
      </c>
      <c r="CV41" s="13">
        <f t="shared" si="41"/>
        <v>20.198713641862817</v>
      </c>
      <c r="CW41" s="20">
        <f t="shared" si="13"/>
        <v>160.78633625957775</v>
      </c>
      <c r="CX41" s="59">
        <f t="shared" si="14"/>
        <v>454.11966959291107</v>
      </c>
      <c r="CY41" s="59">
        <f ca="1">AVERAGE(OFFSET($CX$3,0,0,'Données projet'!$E$13+1,1))-AVERAGE(OFFSET($H$3,0,0,'Données projet'!$E$13+1,1))</f>
        <v>158.74837032815333</v>
      </c>
      <c r="CZ41" s="59">
        <f t="shared" si="42"/>
        <v>92.286636088270086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8.1999999999999993</v>
      </c>
      <c r="N42" s="13">
        <f>IF('Données projet'!$A$36&gt;35,N41+M42-V41,IF(A42&lt;'Données projet'!$A$36,$K$205^A42,IF(A42='Données projet'!$A$36,'Données projet'!$B$36,N41+M42-V41)))</f>
        <v>149.79999999999998</v>
      </c>
      <c r="O42" s="13">
        <f>N42*VLOOKUP('Données projet'!$B$9,Paramètres!$A$1:$I$89,3,0)*VLOOKUP('Données projet'!$B$9,Paramètres!$A$1:$I$89,5,0)</f>
        <v>126.19152</v>
      </c>
      <c r="P42" s="13">
        <f t="shared" si="33"/>
        <v>33.114814336101418</v>
      </c>
      <c r="Q42" s="20">
        <f t="shared" si="53"/>
        <v>277.4585323020433</v>
      </c>
      <c r="R42" s="59">
        <f t="shared" si="0"/>
        <v>570.79186563537655</v>
      </c>
      <c r="S42" s="59">
        <f ca="1">AVERAGE(OFFSET($R$3,0,0,'Données projet'!$E$9+1,1))-AVERAGE(OFFSET($H$3,0,0,'Données projet'!$E$9+1,1))</f>
        <v>231.91408074258248</v>
      </c>
      <c r="T42" s="59">
        <f t="shared" si="34"/>
        <v>143.57726487417773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0.3149351736951474</v>
      </c>
      <c r="AC42" s="22">
        <f t="shared" si="3"/>
        <v>0.3149351736951474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8.1999999999999993</v>
      </c>
      <c r="AI42" s="13">
        <f>IF('Données projet'!$A$62&gt;35,AI41+AH42-AQ41,IF(A42&lt;'Données projet'!$A$62,$AF$205^A42,IF(A42='Données projet'!$A$62,'Données projet'!$B$62,AI41+AH42-AQ41)))</f>
        <v>149.79999999999998</v>
      </c>
      <c r="AJ42" s="13">
        <f>AI42*VLOOKUP('Données projet'!$B$10,Paramètres!$A$1:$I$89,3,0)*VLOOKUP('Données projet'!$B$10,Paramètres!$A$1:$I$89,5,0)</f>
        <v>135.53903999999997</v>
      </c>
      <c r="AK42" s="13">
        <f t="shared" si="35"/>
        <v>35.273144164630104</v>
      </c>
      <c r="AL42" s="20">
        <f t="shared" si="4"/>
        <v>297.49788742006405</v>
      </c>
      <c r="AM42" s="59">
        <f t="shared" si="5"/>
        <v>590.83122075339736</v>
      </c>
      <c r="AN42" s="59">
        <f ca="1">AVERAGE(OFFSET($AM$3,0,0,'Données projet'!$E$10+1,1))-AVERAGE(OFFSET($H$3,0,0,'Données projet'!$E$10+1,1))</f>
        <v>253.16772905022714</v>
      </c>
      <c r="AO42" s="59">
        <f t="shared" si="36"/>
        <v>156.67965022779907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0.33826370507997311</v>
      </c>
      <c r="AX42" s="21">
        <f t="shared" si="6"/>
        <v>0.33826370507997311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11.099999999999996</v>
      </c>
      <c r="BD42" s="12">
        <f>IF('Données projet'!$A$88&gt;35,BD41+BC42-BL41,IF(A42&lt;'Données projet'!$A$88,$BA$205^A42,IF(A42='Données projet'!$A$88,'Données projet'!$B$88,BD41+BC42-BL41)))</f>
        <v>172.49999999999994</v>
      </c>
      <c r="BE42" s="13">
        <f>BD42*VLOOKUP('Données projet'!$B$11,Paramètres!$A$1:$I$89,3,0)*VLOOKUP('Données projet'!$B$11,Paramètres!$A$1:$I$89,5,0)</f>
        <v>103.15499999999997</v>
      </c>
      <c r="BF42" s="13">
        <f t="shared" si="37"/>
        <v>27.712268570716105</v>
      </c>
      <c r="BG42" s="20">
        <f t="shared" si="7"/>
        <v>227.92715942733048</v>
      </c>
      <c r="BH42" s="59">
        <f t="shared" si="8"/>
        <v>521.26049276066374</v>
      </c>
      <c r="BI42" s="59">
        <f ca="1">AVERAGE(OFFSET($BH$3,0,0,'Données projet'!$E$11+1,1))-AVERAGE(OFFSET($H$3,0,0,'Données projet'!$E$11+1,1))</f>
        <v>119.24399403036387</v>
      </c>
      <c r="BJ42" s="59">
        <f t="shared" si="38"/>
        <v>119.60076838354843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4.4182834818306219E-2</v>
      </c>
      <c r="BS42" s="22">
        <f t="shared" si="9"/>
        <v>4.4182834818306219E-2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4</v>
      </c>
      <c r="BY42" s="12">
        <f>IF('Données projet'!$A$114&gt;35,BY41+BX42-CG41,IF(A42&lt;'Données projet'!$A$114,$BV$205^A42,IF(A42='Données projet'!$A$114,'Données projet'!$B$114,BY41+BX42-CG41)))</f>
        <v>71.000000000000014</v>
      </c>
      <c r="BZ42" s="13">
        <f>BY42*VLOOKUP('Données projet'!$B$12,Paramètres!$A$1:$I$89,3,0)*VLOOKUP('Données projet'!$B$12,Paramètres!$A$1:$I$89,5,0)</f>
        <v>68.671200000000013</v>
      </c>
      <c r="CA42" s="13">
        <f t="shared" si="39"/>
        <v>19.343102525659866</v>
      </c>
      <c r="CB42" s="20">
        <f t="shared" si="10"/>
        <v>153.29157689885758</v>
      </c>
      <c r="CC42" s="59">
        <f t="shared" si="11"/>
        <v>446.62491023219093</v>
      </c>
      <c r="CD42" s="59">
        <f ca="1">AVERAGE(OFFSET($CC$3,0,0,'Données projet'!$E$12+1,1))-AVERAGE(OFFSET($H$3,0,0,'Données projet'!$E$12+1,1))</f>
        <v>135.95692658150551</v>
      </c>
      <c r="CE42" s="59">
        <f t="shared" si="40"/>
        <v>79.394119001888612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4</v>
      </c>
      <c r="CT42" s="12">
        <f>IF('Données projet'!$A$140&gt;35,CT41+CS42-DB41,IF(A42&lt;'Données projet'!$A$140,$CQ$205^A42,IF(A42='Données projet'!$A$140,'Données projet'!$B$140,CT41+CS42-DB41)))</f>
        <v>71.000000000000014</v>
      </c>
      <c r="CU42" s="17">
        <f>CT42*VLOOKUP('Données projet'!$B$13,Paramètres!$A$1:$I$89,3,0)*VLOOKUP('Données projet'!$B$13,Paramètres!$A$1:$I$89,5,0)</f>
        <v>76.42440000000002</v>
      </c>
      <c r="CV42" s="13">
        <f t="shared" si="41"/>
        <v>21.260618446015872</v>
      </c>
      <c r="CW42" s="20">
        <f t="shared" si="13"/>
        <v>170.13474046014434</v>
      </c>
      <c r="CX42" s="59">
        <f t="shared" si="14"/>
        <v>463.46807379347763</v>
      </c>
      <c r="CY42" s="59">
        <f ca="1">AVERAGE(OFFSET($CX$3,0,0,'Données projet'!$E$13+1,1))-AVERAGE(OFFSET($H$3,0,0,'Données projet'!$E$13+1,1))</f>
        <v>158.74837032815333</v>
      </c>
      <c r="CZ42" s="59">
        <f t="shared" si="42"/>
        <v>92.286636088270086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158</v>
      </c>
      <c r="L43" s="12">
        <f>VLOOKUP(A43,'Données projet'!$A$35:$I$55,9,0)</f>
        <v>8.1999999999999993</v>
      </c>
      <c r="M43" s="12">
        <f t="array" ref="M43">INDEX(L:L,MIN(IF(ISNUMBER(L43:L239),ROW(L43:L239),"")))</f>
        <v>8.1999999999999993</v>
      </c>
      <c r="N43" s="13">
        <f>IF('Données projet'!$A$36&gt;35,N42+M43-V42,IF(A43&lt;'Données projet'!$A$36,$K$205^A43,IF(A43='Données projet'!$A$36,'Données projet'!$B$36,N42+M43-V42)))</f>
        <v>157.99999999999997</v>
      </c>
      <c r="O43" s="13">
        <f>N43*VLOOKUP('Données projet'!$B$9,Paramètres!$A$1:$I$89,3,0)*VLOOKUP('Données projet'!$B$9,Paramètres!$A$1:$I$89,5,0)</f>
        <v>133.0992</v>
      </c>
      <c r="P43" s="13">
        <f t="shared" si="33"/>
        <v>34.71150853565117</v>
      </c>
      <c r="Q43" s="20">
        <f t="shared" si="53"/>
        <v>292.27031736625912</v>
      </c>
      <c r="R43" s="59">
        <f t="shared" si="0"/>
        <v>585.60365069959244</v>
      </c>
      <c r="S43" s="59">
        <f ca="1">AVERAGE(OFFSET($R$3,0,0,'Données projet'!$E$9+1,1))-AVERAGE(OFFSET($H$3,0,0,'Données projet'!$E$9+1,1))</f>
        <v>231.91408074258248</v>
      </c>
      <c r="T43" s="59">
        <f t="shared" si="34"/>
        <v>143.57726487417773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42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0.4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13.57578762106213</v>
      </c>
      <c r="AC43" s="22">
        <f t="shared" si="3"/>
        <v>13.57578762106213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158</v>
      </c>
      <c r="AG43" s="12">
        <f>VLOOKUP(A43,'Données projet'!$A$61:$I$81,9,0)</f>
        <v>8.1999999999999993</v>
      </c>
      <c r="AH43" s="12">
        <f t="array" ref="AH43">INDEX(AG:AG,MIN(IF(ISNUMBER(AG43:AG239),ROW(AG43:AG239),"")))</f>
        <v>8.1999999999999993</v>
      </c>
      <c r="AI43" s="13">
        <f>IF('Données projet'!$A$62&gt;35,AI42+AH43-AQ42,IF(A43&lt;'Données projet'!$A$62,$AF$205^A43,IF(A43='Données projet'!$A$62,'Données projet'!$B$62,AI42+AH43-AQ42)))</f>
        <v>157.99999999999997</v>
      </c>
      <c r="AJ43" s="13">
        <f>AI43*VLOOKUP('Données projet'!$B$10,Paramètres!$A$1:$I$89,3,0)*VLOOKUP('Données projet'!$B$10,Paramètres!$A$1:$I$89,5,0)</f>
        <v>142.95839999999995</v>
      </c>
      <c r="AK43" s="13">
        <f t="shared" si="35"/>
        <v>36.973906370811264</v>
      </c>
      <c r="AL43" s="20">
        <f t="shared" si="4"/>
        <v>313.38210026249618</v>
      </c>
      <c r="AM43" s="59">
        <f t="shared" si="5"/>
        <v>606.7154335958295</v>
      </c>
      <c r="AN43" s="59">
        <f ca="1">AVERAGE(OFFSET($AM$3,0,0,'Données projet'!$E$10+1,1))-AVERAGE(OFFSET($H$3,0,0,'Données projet'!$E$10+1,1))</f>
        <v>253.16772905022714</v>
      </c>
      <c r="AO43" s="59">
        <f t="shared" si="36"/>
        <v>156.67965022779907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42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0.4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14.581401518918582</v>
      </c>
      <c r="AX43" s="21">
        <f t="shared" si="6"/>
        <v>14.581401518918582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183.6</v>
      </c>
      <c r="BB43" s="12">
        <f>VLOOKUP(A43,'Données projet'!$A$87:$I$107,9,0)</f>
        <v>11.099999999999996</v>
      </c>
      <c r="BC43" s="12">
        <f t="array" ref="BC43">INDEX(BB:BB,MIN(IF(ISNUMBER(BB43:BB239),ROW(BB43:BB239),"")))</f>
        <v>11.099999999999996</v>
      </c>
      <c r="BD43" s="12">
        <f>IF('Données projet'!$A$88&gt;35,BD42+BC43-BL42,IF(A43&lt;'Données projet'!$A$88,$BA$205^A43,IF(A43='Données projet'!$A$88,'Données projet'!$B$88,BD42+BC43-BL42)))</f>
        <v>183.59999999999994</v>
      </c>
      <c r="BE43" s="13">
        <f>BD43*VLOOKUP('Données projet'!$B$11,Paramètres!$A$1:$I$89,3,0)*VLOOKUP('Données projet'!$B$11,Paramètres!$A$1:$I$89,5,0)</f>
        <v>109.79279999999997</v>
      </c>
      <c r="BF43" s="13">
        <f t="shared" si="37"/>
        <v>29.28216128090861</v>
      </c>
      <c r="BG43" s="20">
        <f t="shared" si="7"/>
        <v>242.22222423091577</v>
      </c>
      <c r="BH43" s="59">
        <f t="shared" si="8"/>
        <v>535.55555756424906</v>
      </c>
      <c r="BI43" s="59">
        <f ca="1">AVERAGE(OFFSET($BH$3,0,0,'Données projet'!$E$11+1,1))-AVERAGE(OFFSET($H$3,0,0,'Données projet'!$E$11+1,1))</f>
        <v>119.24399403036387</v>
      </c>
      <c r="BJ43" s="59">
        <f t="shared" si="38"/>
        <v>119.60076838354843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30.9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3.1241982112069432E-2</v>
      </c>
      <c r="BS43" s="22">
        <f t="shared" si="9"/>
        <v>3.1241982112069432E-2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75</v>
      </c>
      <c r="BW43" s="12">
        <f>VLOOKUP(A43,'Données projet'!$A$113:$I$133,9,0)</f>
        <v>4</v>
      </c>
      <c r="BX43" s="12">
        <f t="array" ref="BX43">INDEX(BW:BW,MIN(IF(ISNUMBER(BW43:BW239),ROW(BW43:BW239),"")))</f>
        <v>4</v>
      </c>
      <c r="BY43" s="12">
        <f>IF('Données projet'!$A$114&gt;35,BY42+BX43-CG42,IF(A43&lt;'Données projet'!$A$114,$BV$205^A43,IF(A43='Données projet'!$A$114,'Données projet'!$B$114,BY42+BX43-CG42)))</f>
        <v>75.000000000000014</v>
      </c>
      <c r="BZ43" s="13">
        <f>BY43*VLOOKUP('Données projet'!$B$12,Paramètres!$A$1:$I$89,3,0)*VLOOKUP('Données projet'!$B$12,Paramètres!$A$1:$I$89,5,0)</f>
        <v>72.54000000000002</v>
      </c>
      <c r="CA43" s="13">
        <f t="shared" si="39"/>
        <v>20.302914660456786</v>
      </c>
      <c r="CB43" s="20">
        <f t="shared" si="10"/>
        <v>161.70140970029561</v>
      </c>
      <c r="CC43" s="59">
        <f t="shared" si="11"/>
        <v>455.03474303362896</v>
      </c>
      <c r="CD43" s="59">
        <f ca="1">AVERAGE(OFFSET($CC$3,0,0,'Données projet'!$E$12+1,1))-AVERAGE(OFFSET($H$3,0,0,'Données projet'!$E$12+1,1))</f>
        <v>135.95692658150551</v>
      </c>
      <c r="CE43" s="59">
        <f t="shared" si="40"/>
        <v>79.394119001888612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9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0.129</v>
      </c>
      <c r="CJ43" s="16">
        <f>IF(ISNA(VLOOKUP(A43,'Données projet'!$A$113:$I$133,7,0)),0%,VLOOKUP(A43,'Données projet'!$A$113:$I$133,7,0))</f>
        <v>0.4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1.2364662308556731</v>
      </c>
      <c r="CM43" s="21">
        <f>EXP(-LN(2)/2)*CM42+(1-EXP(-LN(2)/2))/(LN(2)/2)*CG43*CJ43*VLOOKUP('Données projet'!$B$12,Paramètres!$A$1:$I$89,3,0)*0.475*44/12</f>
        <v>3.2852852345027936</v>
      </c>
      <c r="CN43" s="22">
        <f t="shared" si="12"/>
        <v>4.5217514653584665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75</v>
      </c>
      <c r="CR43" s="12">
        <f>VLOOKUP(A43,'Données projet'!$A$139:$I$159,9,0)</f>
        <v>4</v>
      </c>
      <c r="CS43" s="12">
        <f t="array" ref="CS43">INDEX(CR:CR,MIN(IF(ISNUMBER(CR43:CR239),ROW(CR43:CR239),"")))</f>
        <v>4</v>
      </c>
      <c r="CT43" s="12">
        <f>IF('Données projet'!$A$140&gt;35,CT42+CS43-DB42,IF(A43&lt;'Données projet'!$A$140,$CQ$205^A43,IF(A43='Données projet'!$A$140,'Données projet'!$B$140,CT42+CS43-DB42)))</f>
        <v>75.000000000000014</v>
      </c>
      <c r="CU43" s="17">
        <f>CT43*VLOOKUP('Données projet'!$B$13,Paramètres!$A$1:$I$89,3,0)*VLOOKUP('Données projet'!$B$13,Paramètres!$A$1:$I$89,5,0)</f>
        <v>80.730000000000018</v>
      </c>
      <c r="CV43" s="13">
        <f t="shared" si="41"/>
        <v>22.315578453114171</v>
      </c>
      <c r="CW43" s="20">
        <f t="shared" si="13"/>
        <v>179.47104913917386</v>
      </c>
      <c r="CX43" s="59">
        <f t="shared" si="14"/>
        <v>472.8043824725072</v>
      </c>
      <c r="CY43" s="59">
        <f ca="1">AVERAGE(OFFSET($CX$3,0,0,'Données projet'!$E$13+1,1))-AVERAGE(OFFSET($H$3,0,0,'Données projet'!$E$13+1,1))</f>
        <v>158.74837032815333</v>
      </c>
      <c r="CZ43" s="59">
        <f t="shared" si="42"/>
        <v>92.286636088270086</v>
      </c>
      <c r="DA43" s="15">
        <f>IF(ISNA(VLOOKUP(A43,'Données projet'!$A$139:$I$159,3,0)),0,VLOOKUP(A43,'Données projet'!$A$139:$I$159,3,0))</f>
        <v>3</v>
      </c>
      <c r="DB43" s="15">
        <f>IF(ISNA(VLOOKUP(A43,'Données projet'!$A$139:$I$159,4,0)),0,VLOOKUP(A43,'Données projet'!$A$139:$I$159,4,0))</f>
        <v>9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0.129</v>
      </c>
      <c r="DE43" s="16">
        <f>IF(ISNA(VLOOKUP(A43,'Données projet'!$A$139:$I$159,7,0)),0%,VLOOKUP(A43,'Données projet'!$A$139:$I$159,7,0))</f>
        <v>0.4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1.3760672569200232</v>
      </c>
      <c r="DH43" s="21">
        <f>EXP(-LN(2)/2)*DH42+(1-EXP(-LN(2)/2))/(LN(2)/2)*DB43*DE43*VLOOKUP('Données projet'!$B$13,Paramètres!$A$1:$I$89,3,0)*0.475*44/12</f>
        <v>3.6562045351724635</v>
      </c>
      <c r="DI43" s="22">
        <f t="shared" si="15"/>
        <v>5.0322717920924864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8.3000000000000007</v>
      </c>
      <c r="N44" s="13">
        <f>IF('Données projet'!$A$36&gt;35,N43+M44-V43,IF(A44&lt;'Données projet'!$A$36,$K$205^A44,IF(A44='Données projet'!$A$36,'Données projet'!$B$36,N43+M44-V43)))</f>
        <v>124.29999999999998</v>
      </c>
      <c r="O44" s="13">
        <f>N44*VLOOKUP('Données projet'!$B$9,Paramètres!$A$1:$I$89,3,0)*VLOOKUP('Données projet'!$B$9,Paramètres!$A$1:$I$89,5,0)</f>
        <v>104.71032000000001</v>
      </c>
      <c r="P44" s="13">
        <f t="shared" si="33"/>
        <v>28.081142632240102</v>
      </c>
      <c r="Q44" s="20">
        <f t="shared" si="53"/>
        <v>231.27846408448485</v>
      </c>
      <c r="R44" s="59">
        <f t="shared" si="0"/>
        <v>524.61179741781814</v>
      </c>
      <c r="S44" s="59">
        <f ca="1">AVERAGE(OFFSET($R$3,0,0,'Données projet'!$E$9+1,1))-AVERAGE(OFFSET($H$3,0,0,'Données projet'!$E$9+1,1))</f>
        <v>231.91408074258248</v>
      </c>
      <c r="T44" s="59">
        <f t="shared" si="34"/>
        <v>143.57726487417773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9.5995314868014212</v>
      </c>
      <c r="AC44" s="22">
        <f t="shared" si="3"/>
        <v>9.5995314868014212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8.3000000000000007</v>
      </c>
      <c r="AI44" s="13">
        <f>IF('Données projet'!$A$62&gt;35,AI43+AH44-AQ43,IF(A44&lt;'Données projet'!$A$62,$AF$205^A44,IF(A44='Données projet'!$A$62,'Données projet'!$B$62,AI43+AH44-AQ43)))</f>
        <v>124.29999999999998</v>
      </c>
      <c r="AJ44" s="13">
        <f>AI44*VLOOKUP('Données projet'!$B$10,Paramètres!$A$1:$I$89,3,0)*VLOOKUP('Données projet'!$B$10,Paramètres!$A$1:$I$89,5,0)</f>
        <v>112.46663999999997</v>
      </c>
      <c r="AK44" s="13">
        <f t="shared" si="35"/>
        <v>29.911391992758421</v>
      </c>
      <c r="AL44" s="20">
        <f t="shared" si="4"/>
        <v>247.97507238738754</v>
      </c>
      <c r="AM44" s="59">
        <f t="shared" si="5"/>
        <v>541.30840572072088</v>
      </c>
      <c r="AN44" s="59">
        <f ca="1">AVERAGE(OFFSET($AM$3,0,0,'Données projet'!$E$10+1,1))-AVERAGE(OFFSET($H$3,0,0,'Données projet'!$E$10+1,1))</f>
        <v>253.16772905022714</v>
      </c>
      <c r="AO44" s="59">
        <f t="shared" si="36"/>
        <v>156.67965022779907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10.310607893231154</v>
      </c>
      <c r="AX44" s="21">
        <f t="shared" si="6"/>
        <v>10.310607893231154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8.7333333333333343</v>
      </c>
      <c r="BD44" s="12">
        <f>IF('Données projet'!$A$88&gt;35,BD43+BC44-BL43,IF(A44&lt;'Données projet'!$A$88,$BA$205^A44,IF(A44='Données projet'!$A$88,'Données projet'!$B$88,BD43+BC44-BL43)))</f>
        <v>161.43333333333325</v>
      </c>
      <c r="BE44" s="13">
        <f>BD44*VLOOKUP('Données projet'!$B$11,Paramètres!$A$1:$I$89,3,0)*VLOOKUP('Données projet'!$B$11,Paramètres!$A$1:$I$89,5,0)</f>
        <v>96.537133333333301</v>
      </c>
      <c r="BF44" s="13">
        <f t="shared" si="37"/>
        <v>26.135332834169247</v>
      </c>
      <c r="BG44" s="20">
        <f t="shared" si="7"/>
        <v>213.65454524173359</v>
      </c>
      <c r="BH44" s="59">
        <f t="shared" si="8"/>
        <v>506.98787857506693</v>
      </c>
      <c r="BI44" s="59">
        <f ca="1">AVERAGE(OFFSET($BH$3,0,0,'Données projet'!$E$11+1,1))-AVERAGE(OFFSET($H$3,0,0,'Données projet'!$E$11+1,1))</f>
        <v>119.24399403036387</v>
      </c>
      <c r="BJ44" s="59">
        <f t="shared" si="38"/>
        <v>119.60076838354843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2.2091417409153113E-2</v>
      </c>
      <c r="BS44" s="22">
        <f t="shared" si="9"/>
        <v>2.2091417409153113E-2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3.8</v>
      </c>
      <c r="BY44" s="12">
        <f>IF('Données projet'!$A$114&gt;35,BY43+BX44-CG43,IF(A44&lt;'Données projet'!$A$114,$BV$205^A44,IF(A44='Données projet'!$A$114,'Données projet'!$B$114,BY43+BX44-CG43)))</f>
        <v>69.800000000000011</v>
      </c>
      <c r="BZ44" s="13">
        <f>BY44*VLOOKUP('Données projet'!$B$12,Paramètres!$A$1:$I$89,3,0)*VLOOKUP('Données projet'!$B$12,Paramètres!$A$1:$I$89,5,0)</f>
        <v>67.510560000000012</v>
      </c>
      <c r="CA44" s="13">
        <f t="shared" si="39"/>
        <v>19.053945042628669</v>
      </c>
      <c r="CB44" s="20">
        <f t="shared" si="10"/>
        <v>150.76651294924497</v>
      </c>
      <c r="CC44" s="59">
        <f t="shared" si="11"/>
        <v>444.09984628257826</v>
      </c>
      <c r="CD44" s="59">
        <f ca="1">AVERAGE(OFFSET($CC$3,0,0,'Données projet'!$E$12+1,1))-AVERAGE(OFFSET($H$3,0,0,'Données projet'!$E$12+1,1))</f>
        <v>135.95692658150551</v>
      </c>
      <c r="CE44" s="59">
        <f t="shared" si="40"/>
        <v>79.394119001888612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1.2026549967499915</v>
      </c>
      <c r="CM44" s="21">
        <f>EXP(-LN(2)/2)*CM43+(1-EXP(-LN(2)/2))/(LN(2)/2)*CG44*CJ44*VLOOKUP('Données projet'!$B$12,Paramètres!$A$1:$I$89,3,0)*0.475*44/12</f>
        <v>2.3230474674489625</v>
      </c>
      <c r="CN44" s="22">
        <f t="shared" si="12"/>
        <v>3.5257024641989538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3.8</v>
      </c>
      <c r="CT44" s="12">
        <f>IF('Données projet'!$A$140&gt;35,CT43+CS44-DB43,IF(A44&lt;'Données projet'!$A$140,$CQ$205^A44,IF(A44='Données projet'!$A$140,'Données projet'!$B$140,CT43+CS44-DB43)))</f>
        <v>69.800000000000011</v>
      </c>
      <c r="CU44" s="17">
        <f>CT44*VLOOKUP('Données projet'!$B$13,Paramètres!$A$1:$I$89,3,0)*VLOOKUP('Données projet'!$B$13,Paramètres!$A$1:$I$89,5,0)</f>
        <v>75.132720000000006</v>
      </c>
      <c r="CV44" s="13">
        <f t="shared" si="41"/>
        <v>20.942796270934011</v>
      </c>
      <c r="CW44" s="20">
        <f t="shared" si="13"/>
        <v>167.33152417187674</v>
      </c>
      <c r="CX44" s="59">
        <f t="shared" si="14"/>
        <v>460.66485750521008</v>
      </c>
      <c r="CY44" s="59">
        <f ca="1">AVERAGE(OFFSET($CX$3,0,0,'Données projet'!$E$13+1,1))-AVERAGE(OFFSET($H$3,0,0,'Données projet'!$E$13+1,1))</f>
        <v>158.74837032815333</v>
      </c>
      <c r="CZ44" s="59">
        <f t="shared" si="42"/>
        <v>92.286636088270086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1.3384386254153131</v>
      </c>
      <c r="DH44" s="21">
        <f>EXP(-LN(2)/2)*DH43+(1-EXP(-LN(2)/2))/(LN(2)/2)*DB44*DE44*VLOOKUP('Données projet'!$B$13,Paramètres!$A$1:$I$89,3,0)*0.475*44/12</f>
        <v>2.5853270202254581</v>
      </c>
      <c r="DI44" s="22">
        <f t="shared" si="15"/>
        <v>3.9237656456407715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8.3000000000000007</v>
      </c>
      <c r="N45" s="13">
        <f>IF('Données projet'!$A$36&gt;35,N44+M45-V44,IF(A45&lt;'Données projet'!$A$36,$K$205^A45,IF(A45='Données projet'!$A$36,'Données projet'!$B$36,N44+M45-V44)))</f>
        <v>132.6</v>
      </c>
      <c r="O45" s="13">
        <f>N45*VLOOKUP('Données projet'!$B$9,Paramètres!$A$1:$I$89,3,0)*VLOOKUP('Données projet'!$B$9,Paramètres!$A$1:$I$89,5,0)</f>
        <v>111.70224</v>
      </c>
      <c r="P45" s="13">
        <f t="shared" si="33"/>
        <v>29.731686445309627</v>
      </c>
      <c r="Q45" s="20">
        <f t="shared" si="53"/>
        <v>246.3307552255809</v>
      </c>
      <c r="R45" s="59">
        <f t="shared" si="0"/>
        <v>539.66408855891427</v>
      </c>
      <c r="S45" s="59">
        <f ca="1">AVERAGE(OFFSET($R$3,0,0,'Données projet'!$E$9+1,1))-AVERAGE(OFFSET($H$3,0,0,'Données projet'!$E$9+1,1))</f>
        <v>231.91408074258248</v>
      </c>
      <c r="T45" s="59">
        <f t="shared" si="34"/>
        <v>143.57726487417773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6.7878938105310667</v>
      </c>
      <c r="AC45" s="22">
        <f t="shared" si="3"/>
        <v>6.7878938105310667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8.3000000000000007</v>
      </c>
      <c r="AI45" s="13">
        <f>IF('Données projet'!$A$62&gt;35,AI44+AH45-AQ44,IF(A45&lt;'Données projet'!$A$62,$AF$205^A45,IF(A45='Données projet'!$A$62,'Données projet'!$B$62,AI44+AH45-AQ44)))</f>
        <v>132.6</v>
      </c>
      <c r="AJ45" s="13">
        <f>AI45*VLOOKUP('Données projet'!$B$10,Paramètres!$A$1:$I$89,3,0)*VLOOKUP('Données projet'!$B$10,Paramètres!$A$1:$I$89,5,0)</f>
        <v>119.97647999999998</v>
      </c>
      <c r="AK45" s="13">
        <f t="shared" si="35"/>
        <v>31.669513577784763</v>
      </c>
      <c r="AL45" s="20">
        <f t="shared" si="4"/>
        <v>264.11677214797504</v>
      </c>
      <c r="AM45" s="59">
        <f t="shared" si="5"/>
        <v>557.45010548130836</v>
      </c>
      <c r="AN45" s="59">
        <f ca="1">AVERAGE(OFFSET($AM$3,0,0,'Données projet'!$E$10+1,1))-AVERAGE(OFFSET($H$3,0,0,'Données projet'!$E$10+1,1))</f>
        <v>253.16772905022714</v>
      </c>
      <c r="AO45" s="59">
        <f t="shared" si="36"/>
        <v>156.67965022779907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7.2907007594592921</v>
      </c>
      <c r="AX45" s="21">
        <f t="shared" si="6"/>
        <v>7.2907007594592921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8.7333333333333343</v>
      </c>
      <c r="BD45" s="12">
        <f>IF('Données projet'!$A$88&gt;35,BD44+BC45-BL44,IF(A45&lt;'Données projet'!$A$88,$BA$205^A45,IF(A45='Données projet'!$A$88,'Données projet'!$B$88,BD44+BC45-BL44)))</f>
        <v>170.16666666666657</v>
      </c>
      <c r="BE45" s="13">
        <f>BD45*VLOOKUP('Données projet'!$B$11,Paramètres!$A$1:$I$89,3,0)*VLOOKUP('Données projet'!$B$11,Paramètres!$A$1:$I$89,5,0)</f>
        <v>101.75966666666662</v>
      </c>
      <c r="BF45" s="13">
        <f t="shared" si="37"/>
        <v>27.380787321638369</v>
      </c>
      <c r="BG45" s="20">
        <f t="shared" si="7"/>
        <v>224.91962402963114</v>
      </c>
      <c r="BH45" s="59">
        <f t="shared" si="8"/>
        <v>518.25295736296448</v>
      </c>
      <c r="BI45" s="59">
        <f ca="1">AVERAGE(OFFSET($BH$3,0,0,'Données projet'!$E$11+1,1))-AVERAGE(OFFSET($H$3,0,0,'Données projet'!$E$11+1,1))</f>
        <v>119.24399403036387</v>
      </c>
      <c r="BJ45" s="59">
        <f t="shared" si="38"/>
        <v>119.60076838354843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1.5620991056034718E-2</v>
      </c>
      <c r="BS45" s="22">
        <f t="shared" si="9"/>
        <v>1.5620991056034718E-2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3.8</v>
      </c>
      <c r="BY45" s="12">
        <f>IF('Données projet'!$A$114&gt;35,BY44+BX45-CG44,IF(A45&lt;'Données projet'!$A$114,$BV$205^A45,IF(A45='Données projet'!$A$114,'Données projet'!$B$114,BY44+BX45-CG44)))</f>
        <v>73.600000000000009</v>
      </c>
      <c r="BZ45" s="13">
        <f>BY45*VLOOKUP('Données projet'!$B$12,Paramètres!$A$1:$I$89,3,0)*VLOOKUP('Données projet'!$B$12,Paramètres!$A$1:$I$89,5,0)</f>
        <v>71.18592000000001</v>
      </c>
      <c r="CA45" s="13">
        <f t="shared" si="39"/>
        <v>19.967674734026197</v>
      </c>
      <c r="CB45" s="20">
        <f t="shared" si="10"/>
        <v>158.75917749509563</v>
      </c>
      <c r="CC45" s="59">
        <f t="shared" si="11"/>
        <v>452.09251082842894</v>
      </c>
      <c r="CD45" s="59">
        <f ca="1">AVERAGE(OFFSET($CC$3,0,0,'Données projet'!$E$12+1,1))-AVERAGE(OFFSET($H$3,0,0,'Données projet'!$E$12+1,1))</f>
        <v>135.95692658150551</v>
      </c>
      <c r="CE45" s="59">
        <f t="shared" si="40"/>
        <v>79.394119001888612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1.1697683326189854</v>
      </c>
      <c r="CM45" s="21">
        <f>EXP(-LN(2)/2)*CM44+(1-EXP(-LN(2)/2))/(LN(2)/2)*CG45*CJ45*VLOOKUP('Données projet'!$B$12,Paramètres!$A$1:$I$89,3,0)*0.475*44/12</f>
        <v>1.642642617251397</v>
      </c>
      <c r="CN45" s="22">
        <f t="shared" si="12"/>
        <v>2.8124109498703822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3.8</v>
      </c>
      <c r="CT45" s="12">
        <f>IF('Données projet'!$A$140&gt;35,CT44+CS45-DB44,IF(A45&lt;'Données projet'!$A$140,$CQ$205^A45,IF(A45='Données projet'!$A$140,'Données projet'!$B$140,CT44+CS45-DB44)))</f>
        <v>73.600000000000009</v>
      </c>
      <c r="CU45" s="17">
        <f>CT45*VLOOKUP('Données projet'!$B$13,Paramètres!$A$1:$I$89,3,0)*VLOOKUP('Données projet'!$B$13,Paramètres!$A$1:$I$89,5,0)</f>
        <v>79.223039999999997</v>
      </c>
      <c r="CV45" s="13">
        <f t="shared" si="41"/>
        <v>21.947105600620286</v>
      </c>
      <c r="CW45" s="20">
        <f t="shared" si="13"/>
        <v>176.20467025441363</v>
      </c>
      <c r="CX45" s="59">
        <f t="shared" si="14"/>
        <v>469.53800358774697</v>
      </c>
      <c r="CY45" s="59">
        <f ca="1">AVERAGE(OFFSET($CX$3,0,0,'Données projet'!$E$13+1,1))-AVERAGE(OFFSET($H$3,0,0,'Données projet'!$E$13+1,1))</f>
        <v>158.74837032815333</v>
      </c>
      <c r="CZ45" s="59">
        <f t="shared" si="42"/>
        <v>92.286636088270086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1.3018389508179031</v>
      </c>
      <c r="DH45" s="21">
        <f>EXP(-LN(2)/2)*DH44+(1-EXP(-LN(2)/2))/(LN(2)/2)*DB45*DE45*VLOOKUP('Données projet'!$B$13,Paramètres!$A$1:$I$89,3,0)*0.475*44/12</f>
        <v>1.8281022675862322</v>
      </c>
      <c r="DI45" s="22">
        <f t="shared" si="15"/>
        <v>3.1299412184041353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8.3000000000000007</v>
      </c>
      <c r="N46" s="13">
        <f>IF('Données projet'!$A$36&gt;35,N45+M46-V45,IF(A46&lt;'Données projet'!$A$36,$K$205^A46,IF(A46='Données projet'!$A$36,'Données projet'!$B$36,N45+M46-V45)))</f>
        <v>140.9</v>
      </c>
      <c r="O46" s="13">
        <f>N46*VLOOKUP('Données projet'!$B$9,Paramètres!$A$1:$I$89,3,0)*VLOOKUP('Données projet'!$B$9,Paramètres!$A$1:$I$89,5,0)</f>
        <v>118.69416000000002</v>
      </c>
      <c r="P46" s="13">
        <f t="shared" si="33"/>
        <v>31.370239881449685</v>
      </c>
      <c r="Q46" s="20">
        <f t="shared" si="53"/>
        <v>261.36216312685821</v>
      </c>
      <c r="R46" s="59">
        <f t="shared" si="0"/>
        <v>554.69549646019152</v>
      </c>
      <c r="S46" s="59">
        <f ca="1">AVERAGE(OFFSET($R$3,0,0,'Données projet'!$E$9+1,1))-AVERAGE(OFFSET($H$3,0,0,'Données projet'!$E$9+1,1))</f>
        <v>231.91408074258248</v>
      </c>
      <c r="T46" s="59">
        <f t="shared" si="34"/>
        <v>143.57726487417773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4.7997657434007115</v>
      </c>
      <c r="AC46" s="22">
        <f t="shared" si="3"/>
        <v>4.7997657434007115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8.3000000000000007</v>
      </c>
      <c r="AI46" s="13">
        <f>IF('Données projet'!$A$62&gt;35,AI45+AH46-AQ45,IF(A46&lt;'Données projet'!$A$62,$AF$205^A46,IF(A46='Données projet'!$A$62,'Données projet'!$B$62,AI45+AH46-AQ45)))</f>
        <v>140.9</v>
      </c>
      <c r="AJ46" s="13">
        <f>AI46*VLOOKUP('Données projet'!$B$10,Paramètres!$A$1:$I$89,3,0)*VLOOKUP('Données projet'!$B$10,Paramètres!$A$1:$I$89,5,0)</f>
        <v>127.48631999999999</v>
      </c>
      <c r="AK46" s="13">
        <f t="shared" si="35"/>
        <v>33.414863287066048</v>
      </c>
      <c r="AL46" s="20">
        <f t="shared" si="4"/>
        <v>280.23622755830667</v>
      </c>
      <c r="AM46" s="59">
        <f t="shared" si="5"/>
        <v>573.56956089163998</v>
      </c>
      <c r="AN46" s="59">
        <f ca="1">AVERAGE(OFFSET($AM$3,0,0,'Données projet'!$E$10+1,1))-AVERAGE(OFFSET($H$3,0,0,'Données projet'!$E$10+1,1))</f>
        <v>253.16772905022714</v>
      </c>
      <c r="AO46" s="59">
        <f t="shared" si="36"/>
        <v>156.67965022779907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5.1553039466155779</v>
      </c>
      <c r="AX46" s="21">
        <f t="shared" si="6"/>
        <v>5.1553039466155779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8.7333333333333343</v>
      </c>
      <c r="BD46" s="12">
        <f>IF('Données projet'!$A$88&gt;35,BD45+BC46-BL45,IF(A46&lt;'Données projet'!$A$88,$BA$205^A46,IF(A46='Données projet'!$A$88,'Données projet'!$B$88,BD45+BC46-BL45)))</f>
        <v>178.89999999999992</v>
      </c>
      <c r="BE46" s="13">
        <f>BD46*VLOOKUP('Données projet'!$B$11,Paramètres!$A$1:$I$89,3,0)*VLOOKUP('Données projet'!$B$11,Paramètres!$A$1:$I$89,5,0)</f>
        <v>106.98219999999996</v>
      </c>
      <c r="BF46" s="13">
        <f t="shared" si="37"/>
        <v>28.61882031857763</v>
      </c>
      <c r="BG46" s="20">
        <f t="shared" si="7"/>
        <v>236.17177705485597</v>
      </c>
      <c r="BH46" s="59">
        <f t="shared" si="8"/>
        <v>529.50511038818922</v>
      </c>
      <c r="BI46" s="59">
        <f ca="1">AVERAGE(OFFSET($BH$3,0,0,'Données projet'!$E$11+1,1))-AVERAGE(OFFSET($H$3,0,0,'Données projet'!$E$11+1,1))</f>
        <v>119.24399403036387</v>
      </c>
      <c r="BJ46" s="59">
        <f t="shared" si="38"/>
        <v>119.60076838354843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1.1045708704576558E-2</v>
      </c>
      <c r="BS46" s="22">
        <f t="shared" si="9"/>
        <v>1.1045708704576558E-2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3.8</v>
      </c>
      <c r="BY46" s="12">
        <f>IF('Données projet'!$A$114&gt;35,BY45+BX46-CG45,IF(A46&lt;'Données projet'!$A$114,$BV$205^A46,IF(A46='Données projet'!$A$114,'Données projet'!$B$114,BY45+BX46-CG45)))</f>
        <v>77.400000000000006</v>
      </c>
      <c r="BZ46" s="13">
        <f>BY46*VLOOKUP('Données projet'!$B$12,Paramètres!$A$1:$I$89,3,0)*VLOOKUP('Données projet'!$B$12,Paramètres!$A$1:$I$89,5,0)</f>
        <v>74.861280000000008</v>
      </c>
      <c r="CA46" s="13">
        <f t="shared" si="39"/>
        <v>20.875927007330482</v>
      </c>
      <c r="CB46" s="20">
        <f t="shared" si="10"/>
        <v>166.74230220443391</v>
      </c>
      <c r="CC46" s="59">
        <f t="shared" si="11"/>
        <v>460.0756355377672</v>
      </c>
      <c r="CD46" s="59">
        <f ca="1">AVERAGE(OFFSET($CC$3,0,0,'Données projet'!$E$12+1,1))-AVERAGE(OFFSET($H$3,0,0,'Données projet'!$E$12+1,1))</f>
        <v>135.95692658150551</v>
      </c>
      <c r="CE46" s="59">
        <f t="shared" si="40"/>
        <v>79.394119001888612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1.1377809560480761</v>
      </c>
      <c r="CM46" s="21">
        <f>EXP(-LN(2)/2)*CM45+(1-EXP(-LN(2)/2))/(LN(2)/2)*CG46*CJ46*VLOOKUP('Données projet'!$B$12,Paramètres!$A$1:$I$89,3,0)*0.475*44/12</f>
        <v>1.1615237337244815</v>
      </c>
      <c r="CN46" s="22">
        <f t="shared" si="12"/>
        <v>2.2993046897725575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3.8</v>
      </c>
      <c r="CT46" s="12">
        <f>IF('Données projet'!$A$140&gt;35,CT45+CS46-DB45,IF(A46&lt;'Données projet'!$A$140,$CQ$205^A46,IF(A46='Données projet'!$A$140,'Données projet'!$B$140,CT45+CS46-DB45)))</f>
        <v>77.400000000000006</v>
      </c>
      <c r="CU46" s="17">
        <f>CT46*VLOOKUP('Données projet'!$B$13,Paramètres!$A$1:$I$89,3,0)*VLOOKUP('Données projet'!$B$13,Paramètres!$A$1:$I$89,5,0)</f>
        <v>83.313360000000003</v>
      </c>
      <c r="CV46" s="13">
        <f t="shared" si="41"/>
        <v>22.945394526082648</v>
      </c>
      <c r="CW46" s="20">
        <f t="shared" si="13"/>
        <v>185.06733079959395</v>
      </c>
      <c r="CX46" s="59">
        <f t="shared" si="14"/>
        <v>478.40066413292726</v>
      </c>
      <c r="CY46" s="59">
        <f ca="1">AVERAGE(OFFSET($CX$3,0,0,'Données projet'!$E$13+1,1))-AVERAGE(OFFSET($H$3,0,0,'Données projet'!$E$13+1,1))</f>
        <v>158.74837032815333</v>
      </c>
      <c r="CZ46" s="59">
        <f t="shared" si="42"/>
        <v>92.286636088270086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1.2662400962470526</v>
      </c>
      <c r="DH46" s="21">
        <f>EXP(-LN(2)/2)*DH45+(1-EXP(-LN(2)/2))/(LN(2)/2)*DB46*DE46*VLOOKUP('Données projet'!$B$13,Paramètres!$A$1:$I$89,3,0)*0.475*44/12</f>
        <v>1.2926635101127293</v>
      </c>
      <c r="DI46" s="22">
        <f t="shared" si="15"/>
        <v>2.5589036063597819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8.3000000000000007</v>
      </c>
      <c r="N47" s="13">
        <f>IF('Données projet'!$A$36&gt;35,N46+M47-V46,IF(A47&lt;'Données projet'!$A$36,$K$205^A47,IF(A47='Données projet'!$A$36,'Données projet'!$B$36,N46+M47-V46)))</f>
        <v>149.20000000000002</v>
      </c>
      <c r="O47" s="13">
        <f>N47*VLOOKUP('Données projet'!$B$9,Paramètres!$A$1:$I$89,3,0)*VLOOKUP('Données projet'!$B$9,Paramètres!$A$1:$I$89,5,0)</f>
        <v>125.68608000000002</v>
      </c>
      <c r="P47" s="13">
        <f t="shared" si="33"/>
        <v>32.997589712538002</v>
      </c>
      <c r="Q47" s="20">
        <f t="shared" si="53"/>
        <v>276.37405808267039</v>
      </c>
      <c r="R47" s="59">
        <f t="shared" si="0"/>
        <v>569.7073914160037</v>
      </c>
      <c r="S47" s="59">
        <f ca="1">AVERAGE(OFFSET($R$3,0,0,'Données projet'!$E$9+1,1))-AVERAGE(OFFSET($H$3,0,0,'Données projet'!$E$9+1,1))</f>
        <v>231.91408074258248</v>
      </c>
      <c r="T47" s="59">
        <f t="shared" si="34"/>
        <v>143.57726487417773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3.3939469052655338</v>
      </c>
      <c r="AC47" s="22">
        <f t="shared" si="3"/>
        <v>3.3939469052655338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8.3000000000000007</v>
      </c>
      <c r="AI47" s="13">
        <f>IF('Données projet'!$A$62&gt;35,AI46+AH47-AQ46,IF(A47&lt;'Données projet'!$A$62,$AF$205^A47,IF(A47='Données projet'!$A$62,'Données projet'!$B$62,AI46+AH47-AQ46)))</f>
        <v>149.20000000000002</v>
      </c>
      <c r="AJ47" s="13">
        <f>AI47*VLOOKUP('Données projet'!$B$10,Paramètres!$A$1:$I$89,3,0)*VLOOKUP('Données projet'!$B$10,Paramètres!$A$1:$I$89,5,0)</f>
        <v>134.99616</v>
      </c>
      <c r="AK47" s="13">
        <f t="shared" si="35"/>
        <v>35.148279172043118</v>
      </c>
      <c r="AL47" s="20">
        <f t="shared" si="4"/>
        <v>296.33489822464173</v>
      </c>
      <c r="AM47" s="59">
        <f t="shared" si="5"/>
        <v>589.6682315579751</v>
      </c>
      <c r="AN47" s="59">
        <f ca="1">AVERAGE(OFFSET($AM$3,0,0,'Données projet'!$E$10+1,1))-AVERAGE(OFFSET($H$3,0,0,'Données projet'!$E$10+1,1))</f>
        <v>253.16772905022714</v>
      </c>
      <c r="AO47" s="59">
        <f t="shared" si="36"/>
        <v>156.67965022779907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3.6453503797296465</v>
      </c>
      <c r="AX47" s="21">
        <f t="shared" si="6"/>
        <v>3.6453503797296465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8.7333333333333343</v>
      </c>
      <c r="BD47" s="12">
        <f>IF('Données projet'!$A$88&gt;35,BD46+BC47-BL46,IF(A47&lt;'Données projet'!$A$88,$BA$205^A47,IF(A47='Données projet'!$A$88,'Données projet'!$B$88,BD46+BC47-BL46)))</f>
        <v>187.63333333333327</v>
      </c>
      <c r="BE47" s="13">
        <f>BD47*VLOOKUP('Données projet'!$B$11,Paramètres!$A$1:$I$89,3,0)*VLOOKUP('Données projet'!$B$11,Paramètres!$A$1:$I$89,5,0)</f>
        <v>112.20473333333331</v>
      </c>
      <c r="BF47" s="13">
        <f t="shared" si="37"/>
        <v>29.849835470921526</v>
      </c>
      <c r="BG47" s="20">
        <f t="shared" si="7"/>
        <v>247.41170733407716</v>
      </c>
      <c r="BH47" s="59">
        <f t="shared" si="8"/>
        <v>540.74504066741042</v>
      </c>
      <c r="BI47" s="59">
        <f ca="1">AVERAGE(OFFSET($BH$3,0,0,'Données projet'!$E$11+1,1))-AVERAGE(OFFSET($H$3,0,0,'Données projet'!$E$11+1,1))</f>
        <v>119.24399403036387</v>
      </c>
      <c r="BJ47" s="59">
        <f t="shared" si="38"/>
        <v>119.60076838354843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7.8104955280173605E-3</v>
      </c>
      <c r="BS47" s="22">
        <f t="shared" si="9"/>
        <v>7.8104955280173605E-3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3.8</v>
      </c>
      <c r="BY47" s="12">
        <f>IF('Données projet'!$A$114&gt;35,BY46+BX47-CG46,IF(A47&lt;'Données projet'!$A$114,$BV$205^A47,IF(A47='Données projet'!$A$114,'Données projet'!$B$114,BY46+BX47-CG46)))</f>
        <v>81.2</v>
      </c>
      <c r="BZ47" s="13">
        <f>BY47*VLOOKUP('Données projet'!$B$12,Paramètres!$A$1:$I$89,3,0)*VLOOKUP('Données projet'!$B$12,Paramètres!$A$1:$I$89,5,0)</f>
        <v>78.536640000000006</v>
      </c>
      <c r="CA47" s="13">
        <f t="shared" si="39"/>
        <v>21.779001471873372</v>
      </c>
      <c r="CB47" s="20">
        <f t="shared" si="10"/>
        <v>174.71640889684613</v>
      </c>
      <c r="CC47" s="59">
        <f t="shared" si="11"/>
        <v>468.04974223017945</v>
      </c>
      <c r="CD47" s="59">
        <f ca="1">AVERAGE(OFFSET($CC$3,0,0,'Données projet'!$E$12+1,1))-AVERAGE(OFFSET($H$3,0,0,'Données projet'!$E$12+1,1))</f>
        <v>135.95692658150551</v>
      </c>
      <c r="CE47" s="59">
        <f t="shared" si="40"/>
        <v>79.394119001888612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1.1066682759716413</v>
      </c>
      <c r="CM47" s="21">
        <f>EXP(-LN(2)/2)*CM46+(1-EXP(-LN(2)/2))/(LN(2)/2)*CG47*CJ47*VLOOKUP('Données projet'!$B$12,Paramètres!$A$1:$I$89,3,0)*0.475*44/12</f>
        <v>0.82132130862569863</v>
      </c>
      <c r="CN47" s="22">
        <f t="shared" si="12"/>
        <v>1.92798958459734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3.8</v>
      </c>
      <c r="CT47" s="12">
        <f>IF('Données projet'!$A$140&gt;35,CT46+CS47-DB46,IF(A47&lt;'Données projet'!$A$140,$CQ$205^A47,IF(A47='Données projet'!$A$140,'Données projet'!$B$140,CT46+CS47-DB46)))</f>
        <v>81.2</v>
      </c>
      <c r="CU47" s="17">
        <f>CT47*VLOOKUP('Données projet'!$B$13,Paramètres!$A$1:$I$89,3,0)*VLOOKUP('Données projet'!$B$13,Paramètres!$A$1:$I$89,5,0)</f>
        <v>87.403679999999994</v>
      </c>
      <c r="CV47" s="13">
        <f t="shared" si="41"/>
        <v>23.937992357455176</v>
      </c>
      <c r="CW47" s="20">
        <f t="shared" si="13"/>
        <v>193.92007935590107</v>
      </c>
      <c r="CX47" s="59">
        <f t="shared" si="14"/>
        <v>487.25341268923438</v>
      </c>
      <c r="CY47" s="59">
        <f ca="1">AVERAGE(OFFSET($CX$3,0,0,'Données projet'!$E$13+1,1))-AVERAGE(OFFSET($H$3,0,0,'Données projet'!$E$13+1,1))</f>
        <v>158.74837032815333</v>
      </c>
      <c r="CZ47" s="59">
        <f t="shared" si="42"/>
        <v>92.286636088270086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1.2316146942265043</v>
      </c>
      <c r="DH47" s="21">
        <f>EXP(-LN(2)/2)*DH46+(1-EXP(-LN(2)/2))/(LN(2)/2)*DB47*DE47*VLOOKUP('Données projet'!$B$13,Paramètres!$A$1:$I$89,3,0)*0.475*44/12</f>
        <v>0.9140511337931162</v>
      </c>
      <c r="DI47" s="22">
        <f t="shared" si="15"/>
        <v>2.1456658280196206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8.3000000000000007</v>
      </c>
      <c r="N48" s="13">
        <f>IF('Données projet'!$A$36&gt;35,N47+M48-V47,IF(A48&lt;'Données projet'!$A$36,$K$205^A48,IF(A48='Données projet'!$A$36,'Données projet'!$B$36,N47+M48-V47)))</f>
        <v>157.50000000000003</v>
      </c>
      <c r="O48" s="13">
        <f>N48*VLOOKUP('Données projet'!$B$9,Paramètres!$A$1:$I$89,3,0)*VLOOKUP('Données projet'!$B$9,Paramètres!$A$1:$I$89,5,0)</f>
        <v>132.67800000000005</v>
      </c>
      <c r="P48" s="13">
        <f t="shared" si="33"/>
        <v>34.614430230203745</v>
      </c>
      <c r="Q48" s="20">
        <f t="shared" si="53"/>
        <v>291.36764931760496</v>
      </c>
      <c r="R48" s="59">
        <f t="shared" si="0"/>
        <v>584.70098265093827</v>
      </c>
      <c r="S48" s="59">
        <f ca="1">AVERAGE(OFFSET($R$3,0,0,'Données projet'!$E$9+1,1))-AVERAGE(OFFSET($H$3,0,0,'Données projet'!$E$9+1,1))</f>
        <v>231.91408074258248</v>
      </c>
      <c r="T48" s="59">
        <f t="shared" si="34"/>
        <v>143.57726487417773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2.3998828717003562</v>
      </c>
      <c r="AC48" s="22">
        <f t="shared" si="3"/>
        <v>2.3998828717003562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8.3000000000000007</v>
      </c>
      <c r="AI48" s="13">
        <f>IF('Données projet'!$A$62&gt;35,AI47+AH48-AQ47,IF(A48&lt;'Données projet'!$A$62,$AF$205^A48,IF(A48='Données projet'!$A$62,'Données projet'!$B$62,AI47+AH48-AQ47)))</f>
        <v>157.50000000000003</v>
      </c>
      <c r="AJ48" s="13">
        <f>AI48*VLOOKUP('Données projet'!$B$10,Paramètres!$A$1:$I$89,3,0)*VLOOKUP('Données projet'!$B$10,Paramètres!$A$1:$I$89,5,0)</f>
        <v>142.50600000000003</v>
      </c>
      <c r="AK48" s="13">
        <f t="shared" si="35"/>
        <v>36.870500776307573</v>
      </c>
      <c r="AL48" s="20">
        <f t="shared" si="4"/>
        <v>312.4140721854024</v>
      </c>
      <c r="AM48" s="59">
        <f t="shared" si="5"/>
        <v>605.74740551873572</v>
      </c>
      <c r="AN48" s="59">
        <f ca="1">AVERAGE(OFFSET($AM$3,0,0,'Données projet'!$E$10+1,1))-AVERAGE(OFFSET($H$3,0,0,'Données projet'!$E$10+1,1))</f>
        <v>253.16772905022714</v>
      </c>
      <c r="AO48" s="59">
        <f t="shared" si="36"/>
        <v>156.67965022779907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2.5776519733077894</v>
      </c>
      <c r="AX48" s="21">
        <f t="shared" si="6"/>
        <v>2.5776519733077894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8.7333333333333343</v>
      </c>
      <c r="BD48" s="12">
        <f>IF('Données projet'!$A$88&gt;35,BD47+BC48-BL47,IF(A48&lt;'Données projet'!$A$88,$BA$205^A48,IF(A48='Données projet'!$A$88,'Données projet'!$B$88,BD47+BC48-BL47)))</f>
        <v>196.36666666666662</v>
      </c>
      <c r="BE48" s="13">
        <f>BD48*VLOOKUP('Données projet'!$B$11,Paramètres!$A$1:$I$89,3,0)*VLOOKUP('Données projet'!$B$11,Paramètres!$A$1:$I$89,5,0)</f>
        <v>117.42726666666665</v>
      </c>
      <c r="BF48" s="13">
        <f t="shared" si="37"/>
        <v>31.074196725897963</v>
      </c>
      <c r="BG48" s="20">
        <f t="shared" si="7"/>
        <v>258.64004874205006</v>
      </c>
      <c r="BH48" s="59">
        <f t="shared" si="8"/>
        <v>551.97338207538337</v>
      </c>
      <c r="BI48" s="59">
        <f ca="1">AVERAGE(OFFSET($BH$3,0,0,'Données projet'!$E$11+1,1))-AVERAGE(OFFSET($H$3,0,0,'Données projet'!$E$11+1,1))</f>
        <v>119.24399403036387</v>
      </c>
      <c r="BJ48" s="59">
        <f t="shared" si="38"/>
        <v>119.60076838354843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5.5228543522882799E-3</v>
      </c>
      <c r="BS48" s="22">
        <f t="shared" si="9"/>
        <v>5.5228543522882799E-3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85</v>
      </c>
      <c r="BW48" s="12">
        <f>VLOOKUP(A48,'Données projet'!$A$113:$I$133,9,0)</f>
        <v>3.8</v>
      </c>
      <c r="BX48" s="12">
        <f t="array" ref="BX48">INDEX(BW:BW,MIN(IF(ISNUMBER(BW48:BW244),ROW(BW48:BW244),"")))</f>
        <v>3.8</v>
      </c>
      <c r="BY48" s="12">
        <f>IF('Données projet'!$A$114&gt;35,BY47+BX48-CG47,IF(A48&lt;'Données projet'!$A$114,$BV$205^A48,IF(A48='Données projet'!$A$114,'Données projet'!$B$114,BY47+BX48-CG47)))</f>
        <v>85</v>
      </c>
      <c r="BZ48" s="13">
        <f>BY48*VLOOKUP('Données projet'!$B$12,Paramètres!$A$1:$I$89,3,0)*VLOOKUP('Données projet'!$B$12,Paramètres!$A$1:$I$89,5,0)</f>
        <v>82.212000000000003</v>
      </c>
      <c r="CA48" s="13">
        <f t="shared" si="39"/>
        <v>22.677168109987953</v>
      </c>
      <c r="CB48" s="20">
        <f t="shared" si="10"/>
        <v>182.68196779156236</v>
      </c>
      <c r="CC48" s="59">
        <f t="shared" si="11"/>
        <v>476.0153011248957</v>
      </c>
      <c r="CD48" s="59">
        <f ca="1">AVERAGE(OFFSET($CC$3,0,0,'Données projet'!$E$12+1,1))-AVERAGE(OFFSET($H$3,0,0,'Données projet'!$E$12+1,1))</f>
        <v>135.95692658150551</v>
      </c>
      <c r="CE48" s="59">
        <f t="shared" si="40"/>
        <v>79.394119001888612</v>
      </c>
      <c r="CF48" s="15">
        <f>IF(ISNA(VLOOKUP(A48,'Données projet'!$A$113:$I$133,3,0)),0,VLOOKUP(A48,'Données projet'!$A$113:$I$133,3,0))</f>
        <v>4</v>
      </c>
      <c r="CG48" s="15">
        <f>IF(ISNA(VLOOKUP(A48,'Données projet'!$A$113:$I$133,4,0)),0,VLOOKUP(A48,'Données projet'!$A$113:$I$133,4,0))</f>
        <v>9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0.17200000000000001</v>
      </c>
      <c r="CJ48" s="16">
        <f>IF(ISNA(VLOOKUP(A48,'Données projet'!$A$113:$I$133,7,0)),0%,VLOOKUP(A48,'Données projet'!$A$113:$I$133,7,0))</f>
        <v>0.3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2.7250280149089394</v>
      </c>
      <c r="CM48" s="21">
        <f>EXP(-LN(2)/2)*CM47+(1-EXP(-LN(2)/2))/(LN(2)/2)*CG48*CJ48*VLOOKUP('Données projet'!$B$12,Paramètres!$A$1:$I$89,3,0)*0.475*44/12</f>
        <v>3.0447257927393352</v>
      </c>
      <c r="CN48" s="22">
        <f t="shared" si="12"/>
        <v>5.7697538076482751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85</v>
      </c>
      <c r="CR48" s="12">
        <f>VLOOKUP(A48,'Données projet'!$A$139:$I$159,9,0)</f>
        <v>3.8</v>
      </c>
      <c r="CS48" s="12">
        <f t="array" ref="CS48">INDEX(CR:CR,MIN(IF(ISNUMBER(CR48:CR244),ROW(CR48:CR244),"")))</f>
        <v>3.8</v>
      </c>
      <c r="CT48" s="12">
        <f>IF('Données projet'!$A$140&gt;35,CT47+CS48-DB47,IF(A48&lt;'Données projet'!$A$140,$CQ$205^A48,IF(A48='Données projet'!$A$140,'Données projet'!$B$140,CT47+CS48-DB47)))</f>
        <v>85</v>
      </c>
      <c r="CU48" s="17">
        <f>CT48*VLOOKUP('Données projet'!$B$13,Paramètres!$A$1:$I$89,3,0)*VLOOKUP('Données projet'!$B$13,Paramètres!$A$1:$I$89,5,0)</f>
        <v>91.494</v>
      </c>
      <c r="CV48" s="13">
        <f t="shared" si="41"/>
        <v>24.925195840896517</v>
      </c>
      <c r="CW48" s="20">
        <f t="shared" si="13"/>
        <v>202.7634327562281</v>
      </c>
      <c r="CX48" s="59">
        <f t="shared" si="14"/>
        <v>496.09676608956141</v>
      </c>
      <c r="CY48" s="59">
        <f ca="1">AVERAGE(OFFSET($CX$3,0,0,'Données projet'!$E$13+1,1))-AVERAGE(OFFSET($H$3,0,0,'Données projet'!$E$13+1,1))</f>
        <v>158.74837032815333</v>
      </c>
      <c r="CZ48" s="59">
        <f t="shared" si="42"/>
        <v>92.286636088270086</v>
      </c>
      <c r="DA48" s="15">
        <f>IF(ISNA(VLOOKUP(A48,'Données projet'!$A$139:$I$159,3,0)),0,VLOOKUP(A48,'Données projet'!$A$139:$I$159,3,0))</f>
        <v>4</v>
      </c>
      <c r="DB48" s="15">
        <f>IF(ISNA(VLOOKUP(A48,'Données projet'!$A$139:$I$159,4,0)),0,VLOOKUP(A48,'Données projet'!$A$139:$I$159,4,0))</f>
        <v>9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0.17200000000000001</v>
      </c>
      <c r="DE48" s="16">
        <f>IF(ISNA(VLOOKUP(A48,'Données projet'!$A$139:$I$159,7,0)),0%,VLOOKUP(A48,'Données projet'!$A$139:$I$159,7,0))</f>
        <v>0.3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3.0326924682051102</v>
      </c>
      <c r="DH48" s="21">
        <f>EXP(-LN(2)/2)*DH47+(1-EXP(-LN(2)/2))/(LN(2)/2)*DB48*DE48*VLOOKUP('Données projet'!$B$13,Paramètres!$A$1:$I$89,3,0)*0.475*44/12</f>
        <v>3.3884851564357117</v>
      </c>
      <c r="DI48" s="22">
        <f t="shared" si="15"/>
        <v>6.4211776246408219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8.3000000000000007</v>
      </c>
      <c r="N49" s="13">
        <f>IF('Données projet'!$A$36&gt;35,N48+M49-V48,IF(A49&lt;'Données projet'!$A$36,$K$205^A49,IF(A49='Données projet'!$A$36,'Données projet'!$B$36,N48+M49-V48)))</f>
        <v>165.80000000000004</v>
      </c>
      <c r="O49" s="13">
        <f>N49*VLOOKUP('Données projet'!$B$9,Paramètres!$A$1:$I$89,3,0)*VLOOKUP('Données projet'!$B$9,Paramètres!$A$1:$I$89,5,0)</f>
        <v>139.66992000000005</v>
      </c>
      <c r="P49" s="13">
        <f t="shared" si="33"/>
        <v>36.221378416983733</v>
      </c>
      <c r="Q49" s="20">
        <f t="shared" si="53"/>
        <v>306.34401140958011</v>
      </c>
      <c r="R49" s="59">
        <f t="shared" si="0"/>
        <v>599.67734474291342</v>
      </c>
      <c r="S49" s="59">
        <f ca="1">AVERAGE(OFFSET($R$3,0,0,'Données projet'!$E$9+1,1))-AVERAGE(OFFSET($H$3,0,0,'Données projet'!$E$9+1,1))</f>
        <v>231.91408074258248</v>
      </c>
      <c r="T49" s="59">
        <f t="shared" si="34"/>
        <v>143.57726487417773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1.6969734526327671</v>
      </c>
      <c r="AC49" s="22">
        <f t="shared" si="3"/>
        <v>1.6969734526327671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8.3000000000000007</v>
      </c>
      <c r="AI49" s="13">
        <f>IF('Données projet'!$A$62&gt;35,AI48+AH49-AQ48,IF(A49&lt;'Données projet'!$A$62,$AF$205^A49,IF(A49='Données projet'!$A$62,'Données projet'!$B$62,AI48+AH49-AQ48)))</f>
        <v>165.80000000000004</v>
      </c>
      <c r="AJ49" s="13">
        <f>AI49*VLOOKUP('Données projet'!$B$10,Paramètres!$A$1:$I$89,3,0)*VLOOKUP('Données projet'!$B$10,Paramètres!$A$1:$I$89,5,0)</f>
        <v>150.01584000000003</v>
      </c>
      <c r="AK49" s="13">
        <f t="shared" si="35"/>
        <v>38.582185295570788</v>
      </c>
      <c r="AL49" s="20">
        <f t="shared" si="4"/>
        <v>328.47489405645246</v>
      </c>
      <c r="AM49" s="59">
        <f t="shared" si="5"/>
        <v>621.80822738978577</v>
      </c>
      <c r="AN49" s="59">
        <f ca="1">AVERAGE(OFFSET($AM$3,0,0,'Données projet'!$E$10+1,1))-AVERAGE(OFFSET($H$3,0,0,'Données projet'!$E$10+1,1))</f>
        <v>253.16772905022714</v>
      </c>
      <c r="AO49" s="59">
        <f t="shared" si="36"/>
        <v>156.67965022779907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1.8226751898648237</v>
      </c>
      <c r="AX49" s="21">
        <f t="shared" si="6"/>
        <v>1.8226751898648237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>
        <f>VLOOKUP(A49,'Données projet'!$A$87:$I$107,2,0)</f>
        <v>205.1</v>
      </c>
      <c r="BB49" s="12">
        <f>VLOOKUP(A49,'Données projet'!$A$87:$I$107,9,0)</f>
        <v>8.7333333333333343</v>
      </c>
      <c r="BC49" s="12">
        <f t="array" ref="BC49">INDEX(BB:BB,MIN(IF(ISNUMBER(BB49:BB245),ROW(BB49:BB245),"")))</f>
        <v>8.7333333333333343</v>
      </c>
      <c r="BD49" s="12">
        <f>IF('Données projet'!$A$88&gt;35,BD48+BC49-BL48,IF(A49&lt;'Données projet'!$A$88,$BA$205^A49,IF(A49='Données projet'!$A$88,'Données projet'!$B$88,BD48+BC49-BL48)))</f>
        <v>205.09999999999997</v>
      </c>
      <c r="BE49" s="13">
        <f>BD49*VLOOKUP('Données projet'!$B$11,Paramètres!$A$1:$I$89,3,0)*VLOOKUP('Données projet'!$B$11,Paramètres!$A$1:$I$89,5,0)</f>
        <v>122.64979999999998</v>
      </c>
      <c r="BF49" s="13">
        <f t="shared" si="37"/>
        <v>32.292233827625772</v>
      </c>
      <c r="BG49" s="20">
        <f t="shared" si="7"/>
        <v>269.85737558311484</v>
      </c>
      <c r="BH49" s="59">
        <f t="shared" si="8"/>
        <v>563.1907089164481</v>
      </c>
      <c r="BI49" s="59">
        <f ca="1">AVERAGE(OFFSET($BH$3,0,0,'Données projet'!$E$11+1,1))-AVERAGE(OFFSET($H$3,0,0,'Données projet'!$E$11+1,1))</f>
        <v>119.24399403036387</v>
      </c>
      <c r="BJ49" s="59">
        <f t="shared" si="38"/>
        <v>119.60076838354843</v>
      </c>
      <c r="BK49" s="15">
        <f>IF(ISNA(VLOOKUP(A49,'Données projet'!$A$87:$I$107,3,0)),0,VLOOKUP(A49,'Données projet'!$A$87:$I$107,3,0))</f>
        <v>7</v>
      </c>
      <c r="BL49" s="15">
        <f>IF(ISNA(VLOOKUP(A49,'Données projet'!$A$87:$I$107,4,0)),0,VLOOKUP(A49,'Données projet'!$A$87:$I$107,4,0))</f>
        <v>22.9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3.9052477640086807E-3</v>
      </c>
      <c r="BS49" s="22">
        <f t="shared" si="9"/>
        <v>3.9052477640086807E-3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3.8</v>
      </c>
      <c r="BY49" s="12">
        <f>IF('Données projet'!$A$114&gt;35,BY48+BX49-CG48,IF(A49&lt;'Données projet'!$A$114,$BV$205^A49,IF(A49='Données projet'!$A$114,'Données projet'!$B$114,BY48+BX49-CG48)))</f>
        <v>79.8</v>
      </c>
      <c r="BZ49" s="13">
        <f>BY49*VLOOKUP('Données projet'!$B$12,Paramètres!$A$1:$I$89,3,0)*VLOOKUP('Données projet'!$B$12,Paramètres!$A$1:$I$89,5,0)</f>
        <v>77.182559999999995</v>
      </c>
      <c r="CA49" s="13">
        <f t="shared" si="39"/>
        <v>21.446874557671695</v>
      </c>
      <c r="CB49" s="20">
        <f t="shared" si="10"/>
        <v>171.77959852127819</v>
      </c>
      <c r="CC49" s="59">
        <f t="shared" si="11"/>
        <v>465.11293185461147</v>
      </c>
      <c r="CD49" s="59">
        <f ca="1">AVERAGE(OFFSET($CC$3,0,0,'Données projet'!$E$12+1,1))-AVERAGE(OFFSET($H$3,0,0,'Données projet'!$E$12+1,1))</f>
        <v>135.95692658150551</v>
      </c>
      <c r="CE49" s="59">
        <f t="shared" si="40"/>
        <v>79.394119001888612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2.6505119805382593</v>
      </c>
      <c r="CM49" s="21">
        <f>EXP(-LN(2)/2)*CM48+(1-EXP(-LN(2)/2))/(LN(2)/2)*CG49*CJ49*VLOOKUP('Données projet'!$B$12,Paramètres!$A$1:$I$89,3,0)*0.475*44/12</f>
        <v>2.1529462548995708</v>
      </c>
      <c r="CN49" s="22">
        <f t="shared" si="12"/>
        <v>4.8034582354378301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3.8</v>
      </c>
      <c r="CT49" s="12">
        <f>IF('Données projet'!$A$140&gt;35,CT48+CS49-DB48,IF(A49&lt;'Données projet'!$A$140,$CQ$205^A49,IF(A49='Données projet'!$A$140,'Données projet'!$B$140,CT48+CS49-DB48)))</f>
        <v>79.8</v>
      </c>
      <c r="CU49" s="17">
        <f>CT49*VLOOKUP('Données projet'!$B$13,Paramètres!$A$1:$I$89,3,0)*VLOOKUP('Données projet'!$B$13,Paramètres!$A$1:$I$89,5,0)</f>
        <v>85.896719999999988</v>
      </c>
      <c r="CV49" s="13">
        <f t="shared" si="41"/>
        <v>23.572941115591171</v>
      </c>
      <c r="CW49" s="20">
        <f t="shared" si="13"/>
        <v>190.65965977632126</v>
      </c>
      <c r="CX49" s="59">
        <f t="shared" si="14"/>
        <v>483.99299310965455</v>
      </c>
      <c r="CY49" s="59">
        <f ca="1">AVERAGE(OFFSET($CX$3,0,0,'Données projet'!$E$13+1,1))-AVERAGE(OFFSET($H$3,0,0,'Données projet'!$E$13+1,1))</f>
        <v>158.74837032815333</v>
      </c>
      <c r="CZ49" s="59">
        <f t="shared" si="42"/>
        <v>92.286636088270086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2.9497633331796758</v>
      </c>
      <c r="DH49" s="21">
        <f>EXP(-LN(2)/2)*DH48+(1-EXP(-LN(2)/2))/(LN(2)/2)*DB49*DE49*VLOOKUP('Données projet'!$B$13,Paramètres!$A$1:$I$89,3,0)*0.475*44/12</f>
        <v>2.3960208320656511</v>
      </c>
      <c r="DI49" s="22">
        <f t="shared" si="15"/>
        <v>5.3457841652453268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8.3000000000000007</v>
      </c>
      <c r="N50" s="13">
        <f>IF('Données projet'!$A$36&gt;35,N49+M50-V49,IF(A50&lt;'Données projet'!$A$36,$K$205^A50,IF(A50='Données projet'!$A$36,'Données projet'!$B$36,N49+M50-V49)))</f>
        <v>174.10000000000005</v>
      </c>
      <c r="O50" s="13">
        <f>N50*VLOOKUP('Données projet'!$B$9,Paramètres!$A$1:$I$89,3,0)*VLOOKUP('Données projet'!$B$9,Paramètres!$A$1:$I$89,5,0)</f>
        <v>146.66184000000007</v>
      </c>
      <c r="P50" s="13">
        <f t="shared" si="33"/>
        <v>37.818985993248447</v>
      </c>
      <c r="Q50" s="20">
        <f t="shared" si="53"/>
        <v>321.30410527157443</v>
      </c>
      <c r="R50" s="59">
        <f t="shared" si="0"/>
        <v>614.63743860490774</v>
      </c>
      <c r="S50" s="59">
        <f ca="1">AVERAGE(OFFSET($R$3,0,0,'Données projet'!$E$9+1,1))-AVERAGE(OFFSET($H$3,0,0,'Données projet'!$E$9+1,1))</f>
        <v>231.91408074258248</v>
      </c>
      <c r="T50" s="59">
        <f t="shared" si="34"/>
        <v>143.57726487417773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1.1999414358501781</v>
      </c>
      <c r="AC50" s="22">
        <f t="shared" si="3"/>
        <v>1.1999414358501781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8.3000000000000007</v>
      </c>
      <c r="AI50" s="13">
        <f>IF('Données projet'!$A$62&gt;35,AI49+AH50-AQ49,IF(A50&lt;'Données projet'!$A$62,$AF$205^A50,IF(A50='Données projet'!$A$62,'Données projet'!$B$62,AI49+AH50-AQ49)))</f>
        <v>174.10000000000005</v>
      </c>
      <c r="AJ50" s="13">
        <f>AI50*VLOOKUP('Données projet'!$B$10,Paramètres!$A$1:$I$89,3,0)*VLOOKUP('Données projet'!$B$10,Paramètres!$A$1:$I$89,5,0)</f>
        <v>157.52568000000005</v>
      </c>
      <c r="AK50" s="13">
        <f t="shared" si="35"/>
        <v>40.283920409774808</v>
      </c>
      <c r="AL50" s="20">
        <f t="shared" si="4"/>
        <v>344.51838738035786</v>
      </c>
      <c r="AM50" s="59">
        <f t="shared" si="5"/>
        <v>637.85172071369118</v>
      </c>
      <c r="AN50" s="59">
        <f ca="1">AVERAGE(OFFSET($AM$3,0,0,'Données projet'!$E$10+1,1))-AVERAGE(OFFSET($H$3,0,0,'Données projet'!$E$10+1,1))</f>
        <v>253.16772905022714</v>
      </c>
      <c r="AO50" s="59">
        <f t="shared" si="36"/>
        <v>156.67965022779907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1.2888259866538949</v>
      </c>
      <c r="AX50" s="21">
        <f t="shared" si="6"/>
        <v>1.2888259866538949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5.2625000000000028</v>
      </c>
      <c r="BD50" s="12">
        <f>IF('Données projet'!$A$88&gt;35,BD49+BC50-BL49,IF(A50&lt;'Données projet'!$A$88,$BA$205^A50,IF(A50='Données projet'!$A$88,'Données projet'!$B$88,BD49+BC50-BL49)))</f>
        <v>187.46249999999995</v>
      </c>
      <c r="BE50" s="13">
        <f>BD50*VLOOKUP('Données projet'!$B$11,Paramètres!$A$1:$I$89,3,0)*VLOOKUP('Données projet'!$B$11,Paramètres!$A$1:$I$89,5,0)</f>
        <v>112.10257499999997</v>
      </c>
      <c r="BF50" s="13">
        <f t="shared" si="37"/>
        <v>29.825820432269506</v>
      </c>
      <c r="BG50" s="20">
        <f t="shared" si="7"/>
        <v>247.19195537786928</v>
      </c>
      <c r="BH50" s="59">
        <f t="shared" si="8"/>
        <v>540.52528871120262</v>
      </c>
      <c r="BI50" s="59">
        <f ca="1">AVERAGE(OFFSET($BH$3,0,0,'Données projet'!$E$11+1,1))-AVERAGE(OFFSET($H$3,0,0,'Données projet'!$E$11+1,1))</f>
        <v>119.24399403036387</v>
      </c>
      <c r="BJ50" s="59">
        <f t="shared" si="38"/>
        <v>119.60076838354843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2.7614271761441404E-3</v>
      </c>
      <c r="BS50" s="22">
        <f t="shared" si="9"/>
        <v>2.7614271761441404E-3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3.8</v>
      </c>
      <c r="BY50" s="12">
        <f>IF('Données projet'!$A$114&gt;35,BY49+BX50-CG49,IF(A50&lt;'Données projet'!$A$114,$BV$205^A50,IF(A50='Données projet'!$A$114,'Données projet'!$B$114,BY49+BX50-CG49)))</f>
        <v>83.6</v>
      </c>
      <c r="BZ50" s="13">
        <f>BY50*VLOOKUP('Données projet'!$B$12,Paramètres!$A$1:$I$89,3,0)*VLOOKUP('Données projet'!$B$12,Paramètres!$A$1:$I$89,5,0)</f>
        <v>80.857919999999993</v>
      </c>
      <c r="CA50" s="13">
        <f t="shared" si="39"/>
        <v>22.346819625648891</v>
      </c>
      <c r="CB50" s="20">
        <f t="shared" si="10"/>
        <v>179.74825484800513</v>
      </c>
      <c r="CC50" s="59">
        <f t="shared" si="11"/>
        <v>473.08158818133847</v>
      </c>
      <c r="CD50" s="59">
        <f ca="1">AVERAGE(OFFSET($CC$3,0,0,'Données projet'!$E$12+1,1))-AVERAGE(OFFSET($H$3,0,0,'Données projet'!$E$12+1,1))</f>
        <v>135.95692658150551</v>
      </c>
      <c r="CE50" s="59">
        <f t="shared" si="40"/>
        <v>79.394119001888612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2.5780335910460734</v>
      </c>
      <c r="CM50" s="21">
        <f>EXP(-LN(2)/2)*CM49+(1-EXP(-LN(2)/2))/(LN(2)/2)*CG50*CJ50*VLOOKUP('Données projet'!$B$12,Paramètres!$A$1:$I$89,3,0)*0.475*44/12</f>
        <v>1.5223628963696678</v>
      </c>
      <c r="CN50" s="22">
        <f t="shared" si="12"/>
        <v>4.1003964874157415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3.8</v>
      </c>
      <c r="CT50" s="12">
        <f>IF('Données projet'!$A$140&gt;35,CT49+CS50-DB49,IF(A50&lt;'Données projet'!$A$140,$CQ$205^A50,IF(A50='Données projet'!$A$140,'Données projet'!$B$140,CT49+CS50-DB49)))</f>
        <v>83.6</v>
      </c>
      <c r="CU50" s="17">
        <f>CT50*VLOOKUP('Données projet'!$B$13,Paramètres!$A$1:$I$89,3,0)*VLOOKUP('Données projet'!$B$13,Paramètres!$A$1:$I$89,5,0)</f>
        <v>89.987039999999993</v>
      </c>
      <c r="CV50" s="13">
        <f t="shared" si="41"/>
        <v>24.562099327788811</v>
      </c>
      <c r="CW50" s="20">
        <f t="shared" si="13"/>
        <v>199.5064176625655</v>
      </c>
      <c r="CX50" s="59">
        <f t="shared" si="14"/>
        <v>492.83975099589884</v>
      </c>
      <c r="CY50" s="59">
        <f ca="1">AVERAGE(OFFSET($CX$3,0,0,'Données projet'!$E$13+1,1))-AVERAGE(OFFSET($H$3,0,0,'Données projet'!$E$13+1,1))</f>
        <v>158.74837032815333</v>
      </c>
      <c r="CZ50" s="59">
        <f t="shared" si="42"/>
        <v>92.286636088270086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2.8691018997125655</v>
      </c>
      <c r="DH50" s="21">
        <f>EXP(-LN(2)/2)*DH49+(1-EXP(-LN(2)/2))/(LN(2)/2)*DB50*DE50*VLOOKUP('Données projet'!$B$13,Paramètres!$A$1:$I$89,3,0)*0.475*44/12</f>
        <v>1.6942425782178561</v>
      </c>
      <c r="DI50" s="22">
        <f t="shared" si="15"/>
        <v>4.5633444779304213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8.3000000000000007</v>
      </c>
      <c r="N51" s="13">
        <f>IF('Données projet'!$A$36&gt;35,N50+M51-V50,IF(A51&lt;'Données projet'!$A$36,$K$205^A51,IF(A51='Données projet'!$A$36,'Données projet'!$B$36,N50+M51-V50)))</f>
        <v>182.40000000000006</v>
      </c>
      <c r="O51" s="13">
        <f>N51*VLOOKUP('Données projet'!$B$9,Paramètres!$A$1:$I$89,3,0)*VLOOKUP('Données projet'!$B$9,Paramètres!$A$1:$I$89,5,0)</f>
        <v>153.65376000000006</v>
      </c>
      <c r="P51" s="13">
        <f t="shared" si="33"/>
        <v>39.407749101745424</v>
      </c>
      <c r="Q51" s="20">
        <f t="shared" si="53"/>
        <v>336.24879501887341</v>
      </c>
      <c r="R51" s="59">
        <f t="shared" si="0"/>
        <v>629.58212835220672</v>
      </c>
      <c r="S51" s="59">
        <f ca="1">AVERAGE(OFFSET($R$3,0,0,'Données projet'!$E$9+1,1))-AVERAGE(OFFSET($H$3,0,0,'Données projet'!$E$9+1,1))</f>
        <v>231.91408074258248</v>
      </c>
      <c r="T51" s="59">
        <f t="shared" si="34"/>
        <v>143.57726487417773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0.84848672631638355</v>
      </c>
      <c r="AC51" s="22">
        <f t="shared" si="3"/>
        <v>0.84848672631638355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8.3000000000000007</v>
      </c>
      <c r="AI51" s="13">
        <f>IF('Données projet'!$A$62&gt;35,AI50+AH51-AQ50,IF(A51&lt;'Données projet'!$A$62,$AF$205^A51,IF(A51='Données projet'!$A$62,'Données projet'!$B$62,AI50+AH51-AQ50)))</f>
        <v>182.40000000000006</v>
      </c>
      <c r="AJ51" s="13">
        <f>AI51*VLOOKUP('Données projet'!$B$10,Paramètres!$A$1:$I$89,3,0)*VLOOKUP('Données projet'!$B$10,Paramètres!$A$1:$I$89,5,0)</f>
        <v>165.03552000000005</v>
      </c>
      <c r="AK51" s="13">
        <f t="shared" si="35"/>
        <v>41.976234598846517</v>
      </c>
      <c r="AL51" s="20">
        <f t="shared" si="4"/>
        <v>360.54547259299108</v>
      </c>
      <c r="AM51" s="59">
        <f t="shared" si="5"/>
        <v>653.87880592632439</v>
      </c>
      <c r="AN51" s="59">
        <f ca="1">AVERAGE(OFFSET($AM$3,0,0,'Données projet'!$E$10+1,1))-AVERAGE(OFFSET($H$3,0,0,'Données projet'!$E$10+1,1))</f>
        <v>253.16772905022714</v>
      </c>
      <c r="AO51" s="59">
        <f t="shared" si="36"/>
        <v>156.67965022779907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0.91133759493241195</v>
      </c>
      <c r="AX51" s="21">
        <f t="shared" si="6"/>
        <v>0.91133759493241195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5.2625000000000028</v>
      </c>
      <c r="BD51" s="12">
        <f>IF('Données projet'!$A$88&gt;35,BD50+BC51-BL50,IF(A51&lt;'Données projet'!$A$88,$BA$205^A51,IF(A51='Données projet'!$A$88,'Données projet'!$B$88,BD50+BC51-BL50)))</f>
        <v>192.72499999999997</v>
      </c>
      <c r="BE51" s="13">
        <f>BD51*VLOOKUP('Données projet'!$B$11,Paramètres!$A$1:$I$89,3,0)*VLOOKUP('Données projet'!$B$11,Paramètres!$A$1:$I$89,5,0)</f>
        <v>115.24955</v>
      </c>
      <c r="BF51" s="13">
        <f t="shared" si="37"/>
        <v>30.564443714537294</v>
      </c>
      <c r="BG51" s="20">
        <f t="shared" si="7"/>
        <v>253.95937238615247</v>
      </c>
      <c r="BH51" s="59">
        <f t="shared" si="8"/>
        <v>547.29270571948575</v>
      </c>
      <c r="BI51" s="59">
        <f ca="1">AVERAGE(OFFSET($BH$3,0,0,'Données projet'!$E$11+1,1))-AVERAGE(OFFSET($H$3,0,0,'Données projet'!$E$11+1,1))</f>
        <v>119.24399403036387</v>
      </c>
      <c r="BJ51" s="59">
        <f t="shared" si="38"/>
        <v>119.60076838354843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1.9526238820043406E-3</v>
      </c>
      <c r="BS51" s="22">
        <f t="shared" si="9"/>
        <v>1.9526238820043406E-3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3.8</v>
      </c>
      <c r="BY51" s="12">
        <f>IF('Données projet'!$A$114&gt;35,BY50+BX51-CG50,IF(A51&lt;'Données projet'!$A$114,$BV$205^A51,IF(A51='Données projet'!$A$114,'Données projet'!$B$114,BY50+BX51-CG50)))</f>
        <v>87.399999999999991</v>
      </c>
      <c r="BZ51" s="13">
        <f>BY51*VLOOKUP('Données projet'!$B$12,Paramètres!$A$1:$I$89,3,0)*VLOOKUP('Données projet'!$B$12,Paramètres!$A$1:$I$89,5,0)</f>
        <v>84.533279999999991</v>
      </c>
      <c r="CA51" s="13">
        <f t="shared" si="39"/>
        <v>23.242014012893971</v>
      </c>
      <c r="CB51" s="20">
        <f t="shared" si="10"/>
        <v>187.70863707245698</v>
      </c>
      <c r="CC51" s="59">
        <f t="shared" si="11"/>
        <v>481.04197040579027</v>
      </c>
      <c r="CD51" s="59">
        <f ca="1">AVERAGE(OFFSET($CC$3,0,0,'Données projet'!$E$12+1,1))-AVERAGE(OFFSET($H$3,0,0,'Données projet'!$E$12+1,1))</f>
        <v>135.95692658150551</v>
      </c>
      <c r="CE51" s="59">
        <f t="shared" si="40"/>
        <v>79.394119001888612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2.507537126926024</v>
      </c>
      <c r="CM51" s="21">
        <f>EXP(-LN(2)/2)*CM50+(1-EXP(-LN(2)/2))/(LN(2)/2)*CG51*CJ51*VLOOKUP('Données projet'!$B$12,Paramètres!$A$1:$I$89,3,0)*0.475*44/12</f>
        <v>1.0764731274497854</v>
      </c>
      <c r="CN51" s="22">
        <f t="shared" si="12"/>
        <v>3.5840102543758094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3.8</v>
      </c>
      <c r="CT51" s="12">
        <f>IF('Données projet'!$A$140&gt;35,CT50+CS51-DB50,IF(A51&lt;'Données projet'!$A$140,$CQ$205^A51,IF(A51='Données projet'!$A$140,'Données projet'!$B$140,CT50+CS51-DB50)))</f>
        <v>87.399999999999991</v>
      </c>
      <c r="CU51" s="17">
        <f>CT51*VLOOKUP('Données projet'!$B$13,Paramètres!$A$1:$I$89,3,0)*VLOOKUP('Données projet'!$B$13,Paramètres!$A$1:$I$89,5,0)</f>
        <v>94.077359999999985</v>
      </c>
      <c r="CV51" s="13">
        <f t="shared" si="41"/>
        <v>25.546035915881891</v>
      </c>
      <c r="CW51" s="20">
        <f t="shared" si="13"/>
        <v>208.34408122016092</v>
      </c>
      <c r="CX51" s="59">
        <f t="shared" si="14"/>
        <v>501.67741455349426</v>
      </c>
      <c r="CY51" s="59">
        <f ca="1">AVERAGE(OFFSET($CX$3,0,0,'Données projet'!$E$13+1,1))-AVERAGE(OFFSET($H$3,0,0,'Données projet'!$E$13+1,1))</f>
        <v>158.74837032815333</v>
      </c>
      <c r="CZ51" s="59">
        <f t="shared" si="42"/>
        <v>92.286636088270086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2.7906461573854138</v>
      </c>
      <c r="DH51" s="21">
        <f>EXP(-LN(2)/2)*DH50+(1-EXP(-LN(2)/2))/(LN(2)/2)*DB51*DE51*VLOOKUP('Données projet'!$B$13,Paramètres!$A$1:$I$89,3,0)*0.475*44/12</f>
        <v>1.1980104160328258</v>
      </c>
      <c r="DI51" s="22">
        <f t="shared" si="15"/>
        <v>3.9886565734182398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8.3000000000000007</v>
      </c>
      <c r="N52" s="13">
        <f>IF('Données projet'!$A$36&gt;35,N51+M52-V51,IF(A52&lt;'Données projet'!$A$36,$K$205^A52,IF(A52='Données projet'!$A$36,'Données projet'!$B$36,N51+M52-V51)))</f>
        <v>190.70000000000007</v>
      </c>
      <c r="O52" s="13">
        <f>N52*VLOOKUP('Données projet'!$B$9,Paramètres!$A$1:$I$89,3,0)*VLOOKUP('Données projet'!$B$9,Paramètres!$A$1:$I$89,5,0)</f>
        <v>160.64568000000008</v>
      </c>
      <c r="P52" s="13">
        <f t="shared" si="33"/>
        <v>40.988116179554204</v>
      </c>
      <c r="Q52" s="20">
        <f t="shared" si="53"/>
        <v>351.17886167939037</v>
      </c>
      <c r="R52" s="59">
        <f t="shared" si="0"/>
        <v>644.51219501272362</v>
      </c>
      <c r="S52" s="59">
        <f ca="1">AVERAGE(OFFSET($R$3,0,0,'Données projet'!$E$9+1,1))-AVERAGE(OFFSET($H$3,0,0,'Données projet'!$E$9+1,1))</f>
        <v>231.91408074258248</v>
      </c>
      <c r="T52" s="59">
        <f t="shared" si="34"/>
        <v>143.57726487417773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0.59997071792508905</v>
      </c>
      <c r="AC52" s="22">
        <f t="shared" si="3"/>
        <v>0.59997071792508905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8.3000000000000007</v>
      </c>
      <c r="AI52" s="13">
        <f>IF('Données projet'!$A$62&gt;35,AI51+AH52-AQ51,IF(A52&lt;'Données projet'!$A$62,$AF$205^A52,IF(A52='Données projet'!$A$62,'Données projet'!$B$62,AI51+AH52-AQ51)))</f>
        <v>190.70000000000007</v>
      </c>
      <c r="AJ52" s="13">
        <f>AI52*VLOOKUP('Données projet'!$B$10,Paramètres!$A$1:$I$89,3,0)*VLOOKUP('Données projet'!$B$10,Paramètres!$A$1:$I$89,5,0)</f>
        <v>172.54536000000007</v>
      </c>
      <c r="AK52" s="13">
        <f t="shared" si="35"/>
        <v>43.65960552772448</v>
      </c>
      <c r="AL52" s="20">
        <f t="shared" si="4"/>
        <v>376.55698162745358</v>
      </c>
      <c r="AM52" s="59">
        <f t="shared" si="5"/>
        <v>669.8903149607869</v>
      </c>
      <c r="AN52" s="59">
        <f ca="1">AVERAGE(OFFSET($AM$3,0,0,'Données projet'!$E$10+1,1))-AVERAGE(OFFSET($H$3,0,0,'Données projet'!$E$10+1,1))</f>
        <v>253.16772905022714</v>
      </c>
      <c r="AO52" s="59">
        <f t="shared" si="36"/>
        <v>156.67965022779907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0.64441299332694757</v>
      </c>
      <c r="AX52" s="21">
        <f t="shared" si="6"/>
        <v>0.64441299332694757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5.2625000000000028</v>
      </c>
      <c r="BD52" s="12">
        <f>IF('Données projet'!$A$88&gt;35,BD51+BC52-BL51,IF(A52&lt;'Données projet'!$A$88,$BA$205^A52,IF(A52='Données projet'!$A$88,'Données projet'!$B$88,BD51+BC52-BL51)))</f>
        <v>197.98749999999995</v>
      </c>
      <c r="BE52" s="13">
        <f>BD52*VLOOKUP('Données projet'!$B$11,Paramètres!$A$1:$I$89,3,0)*VLOOKUP('Données projet'!$B$11,Paramètres!$A$1:$I$89,5,0)</f>
        <v>118.39652499999997</v>
      </c>
      <c r="BF52" s="13">
        <f t="shared" si="37"/>
        <v>31.300722783831329</v>
      </c>
      <c r="BG52" s="20">
        <f t="shared" si="7"/>
        <v>260.72270655683951</v>
      </c>
      <c r="BH52" s="59">
        <f t="shared" si="8"/>
        <v>554.05603989017277</v>
      </c>
      <c r="BI52" s="59">
        <f ca="1">AVERAGE(OFFSET($BH$3,0,0,'Données projet'!$E$11+1,1))-AVERAGE(OFFSET($H$3,0,0,'Données projet'!$E$11+1,1))</f>
        <v>119.24399403036387</v>
      </c>
      <c r="BJ52" s="59">
        <f t="shared" si="38"/>
        <v>119.60076838354843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1.3807135880720704E-3</v>
      </c>
      <c r="BS52" s="22">
        <f t="shared" si="9"/>
        <v>1.3807135880720704E-3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3.8</v>
      </c>
      <c r="BY52" s="12">
        <f>IF('Données projet'!$A$114&gt;35,BY51+BX52-CG51,IF(A52&lt;'Données projet'!$A$114,$BV$205^A52,IF(A52='Données projet'!$A$114,'Données projet'!$B$114,BY51+BX52-CG51)))</f>
        <v>91.199999999999989</v>
      </c>
      <c r="BZ52" s="13">
        <f>BY52*VLOOKUP('Données projet'!$B$12,Paramètres!$A$1:$I$89,3,0)*VLOOKUP('Données projet'!$B$12,Paramètres!$A$1:$I$89,5,0)</f>
        <v>88.208639999999988</v>
      </c>
      <c r="CA52" s="13">
        <f t="shared" si="39"/>
        <v>24.132687878829255</v>
      </c>
      <c r="CB52" s="20">
        <f t="shared" si="10"/>
        <v>195.6611460556276</v>
      </c>
      <c r="CC52" s="59">
        <f t="shared" si="11"/>
        <v>488.99447938896094</v>
      </c>
      <c r="CD52" s="59">
        <f ca="1">AVERAGE(OFFSET($CC$3,0,0,'Données projet'!$E$12+1,1))-AVERAGE(OFFSET($H$3,0,0,'Données projet'!$E$12+1,1))</f>
        <v>135.95692658150551</v>
      </c>
      <c r="CE52" s="59">
        <f t="shared" si="40"/>
        <v>79.394119001888612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2.4389683923245853</v>
      </c>
      <c r="CM52" s="21">
        <f>EXP(-LN(2)/2)*CM51+(1-EXP(-LN(2)/2))/(LN(2)/2)*CG52*CJ52*VLOOKUP('Données projet'!$B$12,Paramètres!$A$1:$I$89,3,0)*0.475*44/12</f>
        <v>0.76118144818483391</v>
      </c>
      <c r="CN52" s="22">
        <f t="shared" si="12"/>
        <v>3.2001498405094191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3.8</v>
      </c>
      <c r="CT52" s="12">
        <f>IF('Données projet'!$A$140&gt;35,CT51+CS52-DB51,IF(A52&lt;'Données projet'!$A$140,$CQ$205^A52,IF(A52='Données projet'!$A$140,'Données projet'!$B$140,CT51+CS52-DB51)))</f>
        <v>91.199999999999989</v>
      </c>
      <c r="CU52" s="17">
        <f>CT52*VLOOKUP('Données projet'!$B$13,Paramètres!$A$1:$I$89,3,0)*VLOOKUP('Données projet'!$B$13,Paramètres!$A$1:$I$89,5,0)</f>
        <v>98.16767999999999</v>
      </c>
      <c r="CV52" s="13">
        <f t="shared" si="41"/>
        <v>26.525003855402876</v>
      </c>
      <c r="CW52" s="20">
        <f t="shared" si="13"/>
        <v>217.17309104815999</v>
      </c>
      <c r="CX52" s="59">
        <f t="shared" si="14"/>
        <v>510.50642438149328</v>
      </c>
      <c r="CY52" s="59">
        <f ca="1">AVERAGE(OFFSET($CX$3,0,0,'Données projet'!$E$13+1,1))-AVERAGE(OFFSET($H$3,0,0,'Données projet'!$E$13+1,1))</f>
        <v>158.74837032815333</v>
      </c>
      <c r="CZ52" s="59">
        <f t="shared" si="42"/>
        <v>92.286636088270086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2.7143357914580064</v>
      </c>
      <c r="DH52" s="21">
        <f>EXP(-LN(2)/2)*DH51+(1-EXP(-LN(2)/2))/(LN(2)/2)*DB52*DE52*VLOOKUP('Données projet'!$B$13,Paramètres!$A$1:$I$89,3,0)*0.475*44/12</f>
        <v>0.84712128910892814</v>
      </c>
      <c r="DI52" s="22">
        <f t="shared" si="15"/>
        <v>3.5614570805669343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199</v>
      </c>
      <c r="L53" s="12">
        <f>VLOOKUP(A53,'Données projet'!$A$35:$I$55,9,0)</f>
        <v>8.3000000000000007</v>
      </c>
      <c r="M53" s="12">
        <f t="array" ref="M53">INDEX(L:L,MIN(IF(ISNUMBER(L53:L249),ROW(L53:L249),"")))</f>
        <v>8.3000000000000007</v>
      </c>
      <c r="N53" s="13">
        <f>IF('Données projet'!$A$36&gt;35,N52+M53-V52,IF(A53&lt;'Données projet'!$A$36,$K$205^A53,IF(A53='Données projet'!$A$36,'Données projet'!$B$36,N52+M53-V52)))</f>
        <v>199.00000000000009</v>
      </c>
      <c r="O53" s="13">
        <f>N53*VLOOKUP('Données projet'!$B$9,Paramètres!$A$1:$I$89,3,0)*VLOOKUP('Données projet'!$B$9,Paramètres!$A$1:$I$89,5,0)</f>
        <v>167.63760000000008</v>
      </c>
      <c r="P53" s="13">
        <f t="shared" si="33"/>
        <v>42.560494420898017</v>
      </c>
      <c r="Q53" s="20">
        <f t="shared" si="53"/>
        <v>366.09501444973085</v>
      </c>
      <c r="R53" s="59">
        <f t="shared" si="0"/>
        <v>659.42834778306417</v>
      </c>
      <c r="S53" s="59">
        <f ca="1">AVERAGE(OFFSET($R$3,0,0,'Données projet'!$E$9+1,1))-AVERAGE(OFFSET($H$3,0,0,'Données projet'!$E$9+1,1))</f>
        <v>231.91408074258248</v>
      </c>
      <c r="T53" s="59">
        <f t="shared" si="34"/>
        <v>143.57726487417773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42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0.42424336315819178</v>
      </c>
      <c r="AC53" s="22">
        <f t="shared" si="3"/>
        <v>0.42424336315819178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199</v>
      </c>
      <c r="AG53" s="12">
        <f>VLOOKUP(A53,'Données projet'!$A$61:$I$81,9,0)</f>
        <v>8.3000000000000007</v>
      </c>
      <c r="AH53" s="12">
        <f t="array" ref="AH53">INDEX(AG:AG,MIN(IF(ISNUMBER(AG53:AG249),ROW(AG53:AG249),"")))</f>
        <v>8.3000000000000007</v>
      </c>
      <c r="AI53" s="13">
        <f>IF('Données projet'!$A$62&gt;35,AI52+AH53-AQ52,IF(A53&lt;'Données projet'!$A$62,$AF$205^A53,IF(A53='Données projet'!$A$62,'Données projet'!$B$62,AI52+AH53-AQ52)))</f>
        <v>199.00000000000009</v>
      </c>
      <c r="AJ53" s="13">
        <f>AI53*VLOOKUP('Données projet'!$B$10,Paramètres!$A$1:$I$89,3,0)*VLOOKUP('Données projet'!$B$10,Paramètres!$A$1:$I$89,5,0)</f>
        <v>180.05520000000007</v>
      </c>
      <c r="AK53" s="13">
        <f t="shared" si="35"/>
        <v>45.334466930398399</v>
      </c>
      <c r="AL53" s="20">
        <f t="shared" si="4"/>
        <v>392.55366990377735</v>
      </c>
      <c r="AM53" s="59">
        <f t="shared" si="5"/>
        <v>685.88700323711066</v>
      </c>
      <c r="AN53" s="59">
        <f ca="1">AVERAGE(OFFSET($AM$3,0,0,'Données projet'!$E$10+1,1))-AVERAGE(OFFSET($H$3,0,0,'Données projet'!$E$10+1,1))</f>
        <v>253.16772905022714</v>
      </c>
      <c r="AO53" s="59">
        <f t="shared" si="36"/>
        <v>156.67965022779907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42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0.45566879746620603</v>
      </c>
      <c r="AX53" s="21">
        <f t="shared" si="6"/>
        <v>0.45566879746620603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5.2625000000000028</v>
      </c>
      <c r="BD53" s="12">
        <f>IF('Données projet'!$A$88&gt;35,BD52+BC53-BL52,IF(A53&lt;'Données projet'!$A$88,$BA$205^A53,IF(A53='Données projet'!$A$88,'Données projet'!$B$88,BD52+BC53-BL52)))</f>
        <v>203.24999999999994</v>
      </c>
      <c r="BE53" s="13">
        <f>BD53*VLOOKUP('Données projet'!$B$11,Paramètres!$A$1:$I$89,3,0)*VLOOKUP('Données projet'!$B$11,Paramètres!$A$1:$I$89,5,0)</f>
        <v>121.54349999999997</v>
      </c>
      <c r="BF53" s="13">
        <f t="shared" si="37"/>
        <v>32.034727111081679</v>
      </c>
      <c r="BG53" s="20">
        <f t="shared" si="7"/>
        <v>267.48207888513389</v>
      </c>
      <c r="BH53" s="59">
        <f t="shared" si="8"/>
        <v>560.81541221846715</v>
      </c>
      <c r="BI53" s="59">
        <f ca="1">AVERAGE(OFFSET($BH$3,0,0,'Données projet'!$E$11+1,1))-AVERAGE(OFFSET($H$3,0,0,'Données projet'!$E$11+1,1))</f>
        <v>119.24399403036387</v>
      </c>
      <c r="BJ53" s="59">
        <f t="shared" si="38"/>
        <v>119.60076838354843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9.763119410021705E-4</v>
      </c>
      <c r="BS53" s="22">
        <f t="shared" si="9"/>
        <v>9.763119410021705E-4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95</v>
      </c>
      <c r="BW53" s="12">
        <f>VLOOKUP(A53,'Données projet'!$A$113:$I$133,9,0)</f>
        <v>3.8</v>
      </c>
      <c r="BX53" s="12">
        <f t="array" ref="BX53">INDEX(BW:BW,MIN(IF(ISNUMBER(BW53:BW249),ROW(BW53:BW249),"")))</f>
        <v>3.8</v>
      </c>
      <c r="BY53" s="12">
        <f>IF('Données projet'!$A$114&gt;35,BY52+BX53-CG52,IF(A53&lt;'Données projet'!$A$114,$BV$205^A53,IF(A53='Données projet'!$A$114,'Données projet'!$B$114,BY52+BX53-CG52)))</f>
        <v>94.999999999999986</v>
      </c>
      <c r="BZ53" s="13">
        <f>BY53*VLOOKUP('Données projet'!$B$12,Paramètres!$A$1:$I$89,3,0)*VLOOKUP('Données projet'!$B$12,Paramètres!$A$1:$I$89,5,0)</f>
        <v>91.883999999999986</v>
      </c>
      <c r="CA53" s="13">
        <f t="shared" si="39"/>
        <v>25.019051117801563</v>
      </c>
      <c r="CB53" s="20">
        <f t="shared" si="10"/>
        <v>203.60614736350439</v>
      </c>
      <c r="CC53" s="59">
        <f t="shared" si="11"/>
        <v>496.93948069683768</v>
      </c>
      <c r="CD53" s="59">
        <f ca="1">AVERAGE(OFFSET($CC$3,0,0,'Données projet'!$E$12+1,1))-AVERAGE(OFFSET($H$3,0,0,'Données projet'!$E$12+1,1))</f>
        <v>135.95692658150551</v>
      </c>
      <c r="CE53" s="59">
        <f t="shared" si="40"/>
        <v>79.394119001888612</v>
      </c>
      <c r="CF53" s="15">
        <f>IF(ISNA(VLOOKUP(A53,'Données projet'!$A$113:$I$133,3,0)),0,VLOOKUP(A53,'Données projet'!$A$113:$I$133,3,0))</f>
        <v>5</v>
      </c>
      <c r="CG53" s="15">
        <f>IF(ISNA(VLOOKUP(A53,'Données projet'!$A$113:$I$133,4,0)),0,VLOOKUP(A53,'Données projet'!$A$113:$I$133,4,0))</f>
        <v>9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0.17200000000000001</v>
      </c>
      <c r="CJ53" s="16">
        <f>IF(ISNA(VLOOKUP(A53,'Données projet'!$A$113:$I$133,7,0)),0%,VLOOKUP(A53,'Données projet'!$A$113:$I$133,7,0))</f>
        <v>0.3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4.0208963145175947</v>
      </c>
      <c r="CM53" s="21">
        <f>EXP(-LN(2)/2)*CM52+(1-EXP(-LN(2)/2))/(LN(2)/2)*CG53*CJ53*VLOOKUP('Données projet'!$B$12,Paramètres!$A$1:$I$89,3,0)*0.475*44/12</f>
        <v>3.0022004896019876</v>
      </c>
      <c r="CN53" s="22">
        <f t="shared" si="12"/>
        <v>7.0230968041195823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95</v>
      </c>
      <c r="CR53" s="12">
        <f>VLOOKUP(A53,'Données projet'!$A$139:$I$159,9,0)</f>
        <v>3.8</v>
      </c>
      <c r="CS53" s="12">
        <f t="array" ref="CS53">INDEX(CR:CR,MIN(IF(ISNUMBER(CR53:CR249),ROW(CR53:CR249),"")))</f>
        <v>3.8</v>
      </c>
      <c r="CT53" s="12">
        <f>IF('Données projet'!$A$140&gt;35,CT52+CS53-DB52,IF(A53&lt;'Données projet'!$A$140,$CQ$205^A53,IF(A53='Données projet'!$A$140,'Données projet'!$B$140,CT52+CS53-DB52)))</f>
        <v>94.999999999999986</v>
      </c>
      <c r="CU53" s="17">
        <f>CT53*VLOOKUP('Données projet'!$B$13,Paramètres!$A$1:$I$89,3,0)*VLOOKUP('Données projet'!$B$13,Paramètres!$A$1:$I$89,5,0)</f>
        <v>102.25799999999998</v>
      </c>
      <c r="CV53" s="13">
        <f t="shared" si="41"/>
        <v>27.499233847895834</v>
      </c>
      <c r="CW53" s="20">
        <f t="shared" si="13"/>
        <v>225.99384895175183</v>
      </c>
      <c r="CX53" s="59">
        <f t="shared" si="14"/>
        <v>519.3271822850852</v>
      </c>
      <c r="CY53" s="59">
        <f ca="1">AVERAGE(OFFSET($CX$3,0,0,'Données projet'!$E$13+1,1))-AVERAGE(OFFSET($H$3,0,0,'Données projet'!$E$13+1,1))</f>
        <v>158.74837032815333</v>
      </c>
      <c r="CZ53" s="59">
        <f t="shared" si="42"/>
        <v>92.286636088270086</v>
      </c>
      <c r="DA53" s="15">
        <f>IF(ISNA(VLOOKUP(A53,'Données projet'!$A$139:$I$159,3,0)),0,VLOOKUP(A53,'Données projet'!$A$139:$I$159,3,0))</f>
        <v>5</v>
      </c>
      <c r="DB53" s="15">
        <f>IF(ISNA(VLOOKUP(A53,'Données projet'!$A$139:$I$159,4,0)),0,VLOOKUP(A53,'Données projet'!$A$139:$I$159,4,0))</f>
        <v>9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0.17200000000000001</v>
      </c>
      <c r="DE53" s="16">
        <f>IF(ISNA(VLOOKUP(A53,'Données projet'!$A$139:$I$159,7,0)),0%,VLOOKUP(A53,'Données projet'!$A$139:$I$159,7,0))</f>
        <v>0.3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4.4748684790599027</v>
      </c>
      <c r="DH53" s="21">
        <f>EXP(-LN(2)/2)*DH52+(1-EXP(-LN(2)/2))/(LN(2)/2)*DB53*DE53*VLOOKUP('Données projet'!$B$13,Paramètres!$A$1:$I$89,3,0)*0.475*44/12</f>
        <v>3.3411586093957601</v>
      </c>
      <c r="DI53" s="22">
        <f t="shared" si="15"/>
        <v>7.8160270884556624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7.8</v>
      </c>
      <c r="N54" s="13">
        <f>IF('Données projet'!$A$36&gt;35,N53+M54-V53,IF(A54&lt;'Données projet'!$A$36,$K$205^A54,IF(A54='Données projet'!$A$36,'Données projet'!$B$36,N53+M54-V53)))</f>
        <v>164.8000000000001</v>
      </c>
      <c r="O54" s="13">
        <f>N54*VLOOKUP('Données projet'!$B$9,Paramètres!$A$1:$I$89,3,0)*VLOOKUP('Données projet'!$B$9,Paramètres!$A$1:$I$89,5,0)</f>
        <v>138.82752000000011</v>
      </c>
      <c r="P54" s="13">
        <f t="shared" si="33"/>
        <v>36.028275462187054</v>
      </c>
      <c r="Q54" s="20">
        <f t="shared" si="53"/>
        <v>304.54051042997594</v>
      </c>
      <c r="R54" s="59">
        <f t="shared" si="0"/>
        <v>597.8738437633092</v>
      </c>
      <c r="S54" s="59">
        <f ca="1">AVERAGE(OFFSET($R$3,0,0,'Données projet'!$E$9+1,1))-AVERAGE(OFFSET($H$3,0,0,'Données projet'!$E$9+1,1))</f>
        <v>231.91408074258248</v>
      </c>
      <c r="T54" s="59">
        <f t="shared" si="34"/>
        <v>143.57726487417773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0.29998535896254452</v>
      </c>
      <c r="AC54" s="22">
        <f t="shared" si="3"/>
        <v>0.29998535896254452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7.8</v>
      </c>
      <c r="AI54" s="13">
        <f>IF('Données projet'!$A$62&gt;35,AI53+AH54-AQ53,IF(A54&lt;'Données projet'!$A$62,$AF$205^A54,IF(A54='Données projet'!$A$62,'Données projet'!$B$62,AI53+AH54-AQ53)))</f>
        <v>164.8000000000001</v>
      </c>
      <c r="AJ54" s="13">
        <f>AI54*VLOOKUP('Données projet'!$B$10,Paramètres!$A$1:$I$89,3,0)*VLOOKUP('Données projet'!$B$10,Paramètres!$A$1:$I$89,5,0)</f>
        <v>149.11104000000009</v>
      </c>
      <c r="AK54" s="13">
        <f t="shared" si="35"/>
        <v>38.376496436982421</v>
      </c>
      <c r="AL54" s="20">
        <f t="shared" si="4"/>
        <v>326.54079262774457</v>
      </c>
      <c r="AM54" s="59">
        <f t="shared" si="5"/>
        <v>619.87412596107788</v>
      </c>
      <c r="AN54" s="59">
        <f ca="1">AVERAGE(OFFSET($AM$3,0,0,'Données projet'!$E$10+1,1))-AVERAGE(OFFSET($H$3,0,0,'Données projet'!$E$10+1,1))</f>
        <v>253.16772905022714</v>
      </c>
      <c r="AO54" s="59">
        <f t="shared" si="36"/>
        <v>156.67965022779907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0.32220649666347378</v>
      </c>
      <c r="AX54" s="21">
        <f t="shared" si="6"/>
        <v>0.32220649666347378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5.2625000000000028</v>
      </c>
      <c r="BD54" s="12">
        <f>IF('Données projet'!$A$88&gt;35,BD53+BC54-BL53,IF(A54&lt;'Données projet'!$A$88,$BA$205^A54,IF(A54='Données projet'!$A$88,'Données projet'!$B$88,BD53+BC54-BL53)))</f>
        <v>208.51249999999993</v>
      </c>
      <c r="BE54" s="13">
        <f>BD54*VLOOKUP('Données projet'!$B$11,Paramètres!$A$1:$I$89,3,0)*VLOOKUP('Données projet'!$B$11,Paramètres!$A$1:$I$89,5,0)</f>
        <v>124.69047499999996</v>
      </c>
      <c r="BF54" s="13">
        <f t="shared" si="37"/>
        <v>32.766522364846388</v>
      </c>
      <c r="BG54" s="20">
        <f t="shared" si="7"/>
        <v>274.23760374377406</v>
      </c>
      <c r="BH54" s="59">
        <f t="shared" si="8"/>
        <v>567.57093707710737</v>
      </c>
      <c r="BI54" s="59">
        <f ca="1">AVERAGE(OFFSET($BH$3,0,0,'Données projet'!$E$11+1,1))-AVERAGE(OFFSET($H$3,0,0,'Données projet'!$E$11+1,1))</f>
        <v>119.24399403036387</v>
      </c>
      <c r="BJ54" s="59">
        <f t="shared" si="38"/>
        <v>119.60076838354843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6.9035679403603532E-4</v>
      </c>
      <c r="BS54" s="22">
        <f t="shared" si="9"/>
        <v>6.9035679403603532E-4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4</v>
      </c>
      <c r="BY54" s="12">
        <f>IF('Données projet'!$A$114&gt;35,BY53+BX54-CG53,IF(A54&lt;'Données projet'!$A$114,$BV$205^A54,IF(A54='Données projet'!$A$114,'Données projet'!$B$114,BY53+BX54-CG53)))</f>
        <v>89.999999999999986</v>
      </c>
      <c r="BZ54" s="13">
        <f>BY54*VLOOKUP('Données projet'!$B$12,Paramètres!$A$1:$I$89,3,0)*VLOOKUP('Données projet'!$B$12,Paramètres!$A$1:$I$89,5,0)</f>
        <v>87.047999999999988</v>
      </c>
      <c r="CA54" s="13">
        <f t="shared" si="39"/>
        <v>23.851897708444891</v>
      </c>
      <c r="CB54" s="20">
        <f t="shared" si="10"/>
        <v>193.15065517554149</v>
      </c>
      <c r="CC54" s="59">
        <f t="shared" si="11"/>
        <v>486.4839885088748</v>
      </c>
      <c r="CD54" s="59">
        <f ca="1">AVERAGE(OFFSET($CC$3,0,0,'Données projet'!$E$12+1,1))-AVERAGE(OFFSET($H$3,0,0,'Données projet'!$E$12+1,1))</f>
        <v>135.95692658150551</v>
      </c>
      <c r="CE54" s="59">
        <f t="shared" si="40"/>
        <v>79.394119001888612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3.9109446933473637</v>
      </c>
      <c r="CM54" s="21">
        <f>EXP(-LN(2)/2)*CM53+(1-EXP(-LN(2)/2))/(LN(2)/2)*CG54*CJ54*VLOOKUP('Données projet'!$B$12,Paramètres!$A$1:$I$89,3,0)*0.475*44/12</f>
        <v>2.1228763246791384</v>
      </c>
      <c r="CN54" s="22">
        <f t="shared" si="12"/>
        <v>6.0338210180265026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4</v>
      </c>
      <c r="CT54" s="12">
        <f>IF('Données projet'!$A$140&gt;35,CT53+CS54-DB53,IF(A54&lt;'Données projet'!$A$140,$CQ$205^A54,IF(A54='Données projet'!$A$140,'Données projet'!$B$140,CT53+CS54-DB53)))</f>
        <v>89.999999999999986</v>
      </c>
      <c r="CU54" s="17">
        <f>CT54*VLOOKUP('Données projet'!$B$13,Paramètres!$A$1:$I$89,3,0)*VLOOKUP('Données projet'!$B$13,Paramètres!$A$1:$I$89,5,0)</f>
        <v>96.875999999999976</v>
      </c>
      <c r="CV54" s="13">
        <f t="shared" si="41"/>
        <v>26.216378459450219</v>
      </c>
      <c r="CW54" s="20">
        <f t="shared" si="13"/>
        <v>214.38589248354242</v>
      </c>
      <c r="CX54" s="59">
        <f t="shared" si="14"/>
        <v>507.71922581687573</v>
      </c>
      <c r="CY54" s="59">
        <f ca="1">AVERAGE(OFFSET($CX$3,0,0,'Données projet'!$E$13+1,1))-AVERAGE(OFFSET($H$3,0,0,'Données projet'!$E$13+1,1))</f>
        <v>158.74837032815333</v>
      </c>
      <c r="CZ54" s="59">
        <f t="shared" si="42"/>
        <v>92.286636088270086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4.352502965176904</v>
      </c>
      <c r="DH54" s="21">
        <f>EXP(-LN(2)/2)*DH53+(1-EXP(-LN(2)/2))/(LN(2)/2)*DB54*DE54*VLOOKUP('Données projet'!$B$13,Paramètres!$A$1:$I$89,3,0)*0.475*44/12</f>
        <v>2.3625559097235573</v>
      </c>
      <c r="DI54" s="22">
        <f t="shared" si="15"/>
        <v>6.7150588749004614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7.8</v>
      </c>
      <c r="N55" s="13">
        <f>IF('Données projet'!$A$36&gt;35,N54+M55-V54,IF(A55&lt;'Données projet'!$A$36,$K$205^A55,IF(A55='Données projet'!$A$36,'Données projet'!$B$36,N54+M55-V54)))</f>
        <v>172.60000000000011</v>
      </c>
      <c r="O55" s="13">
        <f>N55*VLOOKUP('Données projet'!$B$9,Paramètres!$A$1:$I$89,3,0)*VLOOKUP('Données projet'!$B$9,Paramètres!$A$1:$I$89,5,0)</f>
        <v>145.3982400000001</v>
      </c>
      <c r="P55" s="13">
        <f t="shared" si="33"/>
        <v>37.530930280375188</v>
      </c>
      <c r="Q55" s="20">
        <f t="shared" si="53"/>
        <v>318.60163823832028</v>
      </c>
      <c r="R55" s="59">
        <f t="shared" si="0"/>
        <v>611.93497157165359</v>
      </c>
      <c r="S55" s="59">
        <f ca="1">AVERAGE(OFFSET($R$3,0,0,'Données projet'!$E$9+1,1))-AVERAGE(OFFSET($H$3,0,0,'Données projet'!$E$9+1,1))</f>
        <v>231.91408074258248</v>
      </c>
      <c r="T55" s="59">
        <f t="shared" si="34"/>
        <v>143.57726487417773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0.21212168157909589</v>
      </c>
      <c r="AC55" s="22">
        <f t="shared" si="3"/>
        <v>0.21212168157909589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7.8</v>
      </c>
      <c r="AI55" s="13">
        <f>IF('Données projet'!$A$62&gt;35,AI54+AH55-AQ54,IF(A55&lt;'Données projet'!$A$62,$AF$205^A55,IF(A55='Données projet'!$A$62,'Données projet'!$B$62,AI54+AH55-AQ54)))</f>
        <v>172.60000000000011</v>
      </c>
      <c r="AJ55" s="13">
        <f>AI55*VLOOKUP('Données projet'!$B$10,Paramètres!$A$1:$I$89,3,0)*VLOOKUP('Données projet'!$B$10,Paramètres!$A$1:$I$89,5,0)</f>
        <v>156.1684800000001</v>
      </c>
      <c r="AK55" s="13">
        <f t="shared" si="35"/>
        <v>39.977090041212335</v>
      </c>
      <c r="AL55" s="20">
        <f t="shared" si="4"/>
        <v>341.6202011551116</v>
      </c>
      <c r="AM55" s="59">
        <f t="shared" si="5"/>
        <v>634.95353448844492</v>
      </c>
      <c r="AN55" s="59">
        <f ca="1">AVERAGE(OFFSET($AM$3,0,0,'Données projet'!$E$10+1,1))-AVERAGE(OFFSET($H$3,0,0,'Données projet'!$E$10+1,1))</f>
        <v>253.16772905022714</v>
      </c>
      <c r="AO55" s="59">
        <f t="shared" si="36"/>
        <v>156.67965022779907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0.22783439873310302</v>
      </c>
      <c r="AX55" s="21">
        <f t="shared" si="6"/>
        <v>0.22783439873310302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5.2625000000000028</v>
      </c>
      <c r="BD55" s="12">
        <f>IF('Données projet'!$A$88&gt;35,BD54+BC55-BL54,IF(A55&lt;'Données projet'!$A$88,$BA$205^A55,IF(A55='Données projet'!$A$88,'Données projet'!$B$88,BD54+BC55-BL54)))</f>
        <v>213.77499999999992</v>
      </c>
      <c r="BE55" s="13">
        <f>BD55*VLOOKUP('Données projet'!$B$11,Paramètres!$A$1:$I$89,3,0)*VLOOKUP('Données projet'!$B$11,Paramètres!$A$1:$I$89,5,0)</f>
        <v>127.83744999999998</v>
      </c>
      <c r="BF55" s="13">
        <f t="shared" si="37"/>
        <v>33.496170710067318</v>
      </c>
      <c r="BG55" s="20">
        <f t="shared" si="7"/>
        <v>280.98938940336717</v>
      </c>
      <c r="BH55" s="59">
        <f t="shared" si="8"/>
        <v>574.32272273670048</v>
      </c>
      <c r="BI55" s="59">
        <f ca="1">AVERAGE(OFFSET($BH$3,0,0,'Données projet'!$E$11+1,1))-AVERAGE(OFFSET($H$3,0,0,'Données projet'!$E$11+1,1))</f>
        <v>119.24399403036387</v>
      </c>
      <c r="BJ55" s="59">
        <f t="shared" si="38"/>
        <v>119.60076838354843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4.881559705010853E-4</v>
      </c>
      <c r="BS55" s="22">
        <f t="shared" si="9"/>
        <v>4.881559705010853E-4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4</v>
      </c>
      <c r="BY55" s="12">
        <f>IF('Données projet'!$A$114&gt;35,BY54+BX55-CG54,IF(A55&lt;'Données projet'!$A$114,$BV$205^A55,IF(A55='Données projet'!$A$114,'Données projet'!$B$114,BY54+BX55-CG54)))</f>
        <v>93.999999999999986</v>
      </c>
      <c r="BZ55" s="13">
        <f>BY55*VLOOKUP('Données projet'!$B$12,Paramètres!$A$1:$I$89,3,0)*VLOOKUP('Données projet'!$B$12,Paramètres!$A$1:$I$89,5,0)</f>
        <v>90.916799999999995</v>
      </c>
      <c r="CA55" s="13">
        <f t="shared" si="39"/>
        <v>24.786204483471451</v>
      </c>
      <c r="CB55" s="20">
        <f t="shared" si="10"/>
        <v>201.51606614204607</v>
      </c>
      <c r="CC55" s="59">
        <f t="shared" si="11"/>
        <v>494.84939947537941</v>
      </c>
      <c r="CD55" s="59">
        <f ca="1">AVERAGE(OFFSET($CC$3,0,0,'Données projet'!$E$12+1,1))-AVERAGE(OFFSET($H$3,0,0,'Données projet'!$E$12+1,1))</f>
        <v>135.95692658150551</v>
      </c>
      <c r="CE55" s="59">
        <f t="shared" si="40"/>
        <v>79.394119001888612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3.8039997050401371</v>
      </c>
      <c r="CM55" s="21">
        <f>EXP(-LN(2)/2)*CM54+(1-EXP(-LN(2)/2))/(LN(2)/2)*CG55*CJ55*VLOOKUP('Données projet'!$B$12,Paramètres!$A$1:$I$89,3,0)*0.475*44/12</f>
        <v>1.5011002448009938</v>
      </c>
      <c r="CN55" s="22">
        <f t="shared" si="12"/>
        <v>5.3050999498411304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4</v>
      </c>
      <c r="CT55" s="12">
        <f>IF('Données projet'!$A$140&gt;35,CT54+CS55-DB54,IF(A55&lt;'Données projet'!$A$140,$CQ$205^A55,IF(A55='Données projet'!$A$140,'Données projet'!$B$140,CT54+CS55-DB54)))</f>
        <v>93.999999999999986</v>
      </c>
      <c r="CU55" s="17">
        <f>CT55*VLOOKUP('Données projet'!$B$13,Paramètres!$A$1:$I$89,3,0)*VLOOKUP('Données projet'!$B$13,Paramètres!$A$1:$I$89,5,0)</f>
        <v>101.18159999999997</v>
      </c>
      <c r="CV55" s="13">
        <f t="shared" si="41"/>
        <v>27.243304715412336</v>
      </c>
      <c r="CW55" s="20">
        <f t="shared" si="13"/>
        <v>223.6733757126764</v>
      </c>
      <c r="CX55" s="59">
        <f t="shared" si="14"/>
        <v>517.00670904600975</v>
      </c>
      <c r="CY55" s="59">
        <f ca="1">AVERAGE(OFFSET($CX$3,0,0,'Données projet'!$E$13+1,1))-AVERAGE(OFFSET($H$3,0,0,'Données projet'!$E$13+1,1))</f>
        <v>158.74837032815333</v>
      </c>
      <c r="CZ55" s="59">
        <f t="shared" si="42"/>
        <v>92.286636088270086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4.2334835427059581</v>
      </c>
      <c r="DH55" s="21">
        <f>EXP(-LN(2)/2)*DH54+(1-EXP(-LN(2)/2))/(LN(2)/2)*DB55*DE55*VLOOKUP('Données projet'!$B$13,Paramètres!$A$1:$I$89,3,0)*0.475*44/12</f>
        <v>1.6705793046978803</v>
      </c>
      <c r="DI55" s="22">
        <f t="shared" si="15"/>
        <v>5.9040628474038384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7.8</v>
      </c>
      <c r="N56" s="13">
        <f>IF('Données projet'!$A$36&gt;35,N55+M56-V55,IF(A56&lt;'Données projet'!$A$36,$K$205^A56,IF(A56='Données projet'!$A$36,'Données projet'!$B$36,N55+M56-V55)))</f>
        <v>180.40000000000012</v>
      </c>
      <c r="O56" s="13">
        <f>N56*VLOOKUP('Données projet'!$B$9,Paramètres!$A$1:$I$89,3,0)*VLOOKUP('Données projet'!$B$9,Paramètres!$A$1:$I$89,5,0)</f>
        <v>151.96896000000012</v>
      </c>
      <c r="P56" s="13">
        <f t="shared" si="33"/>
        <v>39.02569866968944</v>
      </c>
      <c r="Q56" s="20">
        <f t="shared" si="53"/>
        <v>332.64903051637594</v>
      </c>
      <c r="R56" s="59">
        <f t="shared" si="0"/>
        <v>625.98236384970926</v>
      </c>
      <c r="S56" s="59">
        <f ca="1">AVERAGE(OFFSET($R$3,0,0,'Données projet'!$E$9+1,1))-AVERAGE(OFFSET($H$3,0,0,'Données projet'!$E$9+1,1))</f>
        <v>231.91408074258248</v>
      </c>
      <c r="T56" s="59">
        <f t="shared" si="34"/>
        <v>143.57726487417773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0.14999267948127226</v>
      </c>
      <c r="AC56" s="22">
        <f t="shared" si="3"/>
        <v>0.14999267948127226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7.8</v>
      </c>
      <c r="AI56" s="13">
        <f>IF('Données projet'!$A$62&gt;35,AI55+AH56-AQ55,IF(A56&lt;'Données projet'!$A$62,$AF$205^A56,IF(A56='Données projet'!$A$62,'Données projet'!$B$62,AI55+AH56-AQ55)))</f>
        <v>180.40000000000012</v>
      </c>
      <c r="AJ56" s="13">
        <f>AI56*VLOOKUP('Données projet'!$B$10,Paramètres!$A$1:$I$89,3,0)*VLOOKUP('Données projet'!$B$10,Paramètres!$A$1:$I$89,5,0)</f>
        <v>163.22592000000012</v>
      </c>
      <c r="AK56" s="13">
        <f t="shared" si="35"/>
        <v>41.569283201466128</v>
      </c>
      <c r="AL56" s="20">
        <f t="shared" si="4"/>
        <v>356.68497890922032</v>
      </c>
      <c r="AM56" s="59">
        <f t="shared" si="5"/>
        <v>650.01831224255363</v>
      </c>
      <c r="AN56" s="59">
        <f ca="1">AVERAGE(OFFSET($AM$3,0,0,'Données projet'!$E$10+1,1))-AVERAGE(OFFSET($H$3,0,0,'Données projet'!$E$10+1,1))</f>
        <v>253.16772905022714</v>
      </c>
      <c r="AO56" s="59">
        <f t="shared" si="36"/>
        <v>156.67965022779907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0.16110324833173689</v>
      </c>
      <c r="AX56" s="21">
        <f t="shared" si="6"/>
        <v>0.16110324833173689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5.2625000000000028</v>
      </c>
      <c r="BD56" s="12">
        <f>IF('Données projet'!$A$88&gt;35,BD55+BC56-BL55,IF(A56&lt;'Données projet'!$A$88,$BA$205^A56,IF(A56='Données projet'!$A$88,'Données projet'!$B$88,BD55+BC56-BL55)))</f>
        <v>219.03749999999991</v>
      </c>
      <c r="BE56" s="13">
        <f>BD56*VLOOKUP('Données projet'!$B$11,Paramètres!$A$1:$I$89,3,0)*VLOOKUP('Données projet'!$B$11,Paramètres!$A$1:$I$89,5,0)</f>
        <v>130.98442499999996</v>
      </c>
      <c r="BF56" s="13">
        <f t="shared" si="37"/>
        <v>34.223731076579668</v>
      </c>
      <c r="BG56" s="20">
        <f t="shared" si="7"/>
        <v>287.73753850004283</v>
      </c>
      <c r="BH56" s="59">
        <f t="shared" si="8"/>
        <v>581.07087183337615</v>
      </c>
      <c r="BI56" s="59">
        <f ca="1">AVERAGE(OFFSET($BH$3,0,0,'Données projet'!$E$11+1,1))-AVERAGE(OFFSET($H$3,0,0,'Données projet'!$E$11+1,1))</f>
        <v>119.24399403036387</v>
      </c>
      <c r="BJ56" s="59">
        <f t="shared" si="38"/>
        <v>119.60076838354843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3.4517839701801771E-4</v>
      </c>
      <c r="BS56" s="22">
        <f t="shared" si="9"/>
        <v>3.4517839701801771E-4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4</v>
      </c>
      <c r="BY56" s="12">
        <f>IF('Données projet'!$A$114&gt;35,BY55+BX56-CG55,IF(A56&lt;'Données projet'!$A$114,$BV$205^A56,IF(A56='Données projet'!$A$114,'Données projet'!$B$114,BY55+BX56-CG55)))</f>
        <v>97.999999999999986</v>
      </c>
      <c r="BZ56" s="13">
        <f>BY56*VLOOKUP('Données projet'!$B$12,Paramètres!$A$1:$I$89,3,0)*VLOOKUP('Données projet'!$B$12,Paramètres!$A$1:$I$89,5,0)</f>
        <v>94.785599999999988</v>
      </c>
      <c r="CA56" s="13">
        <f t="shared" si="39"/>
        <v>25.715893428674526</v>
      </c>
      <c r="CB56" s="20">
        <f t="shared" si="10"/>
        <v>209.87343438827475</v>
      </c>
      <c r="CC56" s="59">
        <f t="shared" si="11"/>
        <v>503.20676772160806</v>
      </c>
      <c r="CD56" s="59">
        <f ca="1">AVERAGE(OFFSET($CC$3,0,0,'Données projet'!$E$12+1,1))-AVERAGE(OFFSET($H$3,0,0,'Données projet'!$E$12+1,1))</f>
        <v>135.95692658150551</v>
      </c>
      <c r="CE56" s="59">
        <f t="shared" si="40"/>
        <v>79.394119001888612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3.6999791330621643</v>
      </c>
      <c r="CM56" s="21">
        <f>EXP(-LN(2)/2)*CM55+(1-EXP(-LN(2)/2))/(LN(2)/2)*CG56*CJ56*VLOOKUP('Données projet'!$B$12,Paramètres!$A$1:$I$89,3,0)*0.475*44/12</f>
        <v>1.0614381623395692</v>
      </c>
      <c r="CN56" s="22">
        <f t="shared" si="12"/>
        <v>4.7614172954017331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4</v>
      </c>
      <c r="CT56" s="12">
        <f>IF('Données projet'!$A$140&gt;35,CT55+CS56-DB55,IF(A56&lt;'Données projet'!$A$140,$CQ$205^A56,IF(A56='Données projet'!$A$140,'Données projet'!$B$140,CT55+CS56-DB55)))</f>
        <v>97.999999999999986</v>
      </c>
      <c r="CU56" s="17">
        <f>CT56*VLOOKUP('Données projet'!$B$13,Paramètres!$A$1:$I$89,3,0)*VLOOKUP('Données projet'!$B$13,Paramètres!$A$1:$I$89,5,0)</f>
        <v>105.48719999999999</v>
      </c>
      <c r="CV56" s="13">
        <f t="shared" si="41"/>
        <v>28.265155367923839</v>
      </c>
      <c r="CW56" s="20">
        <f t="shared" si="13"/>
        <v>232.95201893246733</v>
      </c>
      <c r="CX56" s="59">
        <f t="shared" si="14"/>
        <v>526.28535226580061</v>
      </c>
      <c r="CY56" s="59">
        <f ca="1">AVERAGE(OFFSET($CX$3,0,0,'Données projet'!$E$13+1,1))-AVERAGE(OFFSET($H$3,0,0,'Données projet'!$E$13+1,1))</f>
        <v>158.74837032815333</v>
      </c>
      <c r="CZ56" s="59">
        <f t="shared" si="42"/>
        <v>92.286636088270086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4.1177187126014401</v>
      </c>
      <c r="DH56" s="21">
        <f>EXP(-LN(2)/2)*DH55+(1-EXP(-LN(2)/2))/(LN(2)/2)*DB56*DE56*VLOOKUP('Données projet'!$B$13,Paramètres!$A$1:$I$89,3,0)*0.475*44/12</f>
        <v>1.1812779548617789</v>
      </c>
      <c r="DI56" s="22">
        <f t="shared" si="15"/>
        <v>5.2989966674632187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7.8</v>
      </c>
      <c r="N57" s="13">
        <f>IF('Données projet'!$A$36&gt;35,N56+M57-V56,IF(A57&lt;'Données projet'!$A$36,$K$205^A57,IF(A57='Données projet'!$A$36,'Données projet'!$B$36,N56+M57-V56)))</f>
        <v>188.20000000000013</v>
      </c>
      <c r="O57" s="13">
        <f>N57*VLOOKUP('Données projet'!$B$9,Paramètres!$A$1:$I$89,3,0)*VLOOKUP('Données projet'!$B$9,Paramètres!$A$1:$I$89,5,0)</f>
        <v>158.53968000000012</v>
      </c>
      <c r="P57" s="13">
        <f t="shared" si="33"/>
        <v>40.512960593887016</v>
      </c>
      <c r="Q57" s="20">
        <f t="shared" si="53"/>
        <v>346.6833490343534</v>
      </c>
      <c r="R57" s="59">
        <f t="shared" si="0"/>
        <v>640.01668236768671</v>
      </c>
      <c r="S57" s="59">
        <f ca="1">AVERAGE(OFFSET($R$3,0,0,'Données projet'!$E$9+1,1))-AVERAGE(OFFSET($H$3,0,0,'Données projet'!$E$9+1,1))</f>
        <v>231.91408074258248</v>
      </c>
      <c r="T57" s="59">
        <f t="shared" si="34"/>
        <v>143.57726487417773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0.10606084078954794</v>
      </c>
      <c r="AC57" s="22">
        <f t="shared" si="3"/>
        <v>0.10606084078954794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7.8</v>
      </c>
      <c r="AI57" s="13">
        <f>IF('Données projet'!$A$62&gt;35,AI56+AH57-AQ56,IF(A57&lt;'Données projet'!$A$62,$AF$205^A57,IF(A57='Données projet'!$A$62,'Données projet'!$B$62,AI56+AH57-AQ56)))</f>
        <v>188.20000000000013</v>
      </c>
      <c r="AJ57" s="13">
        <f>AI57*VLOOKUP('Données projet'!$B$10,Paramètres!$A$1:$I$89,3,0)*VLOOKUP('Données projet'!$B$10,Paramètres!$A$1:$I$89,5,0)</f>
        <v>170.2833600000001</v>
      </c>
      <c r="AK57" s="13">
        <f t="shared" si="35"/>
        <v>43.153480646462619</v>
      </c>
      <c r="AL57" s="20">
        <f t="shared" si="4"/>
        <v>371.73583079258918</v>
      </c>
      <c r="AM57" s="59">
        <f t="shared" si="5"/>
        <v>665.0691641259225</v>
      </c>
      <c r="AN57" s="59">
        <f ca="1">AVERAGE(OFFSET($AM$3,0,0,'Données projet'!$E$10+1,1))-AVERAGE(OFFSET($H$3,0,0,'Données projet'!$E$10+1,1))</f>
        <v>253.16772905022714</v>
      </c>
      <c r="AO57" s="59">
        <f t="shared" si="36"/>
        <v>156.67965022779907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0.11391719936655151</v>
      </c>
      <c r="AX57" s="21">
        <f t="shared" si="6"/>
        <v>0.11391719936655151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>
        <f>VLOOKUP(A57,'Données projet'!$A$87:$I$107,2,0)</f>
        <v>224.3</v>
      </c>
      <c r="BB57" s="12">
        <f>VLOOKUP(A57,'Données projet'!$A$87:$I$107,9,0)</f>
        <v>5.2625000000000028</v>
      </c>
      <c r="BC57" s="12">
        <f t="array" ref="BC57">INDEX(BB:BB,MIN(IF(ISNUMBER(BB57:BB253),ROW(BB57:BB253),"")))</f>
        <v>5.2625000000000028</v>
      </c>
      <c r="BD57" s="12">
        <f>IF('Données projet'!$A$88&gt;35,BD56+BC57-BL56,IF(A57&lt;'Données projet'!$A$88,$BA$205^A57,IF(A57='Données projet'!$A$88,'Données projet'!$B$88,BD56+BC57-BL56)))</f>
        <v>224.2999999999999</v>
      </c>
      <c r="BE57" s="13">
        <f>BD57*VLOOKUP('Données projet'!$B$11,Paramètres!$A$1:$I$89,3,0)*VLOOKUP('Données projet'!$B$11,Paramètres!$A$1:$I$89,5,0)</f>
        <v>134.13139999999996</v>
      </c>
      <c r="BF57" s="13">
        <f t="shared" si="37"/>
        <v>34.949259401090188</v>
      </c>
      <c r="BG57" s="20">
        <f t="shared" si="7"/>
        <v>294.48214845689864</v>
      </c>
      <c r="BH57" s="59">
        <f t="shared" si="8"/>
        <v>587.81548179023196</v>
      </c>
      <c r="BI57" s="59">
        <f ca="1">AVERAGE(OFFSET($BH$3,0,0,'Données projet'!$E$11+1,1))-AVERAGE(OFFSET($H$3,0,0,'Données projet'!$E$11+1,1))</f>
        <v>119.24399403036387</v>
      </c>
      <c r="BJ57" s="59">
        <f t="shared" si="38"/>
        <v>119.60076838354843</v>
      </c>
      <c r="BK57" s="15">
        <f>IF(ISNA(VLOOKUP(A57,'Données projet'!$A$87:$I$107,3,0)),0,VLOOKUP(A57,'Données projet'!$A$87:$I$107,3,0))</f>
        <v>8</v>
      </c>
      <c r="BL57" s="15">
        <f>IF(ISNA(VLOOKUP(A57,'Données projet'!$A$87:$I$107,4,0)),0,VLOOKUP(A57,'Données projet'!$A$87:$I$107,4,0))</f>
        <v>22.4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2.4407798525054271E-4</v>
      </c>
      <c r="BS57" s="22">
        <f t="shared" si="9"/>
        <v>2.4407798525054271E-4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4</v>
      </c>
      <c r="BY57" s="12">
        <f>IF('Données projet'!$A$114&gt;35,BY56+BX57-CG56,IF(A57&lt;'Données projet'!$A$114,$BV$205^A57,IF(A57='Données projet'!$A$114,'Données projet'!$B$114,BY56+BX57-CG56)))</f>
        <v>101.99999999999999</v>
      </c>
      <c r="BZ57" s="13">
        <f>BY57*VLOOKUP('Données projet'!$B$12,Paramètres!$A$1:$I$89,3,0)*VLOOKUP('Données projet'!$B$12,Paramètres!$A$1:$I$89,5,0)</f>
        <v>98.654399999999981</v>
      </c>
      <c r="CA57" s="13">
        <f t="shared" si="39"/>
        <v>26.641174586135573</v>
      </c>
      <c r="CB57" s="20">
        <f t="shared" si="10"/>
        <v>218.22312573751944</v>
      </c>
      <c r="CC57" s="59">
        <f t="shared" si="11"/>
        <v>511.55645907085272</v>
      </c>
      <c r="CD57" s="59">
        <f ca="1">AVERAGE(OFFSET($CC$3,0,0,'Données projet'!$E$12+1,1))-AVERAGE(OFFSET($H$3,0,0,'Données projet'!$E$12+1,1))</f>
        <v>135.95692658150551</v>
      </c>
      <c r="CE57" s="59">
        <f t="shared" si="40"/>
        <v>79.394119001888612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3.5988030090951333</v>
      </c>
      <c r="CM57" s="21">
        <f>EXP(-LN(2)/2)*CM56+(1-EXP(-LN(2)/2))/(LN(2)/2)*CG57*CJ57*VLOOKUP('Données projet'!$B$12,Paramètres!$A$1:$I$89,3,0)*0.475*44/12</f>
        <v>0.7505501224004969</v>
      </c>
      <c r="CN57" s="22">
        <f t="shared" si="12"/>
        <v>4.3493531314956302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4</v>
      </c>
      <c r="CT57" s="12">
        <f>IF('Données projet'!$A$140&gt;35,CT56+CS57-DB56,IF(A57&lt;'Données projet'!$A$140,$CQ$205^A57,IF(A57='Données projet'!$A$140,'Données projet'!$B$140,CT56+CS57-DB56)))</f>
        <v>101.99999999999999</v>
      </c>
      <c r="CU57" s="17">
        <f>CT57*VLOOKUP('Données projet'!$B$13,Paramètres!$A$1:$I$89,3,0)*VLOOKUP('Données projet'!$B$13,Paramètres!$A$1:$I$89,5,0)</f>
        <v>109.79279999999997</v>
      </c>
      <c r="CV57" s="13">
        <f t="shared" si="41"/>
        <v>29.28216128090861</v>
      </c>
      <c r="CW57" s="20">
        <f t="shared" si="13"/>
        <v>242.22222423091577</v>
      </c>
      <c r="CX57" s="59">
        <f t="shared" si="14"/>
        <v>535.55555756424906</v>
      </c>
      <c r="CY57" s="59">
        <f ca="1">AVERAGE(OFFSET($CX$3,0,0,'Données projet'!$E$13+1,1))-AVERAGE(OFFSET($H$3,0,0,'Données projet'!$E$13+1,1))</f>
        <v>158.74837032815333</v>
      </c>
      <c r="CZ57" s="59">
        <f t="shared" si="42"/>
        <v>92.286636088270086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4.0051194778639374</v>
      </c>
      <c r="DH57" s="21">
        <f>EXP(-LN(2)/2)*DH56+(1-EXP(-LN(2)/2))/(LN(2)/2)*DB57*DE57*VLOOKUP('Données projet'!$B$13,Paramètres!$A$1:$I$89,3,0)*0.475*44/12</f>
        <v>0.83528965234894026</v>
      </c>
      <c r="DI57" s="22">
        <f t="shared" si="15"/>
        <v>4.840409130212878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7.8</v>
      </c>
      <c r="N58" s="13">
        <f>IF('Données projet'!$A$36&gt;35,N57+M58-V57,IF(A58&lt;'Données projet'!$A$36,$K$205^A58,IF(A58='Données projet'!$A$36,'Données projet'!$B$36,N57+M58-V57)))</f>
        <v>196.00000000000014</v>
      </c>
      <c r="O58" s="13">
        <f>N58*VLOOKUP('Données projet'!$B$9,Paramètres!$A$1:$I$89,3,0)*VLOOKUP('Données projet'!$B$9,Paramètres!$A$1:$I$89,5,0)</f>
        <v>165.11040000000014</v>
      </c>
      <c r="P58" s="13">
        <f t="shared" si="33"/>
        <v>41.993062739333482</v>
      </c>
      <c r="Q58" s="20">
        <f t="shared" si="53"/>
        <v>360.70519760433939</v>
      </c>
      <c r="R58" s="59">
        <f t="shared" si="0"/>
        <v>654.0385309376727</v>
      </c>
      <c r="S58" s="59">
        <f ca="1">AVERAGE(OFFSET($R$3,0,0,'Données projet'!$E$9+1,1))-AVERAGE(OFFSET($H$3,0,0,'Données projet'!$E$9+1,1))</f>
        <v>231.91408074258248</v>
      </c>
      <c r="T58" s="59">
        <f t="shared" si="34"/>
        <v>143.57726487417773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7.4996339740636131E-2</v>
      </c>
      <c r="AC58" s="22">
        <f t="shared" si="3"/>
        <v>7.4996339740636131E-2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7.8</v>
      </c>
      <c r="AI58" s="13">
        <f>IF('Données projet'!$A$62&gt;35,AI57+AH58-AQ57,IF(A58&lt;'Données projet'!$A$62,$AF$205^A58,IF(A58='Données projet'!$A$62,'Données projet'!$B$62,AI57+AH58-AQ57)))</f>
        <v>196.00000000000014</v>
      </c>
      <c r="AJ58" s="13">
        <f>AI58*VLOOKUP('Données projet'!$B$10,Paramètres!$A$1:$I$89,3,0)*VLOOKUP('Données projet'!$B$10,Paramètres!$A$1:$I$89,5,0)</f>
        <v>177.34080000000012</v>
      </c>
      <c r="AK58" s="13">
        <f t="shared" si="35"/>
        <v>44.730051658603102</v>
      </c>
      <c r="AL58" s="20">
        <f t="shared" si="4"/>
        <v>386.77339997206718</v>
      </c>
      <c r="AM58" s="59">
        <f t="shared" si="5"/>
        <v>680.10673330540044</v>
      </c>
      <c r="AN58" s="59">
        <f ca="1">AVERAGE(OFFSET($AM$3,0,0,'Données projet'!$E$10+1,1))-AVERAGE(OFFSET($H$3,0,0,'Données projet'!$E$10+1,1))</f>
        <v>253.16772905022714</v>
      </c>
      <c r="AO58" s="59">
        <f t="shared" si="36"/>
        <v>156.67965022779907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8.0551624165868446E-2</v>
      </c>
      <c r="AX58" s="21">
        <f t="shared" si="6"/>
        <v>8.0551624165868446E-2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3.8000000000000007</v>
      </c>
      <c r="BD58" s="12">
        <f>IF('Données projet'!$A$88&gt;35,BD57+BC58-BL57,IF(A58&lt;'Données projet'!$A$88,$BA$205^A58,IF(A58='Données projet'!$A$88,'Données projet'!$B$88,BD57+BC58-BL57)))</f>
        <v>205.6999999999999</v>
      </c>
      <c r="BE58" s="13">
        <f>BD58*VLOOKUP('Données projet'!$B$11,Paramètres!$A$1:$I$89,3,0)*VLOOKUP('Données projet'!$B$11,Paramètres!$A$1:$I$89,5,0)</f>
        <v>123.00859999999994</v>
      </c>
      <c r="BF58" s="13">
        <f t="shared" si="37"/>
        <v>32.37569135576684</v>
      </c>
      <c r="BG58" s="20">
        <f t="shared" si="7"/>
        <v>270.62764077796049</v>
      </c>
      <c r="BH58" s="59">
        <f t="shared" si="8"/>
        <v>563.96097411129381</v>
      </c>
      <c r="BI58" s="59">
        <f ca="1">AVERAGE(OFFSET($BH$3,0,0,'Données projet'!$E$11+1,1))-AVERAGE(OFFSET($H$3,0,0,'Données projet'!$E$11+1,1))</f>
        <v>119.24399403036387</v>
      </c>
      <c r="BJ58" s="59">
        <f t="shared" si="38"/>
        <v>119.60076838354843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1.7258919850900888E-4</v>
      </c>
      <c r="BS58" s="22">
        <f t="shared" si="9"/>
        <v>1.7258919850900888E-4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106</v>
      </c>
      <c r="BW58" s="12">
        <f>VLOOKUP(A58,'Données projet'!$A$113:$I$133,9,0)</f>
        <v>4</v>
      </c>
      <c r="BX58" s="12">
        <f t="array" ref="BX58">INDEX(BW:BW,MIN(IF(ISNUMBER(BW58:BW254),ROW(BW58:BW254),"")))</f>
        <v>4</v>
      </c>
      <c r="BY58" s="12">
        <f>IF('Données projet'!$A$114&gt;35,BY57+BX58-CG57,IF(A58&lt;'Données projet'!$A$114,$BV$205^A58,IF(A58='Données projet'!$A$114,'Données projet'!$B$114,BY57+BX58-CG57)))</f>
        <v>105.99999999999999</v>
      </c>
      <c r="BZ58" s="13">
        <f>BY58*VLOOKUP('Données projet'!$B$12,Paramètres!$A$1:$I$89,3,0)*VLOOKUP('Données projet'!$B$12,Paramètres!$A$1:$I$89,5,0)</f>
        <v>102.52319999999997</v>
      </c>
      <c r="CA58" s="13">
        <f t="shared" si="39"/>
        <v>27.562240591342476</v>
      </c>
      <c r="CB58" s="20">
        <f t="shared" si="10"/>
        <v>226.56547569658809</v>
      </c>
      <c r="CC58" s="59">
        <f t="shared" si="11"/>
        <v>519.89880902992138</v>
      </c>
      <c r="CD58" s="59">
        <f ca="1">AVERAGE(OFFSET($CC$3,0,0,'Données projet'!$E$12+1,1))-AVERAGE(OFFSET($H$3,0,0,'Données projet'!$E$12+1,1))</f>
        <v>135.95692658150551</v>
      </c>
      <c r="CE58" s="59">
        <f t="shared" si="40"/>
        <v>79.394119001888612</v>
      </c>
      <c r="CF58" s="15">
        <f>IF(ISNA(VLOOKUP(A58,'Données projet'!$A$113:$I$133,3,0)),0,VLOOKUP(A58,'Données projet'!$A$113:$I$133,3,0))</f>
        <v>6</v>
      </c>
      <c r="CG58" s="15">
        <f>IF(ISNA(VLOOKUP(A58,'Données projet'!$A$113:$I$133,4,0)),0,VLOOKUP(A58,'Données projet'!$A$113:$I$133,4,0))</f>
        <v>10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0.17200000000000001</v>
      </c>
      <c r="CJ58" s="16">
        <f>IF(ISNA(VLOOKUP(A58,'Données projet'!$A$113:$I$133,7,0)),0%,VLOOKUP(A58,'Données projet'!$A$113:$I$133,7,0))</f>
        <v>0.3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5.3321953750484887</v>
      </c>
      <c r="CM58" s="21">
        <f>EXP(-LN(2)/2)*CM57+(1-EXP(-LN(2)/2))/(LN(2)/2)*CG58*CJ58*VLOOKUP('Données projet'!$B$12,Paramètres!$A$1:$I$89,3,0)*0.475*44/12</f>
        <v>3.2684567765887791</v>
      </c>
      <c r="CN58" s="22">
        <f t="shared" si="12"/>
        <v>8.6006521516372683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106</v>
      </c>
      <c r="CR58" s="12">
        <f>VLOOKUP(A58,'Données projet'!$A$139:$I$159,9,0)</f>
        <v>4</v>
      </c>
      <c r="CS58" s="12">
        <f t="array" ref="CS58">INDEX(CR:CR,MIN(IF(ISNUMBER(CR58:CR254),ROW(CR58:CR254),"")))</f>
        <v>4</v>
      </c>
      <c r="CT58" s="12">
        <f>IF('Données projet'!$A$140&gt;35,CT57+CS58-DB57,IF(A58&lt;'Données projet'!$A$140,$CQ$205^A58,IF(A58='Données projet'!$A$140,'Données projet'!$B$140,CT57+CS58-DB57)))</f>
        <v>105.99999999999999</v>
      </c>
      <c r="CU58" s="17">
        <f>CT58*VLOOKUP('Données projet'!$B$13,Paramètres!$A$1:$I$89,3,0)*VLOOKUP('Données projet'!$B$13,Paramètres!$A$1:$I$89,5,0)</f>
        <v>114.09839999999998</v>
      </c>
      <c r="CV58" s="13">
        <f t="shared" si="41"/>
        <v>30.294534186150837</v>
      </c>
      <c r="CW58" s="20">
        <f t="shared" si="13"/>
        <v>251.48436037421268</v>
      </c>
      <c r="CX58" s="59">
        <f t="shared" si="14"/>
        <v>544.81769370754603</v>
      </c>
      <c r="CY58" s="59">
        <f ca="1">AVERAGE(OFFSET($CX$3,0,0,'Données projet'!$E$13+1,1))-AVERAGE(OFFSET($H$3,0,0,'Données projet'!$E$13+1,1))</f>
        <v>158.74837032815333</v>
      </c>
      <c r="CZ58" s="59">
        <f t="shared" si="42"/>
        <v>92.286636088270086</v>
      </c>
      <c r="DA58" s="15">
        <f>IF(ISNA(VLOOKUP(A58,'Données projet'!$A$139:$I$159,3,0)),0,VLOOKUP(A58,'Données projet'!$A$139:$I$159,3,0))</f>
        <v>6</v>
      </c>
      <c r="DB58" s="15">
        <f>IF(ISNA(VLOOKUP(A58,'Données projet'!$A$139:$I$159,4,0)),0,VLOOKUP(A58,'Données projet'!$A$139:$I$159,4,0))</f>
        <v>10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0.17200000000000001</v>
      </c>
      <c r="DE58" s="16">
        <f>IF(ISNA(VLOOKUP(A58,'Données projet'!$A$139:$I$159,7,0)),0%,VLOOKUP(A58,'Données projet'!$A$139:$I$159,7,0))</f>
        <v>0.3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5.9342174335217024</v>
      </c>
      <c r="DH58" s="21">
        <f>EXP(-LN(2)/2)*DH57+(1-EXP(-LN(2)/2))/(LN(2)/2)*DB58*DE58*VLOOKUP('Données projet'!$B$13,Paramètres!$A$1:$I$89,3,0)*0.475*44/12</f>
        <v>3.6374760900746081</v>
      </c>
      <c r="DI58" s="22">
        <f t="shared" si="15"/>
        <v>9.571693523596311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7.8</v>
      </c>
      <c r="N59" s="13">
        <f>IF('Données projet'!$A$36&gt;35,N58+M59-V58,IF(A59&lt;'Données projet'!$A$36,$K$205^A59,IF(A59='Données projet'!$A$36,'Données projet'!$B$36,N58+M59-V58)))</f>
        <v>203.80000000000015</v>
      </c>
      <c r="O59" s="13">
        <f>N59*VLOOKUP('Données projet'!$B$9,Paramètres!$A$1:$I$89,3,0)*VLOOKUP('Données projet'!$B$9,Paramètres!$A$1:$I$89,5,0)</f>
        <v>171.68112000000016</v>
      </c>
      <c r="P59" s="13">
        <f t="shared" si="33"/>
        <v>43.466322637016617</v>
      </c>
      <c r="Q59" s="20">
        <f t="shared" si="53"/>
        <v>374.71512925947087</v>
      </c>
      <c r="R59" s="59">
        <f t="shared" si="0"/>
        <v>668.04846259280419</v>
      </c>
      <c r="S59" s="59">
        <f ca="1">AVERAGE(OFFSET($R$3,0,0,'Données projet'!$E$9+1,1))-AVERAGE(OFFSET($H$3,0,0,'Données projet'!$E$9+1,1))</f>
        <v>231.91408074258248</v>
      </c>
      <c r="T59" s="59">
        <f t="shared" si="34"/>
        <v>143.57726487417773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5.3030420394773972E-2</v>
      </c>
      <c r="AC59" s="22">
        <f t="shared" si="3"/>
        <v>5.3030420394773972E-2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7.8</v>
      </c>
      <c r="AI59" s="13">
        <f>IF('Données projet'!$A$62&gt;35,AI58+AH59-AQ58,IF(A59&lt;'Données projet'!$A$62,$AF$205^A59,IF(A59='Données projet'!$A$62,'Données projet'!$B$62,AI58+AH59-AQ58)))</f>
        <v>203.80000000000015</v>
      </c>
      <c r="AJ59" s="13">
        <f>AI59*VLOOKUP('Données projet'!$B$10,Paramètres!$A$1:$I$89,3,0)*VLOOKUP('Données projet'!$B$10,Paramètres!$A$1:$I$89,5,0)</f>
        <v>184.39824000000013</v>
      </c>
      <c r="AK59" s="13">
        <f t="shared" si="35"/>
        <v>46.299334464645959</v>
      </c>
      <c r="AL59" s="20">
        <f t="shared" si="4"/>
        <v>401.79827552592525</v>
      </c>
      <c r="AM59" s="59">
        <f t="shared" si="5"/>
        <v>695.13160885925856</v>
      </c>
      <c r="AN59" s="59">
        <f ca="1">AVERAGE(OFFSET($AM$3,0,0,'Données projet'!$E$10+1,1))-AVERAGE(OFFSET($H$3,0,0,'Données projet'!$E$10+1,1))</f>
        <v>253.16772905022714</v>
      </c>
      <c r="AO59" s="59">
        <f t="shared" si="36"/>
        <v>156.67965022779907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5.6958599683275754E-2</v>
      </c>
      <c r="AX59" s="21">
        <f t="shared" si="6"/>
        <v>5.6958599683275754E-2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3.8000000000000007</v>
      </c>
      <c r="BD59" s="12">
        <f>IF('Données projet'!$A$88&gt;35,BD58+BC59-BL58,IF(A59&lt;'Données projet'!$A$88,$BA$205^A59,IF(A59='Données projet'!$A$88,'Données projet'!$B$88,BD58+BC59-BL58)))</f>
        <v>209.49999999999991</v>
      </c>
      <c r="BE59" s="13">
        <f>BD59*VLOOKUP('Données projet'!$B$11,Paramètres!$A$1:$I$89,3,0)*VLOOKUP('Données projet'!$B$11,Paramètres!$A$1:$I$89,5,0)</f>
        <v>125.28099999999995</v>
      </c>
      <c r="BF59" s="13">
        <f t="shared" si="37"/>
        <v>32.903601563087904</v>
      </c>
      <c r="BG59" s="20">
        <f t="shared" si="7"/>
        <v>275.50484772237797</v>
      </c>
      <c r="BH59" s="59">
        <f t="shared" si="8"/>
        <v>568.83818105571129</v>
      </c>
      <c r="BI59" s="59">
        <f ca="1">AVERAGE(OFFSET($BH$3,0,0,'Données projet'!$E$11+1,1))-AVERAGE(OFFSET($H$3,0,0,'Données projet'!$E$11+1,1))</f>
        <v>119.24399403036387</v>
      </c>
      <c r="BJ59" s="59">
        <f t="shared" si="38"/>
        <v>119.60076838354843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1.2203899262527137E-4</v>
      </c>
      <c r="BS59" s="22">
        <f t="shared" si="9"/>
        <v>1.2203899262527137E-4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3.8</v>
      </c>
      <c r="BY59" s="12">
        <f>IF('Données projet'!$A$114&gt;35,BY58+BX59-CG58,IF(A59&lt;'Données projet'!$A$114,$BV$205^A59,IF(A59='Données projet'!$A$114,'Données projet'!$B$114,BY58+BX59-CG58)))</f>
        <v>99.799999999999983</v>
      </c>
      <c r="BZ59" s="13">
        <f>BY59*VLOOKUP('Données projet'!$B$12,Paramètres!$A$1:$I$89,3,0)*VLOOKUP('Données projet'!$B$12,Paramètres!$A$1:$I$89,5,0)</f>
        <v>96.526559999999989</v>
      </c>
      <c r="CA59" s="13">
        <f t="shared" si="39"/>
        <v>26.132803512664371</v>
      </c>
      <c r="CB59" s="20">
        <f t="shared" si="10"/>
        <v>213.63172478455706</v>
      </c>
      <c r="CC59" s="59">
        <f t="shared" si="11"/>
        <v>506.96505811789041</v>
      </c>
      <c r="CD59" s="59">
        <f ca="1">AVERAGE(OFFSET($CC$3,0,0,'Données projet'!$E$12+1,1))-AVERAGE(OFFSET($H$3,0,0,'Données projet'!$E$12+1,1))</f>
        <v>135.95692658150551</v>
      </c>
      <c r="CE59" s="59">
        <f t="shared" si="40"/>
        <v>79.394119001888612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5.1863862121098201</v>
      </c>
      <c r="CM59" s="21">
        <f>EXP(-LN(2)/2)*CM58+(1-EXP(-LN(2)/2))/(LN(2)/2)*CG59*CJ59*VLOOKUP('Données projet'!$B$12,Paramètres!$A$1:$I$89,3,0)*0.475*44/12</f>
        <v>2.3111479507410504</v>
      </c>
      <c r="CN59" s="22">
        <f t="shared" si="12"/>
        <v>7.4975341628508705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3.8</v>
      </c>
      <c r="CT59" s="12">
        <f>IF('Données projet'!$A$140&gt;35,CT58+CS59-DB58,IF(A59&lt;'Données projet'!$A$140,$CQ$205^A59,IF(A59='Données projet'!$A$140,'Données projet'!$B$140,CT58+CS59-DB58)))</f>
        <v>99.799999999999983</v>
      </c>
      <c r="CU59" s="17">
        <f>CT59*VLOOKUP('Données projet'!$B$13,Paramètres!$A$1:$I$89,3,0)*VLOOKUP('Données projet'!$B$13,Paramètres!$A$1:$I$89,5,0)</f>
        <v>107.42471999999998</v>
      </c>
      <c r="CV59" s="13">
        <f t="shared" si="41"/>
        <v>28.723394484955126</v>
      </c>
      <c r="CW59" s="20">
        <f t="shared" si="13"/>
        <v>237.12463272796344</v>
      </c>
      <c r="CX59" s="59">
        <f t="shared" si="14"/>
        <v>530.4579660612967</v>
      </c>
      <c r="CY59" s="59">
        <f ca="1">AVERAGE(OFFSET($CX$3,0,0,'Données projet'!$E$13+1,1))-AVERAGE(OFFSET($H$3,0,0,'Données projet'!$E$13+1,1))</f>
        <v>158.74837032815333</v>
      </c>
      <c r="CZ59" s="59">
        <f t="shared" si="42"/>
        <v>92.286636088270086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5.7719459457351192</v>
      </c>
      <c r="DH59" s="21">
        <f>EXP(-LN(2)/2)*DH58+(1-EXP(-LN(2)/2))/(LN(2)/2)*DB59*DE59*VLOOKUP('Données projet'!$B$13,Paramètres!$A$1:$I$89,3,0)*0.475*44/12</f>
        <v>2.5720840096956845</v>
      </c>
      <c r="DI59" s="22">
        <f t="shared" si="15"/>
        <v>8.3440299554308037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7.8</v>
      </c>
      <c r="N60" s="13">
        <f>IF('Données projet'!$A$36&gt;35,N59+M60-V59,IF(A60&lt;'Données projet'!$A$36,$K$205^A60,IF(A60='Données projet'!$A$36,'Données projet'!$B$36,N59+M60-V59)))</f>
        <v>211.60000000000016</v>
      </c>
      <c r="O60" s="13">
        <f>N60*VLOOKUP('Données projet'!$B$9,Paramètres!$A$1:$I$89,3,0)*VLOOKUP('Données projet'!$B$9,Paramètres!$A$1:$I$89,5,0)</f>
        <v>178.25184000000016</v>
      </c>
      <c r="P60" s="13">
        <f t="shared" si="33"/>
        <v>44.933032135767995</v>
      </c>
      <c r="Q60" s="20">
        <f t="shared" si="53"/>
        <v>388.71365230312955</v>
      </c>
      <c r="R60" s="59">
        <f t="shared" si="0"/>
        <v>682.04698563646286</v>
      </c>
      <c r="S60" s="59">
        <f ca="1">AVERAGE(OFFSET($R$3,0,0,'Données projet'!$E$9+1,1))-AVERAGE(OFFSET($H$3,0,0,'Données projet'!$E$9+1,1))</f>
        <v>231.91408074258248</v>
      </c>
      <c r="T60" s="59">
        <f t="shared" si="34"/>
        <v>143.57726487417773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3.7498169870318065E-2</v>
      </c>
      <c r="AC60" s="22">
        <f t="shared" si="3"/>
        <v>3.7498169870318065E-2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7.8</v>
      </c>
      <c r="AI60" s="13">
        <f>IF('Données projet'!$A$62&gt;35,AI59+AH60-AQ59,IF(A60&lt;'Données projet'!$A$62,$AF$205^A60,IF(A60='Données projet'!$A$62,'Données projet'!$B$62,AI59+AH60-AQ59)))</f>
        <v>211.60000000000016</v>
      </c>
      <c r="AJ60" s="13">
        <f>AI60*VLOOKUP('Données projet'!$B$10,Paramètres!$A$1:$I$89,3,0)*VLOOKUP('Données projet'!$B$10,Paramètres!$A$1:$I$89,5,0)</f>
        <v>191.45568000000014</v>
      </c>
      <c r="AK60" s="13">
        <f t="shared" si="35"/>
        <v>47.861639935303188</v>
      </c>
      <c r="AL60" s="20">
        <f t="shared" si="4"/>
        <v>416.81099888731995</v>
      </c>
      <c r="AM60" s="59">
        <f t="shared" si="5"/>
        <v>710.14433222065327</v>
      </c>
      <c r="AN60" s="59">
        <f ca="1">AVERAGE(OFFSET($AM$3,0,0,'Données projet'!$E$10+1,1))-AVERAGE(OFFSET($H$3,0,0,'Données projet'!$E$10+1,1))</f>
        <v>253.16772905022714</v>
      </c>
      <c r="AO60" s="59">
        <f t="shared" si="36"/>
        <v>156.67965022779907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4.0275812082934223E-2</v>
      </c>
      <c r="AX60" s="21">
        <f t="shared" si="6"/>
        <v>4.0275812082934223E-2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3.8000000000000007</v>
      </c>
      <c r="BD60" s="12">
        <f>IF('Données projet'!$A$88&gt;35,BD59+BC60-BL59,IF(A60&lt;'Données projet'!$A$88,$BA$205^A60,IF(A60='Données projet'!$A$88,'Données projet'!$B$88,BD59+BC60-BL59)))</f>
        <v>213.29999999999993</v>
      </c>
      <c r="BE60" s="13">
        <f>BD60*VLOOKUP('Données projet'!$B$11,Paramètres!$A$1:$I$89,3,0)*VLOOKUP('Données projet'!$B$11,Paramètres!$A$1:$I$89,5,0)</f>
        <v>127.55339999999997</v>
      </c>
      <c r="BF60" s="13">
        <f t="shared" si="37"/>
        <v>33.430398298153889</v>
      </c>
      <c r="BG60" s="20">
        <f t="shared" si="7"/>
        <v>280.38011536928462</v>
      </c>
      <c r="BH60" s="59">
        <f t="shared" si="8"/>
        <v>573.71344870261794</v>
      </c>
      <c r="BI60" s="59">
        <f ca="1">AVERAGE(OFFSET($BH$3,0,0,'Données projet'!$E$11+1,1))-AVERAGE(OFFSET($H$3,0,0,'Données projet'!$E$11+1,1))</f>
        <v>119.24399403036387</v>
      </c>
      <c r="BJ60" s="59">
        <f t="shared" si="38"/>
        <v>119.60076838354843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8.6294599254504455E-5</v>
      </c>
      <c r="BS60" s="22">
        <f t="shared" si="9"/>
        <v>8.6294599254504455E-5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3.8</v>
      </c>
      <c r="BY60" s="12">
        <f>IF('Données projet'!$A$114&gt;35,BY59+BX60-CG59,IF(A60&lt;'Données projet'!$A$114,$BV$205^A60,IF(A60='Données projet'!$A$114,'Données projet'!$B$114,BY59+BX60-CG59)))</f>
        <v>103.59999999999998</v>
      </c>
      <c r="BZ60" s="13">
        <f>BY60*VLOOKUP('Données projet'!$B$12,Paramètres!$A$1:$I$89,3,0)*VLOOKUP('Données projet'!$B$12,Paramètres!$A$1:$I$89,5,0)</f>
        <v>100.20191999999999</v>
      </c>
      <c r="CA60" s="13">
        <f t="shared" si="39"/>
        <v>27.010096555049586</v>
      </c>
      <c r="CB60" s="20">
        <f t="shared" si="10"/>
        <v>221.56092883337803</v>
      </c>
      <c r="CC60" s="59">
        <f t="shared" si="11"/>
        <v>514.89426216671131</v>
      </c>
      <c r="CD60" s="59">
        <f ca="1">AVERAGE(OFFSET($CC$3,0,0,'Données projet'!$E$12+1,1))-AVERAGE(OFFSET($H$3,0,0,'Données projet'!$E$12+1,1))</f>
        <v>135.95692658150551</v>
      </c>
      <c r="CE60" s="59">
        <f t="shared" si="40"/>
        <v>79.394119001888612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5.0445642083994802</v>
      </c>
      <c r="CM60" s="21">
        <f>EXP(-LN(2)/2)*CM59+(1-EXP(-LN(2)/2))/(LN(2)/2)*CG60*CJ60*VLOOKUP('Données projet'!$B$12,Paramètres!$A$1:$I$89,3,0)*0.475*44/12</f>
        <v>1.6342283882943898</v>
      </c>
      <c r="CN60" s="22">
        <f t="shared" si="12"/>
        <v>6.6787925966938699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3.8</v>
      </c>
      <c r="CT60" s="12">
        <f>IF('Données projet'!$A$140&gt;35,CT59+CS60-DB59,IF(A60&lt;'Données projet'!$A$140,$CQ$205^A60,IF(A60='Données projet'!$A$140,'Données projet'!$B$140,CT59+CS60-DB59)))</f>
        <v>103.59999999999998</v>
      </c>
      <c r="CU60" s="17">
        <f>CT60*VLOOKUP('Données projet'!$B$13,Paramètres!$A$1:$I$89,3,0)*VLOOKUP('Données projet'!$B$13,Paramètres!$A$1:$I$89,5,0)</f>
        <v>111.51503999999997</v>
      </c>
      <c r="CV60" s="13">
        <f t="shared" si="41"/>
        <v>29.687655136252104</v>
      </c>
      <c r="CW60" s="20">
        <f t="shared" si="13"/>
        <v>245.9280273623057</v>
      </c>
      <c r="CX60" s="59">
        <f t="shared" si="14"/>
        <v>539.26136069563904</v>
      </c>
      <c r="CY60" s="59">
        <f ca="1">AVERAGE(OFFSET($CX$3,0,0,'Données projet'!$E$13+1,1))-AVERAGE(OFFSET($H$3,0,0,'Données projet'!$E$13+1,1))</f>
        <v>158.74837032815333</v>
      </c>
      <c r="CZ60" s="59">
        <f t="shared" si="42"/>
        <v>92.286636088270086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5.6141117803155467</v>
      </c>
      <c r="DH60" s="21">
        <f>EXP(-LN(2)/2)*DH59+(1-EXP(-LN(2)/2))/(LN(2)/2)*DB60*DE60*VLOOKUP('Données projet'!$B$13,Paramètres!$A$1:$I$89,3,0)*0.475*44/12</f>
        <v>1.8187380450373043</v>
      </c>
      <c r="DI60" s="22">
        <f t="shared" si="15"/>
        <v>7.432849825352851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7.8</v>
      </c>
      <c r="N61" s="13">
        <f>IF('Données projet'!$A$36&gt;35,N60+M61-V60,IF(A61&lt;'Données projet'!$A$36,$K$205^A61,IF(A61='Données projet'!$A$36,'Données projet'!$B$36,N60+M61-V60)))</f>
        <v>219.40000000000018</v>
      </c>
      <c r="O61" s="13">
        <f>N61*VLOOKUP('Données projet'!$B$9,Paramètres!$A$1:$I$89,3,0)*VLOOKUP('Données projet'!$B$9,Paramètres!$A$1:$I$89,5,0)</f>
        <v>184.82256000000015</v>
      </c>
      <c r="P61" s="13">
        <f t="shared" si="33"/>
        <v>46.393460348969121</v>
      </c>
      <c r="Q61" s="20">
        <f t="shared" si="53"/>
        <v>402.70123544112147</v>
      </c>
      <c r="R61" s="59">
        <f t="shared" si="0"/>
        <v>696.03456877445478</v>
      </c>
      <c r="S61" s="59">
        <f ca="1">AVERAGE(OFFSET($R$3,0,0,'Données projet'!$E$9+1,1))-AVERAGE(OFFSET($H$3,0,0,'Données projet'!$E$9+1,1))</f>
        <v>231.91408074258248</v>
      </c>
      <c r="T61" s="59">
        <f t="shared" si="34"/>
        <v>143.57726487417773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2.6515210197386986E-2</v>
      </c>
      <c r="AC61" s="22">
        <f t="shared" si="3"/>
        <v>2.6515210197386986E-2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7.8</v>
      </c>
      <c r="AI61" s="13">
        <f>IF('Données projet'!$A$62&gt;35,AI60+AH61-AQ60,IF(A61&lt;'Données projet'!$A$62,$AF$205^A61,IF(A61='Données projet'!$A$62,'Données projet'!$B$62,AI60+AH61-AQ60)))</f>
        <v>219.40000000000018</v>
      </c>
      <c r="AJ61" s="13">
        <f>AI61*VLOOKUP('Données projet'!$B$10,Paramètres!$A$1:$I$89,3,0)*VLOOKUP('Données projet'!$B$10,Paramètres!$A$1:$I$89,5,0)</f>
        <v>198.51312000000016</v>
      </c>
      <c r="AK61" s="13">
        <f t="shared" si="35"/>
        <v>49.417254724004458</v>
      </c>
      <c r="AL61" s="20">
        <f t="shared" si="4"/>
        <v>431.81206931097466</v>
      </c>
      <c r="AM61" s="59">
        <f t="shared" si="5"/>
        <v>725.14540264430798</v>
      </c>
      <c r="AN61" s="59">
        <f ca="1">AVERAGE(OFFSET($AM$3,0,0,'Données projet'!$E$10+1,1))-AVERAGE(OFFSET($H$3,0,0,'Données projet'!$E$10+1,1))</f>
        <v>253.16772905022714</v>
      </c>
      <c r="AO61" s="59">
        <f t="shared" si="36"/>
        <v>156.67965022779907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2.8479299841637877E-2</v>
      </c>
      <c r="AX61" s="21">
        <f t="shared" si="6"/>
        <v>2.8479299841637877E-2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3.8000000000000007</v>
      </c>
      <c r="BD61" s="12">
        <f>IF('Données projet'!$A$88&gt;35,BD60+BC61-BL60,IF(A61&lt;'Données projet'!$A$88,$BA$205^A61,IF(A61='Données projet'!$A$88,'Données projet'!$B$88,BD60+BC61-BL60)))</f>
        <v>217.09999999999994</v>
      </c>
      <c r="BE61" s="13">
        <f>BD61*VLOOKUP('Données projet'!$B$11,Paramètres!$A$1:$I$89,3,0)*VLOOKUP('Données projet'!$B$11,Paramètres!$A$1:$I$89,5,0)</f>
        <v>129.82579999999996</v>
      </c>
      <c r="BF61" s="13">
        <f t="shared" si="37"/>
        <v>33.956103686208728</v>
      </c>
      <c r="BG61" s="20">
        <f t="shared" si="7"/>
        <v>285.25348225348012</v>
      </c>
      <c r="BH61" s="59">
        <f t="shared" si="8"/>
        <v>578.58681558681337</v>
      </c>
      <c r="BI61" s="59">
        <f ca="1">AVERAGE(OFFSET($BH$3,0,0,'Données projet'!$E$11+1,1))-AVERAGE(OFFSET($H$3,0,0,'Données projet'!$E$11+1,1))</f>
        <v>119.24399403036387</v>
      </c>
      <c r="BJ61" s="59">
        <f t="shared" si="38"/>
        <v>119.60076838354843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6.101949631263569E-5</v>
      </c>
      <c r="BS61" s="22">
        <f t="shared" si="9"/>
        <v>6.101949631263569E-5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3.8</v>
      </c>
      <c r="BY61" s="12">
        <f>IF('Données projet'!$A$114&gt;35,BY60+BX61-CG60,IF(A61&lt;'Données projet'!$A$114,$BV$205^A61,IF(A61='Données projet'!$A$114,'Données projet'!$B$114,BY60+BX61-CG60)))</f>
        <v>107.39999999999998</v>
      </c>
      <c r="BZ61" s="13">
        <f>BY61*VLOOKUP('Données projet'!$B$12,Paramètres!$A$1:$I$89,3,0)*VLOOKUP('Données projet'!$B$12,Paramètres!$A$1:$I$89,5,0)</f>
        <v>103.87727999999997</v>
      </c>
      <c r="CA61" s="13">
        <f t="shared" si="39"/>
        <v>27.883651095560136</v>
      </c>
      <c r="CB61" s="20">
        <f t="shared" si="10"/>
        <v>229.48362165810047</v>
      </c>
      <c r="CC61" s="59">
        <f t="shared" si="11"/>
        <v>522.81695499143382</v>
      </c>
      <c r="CD61" s="59">
        <f ca="1">AVERAGE(OFFSET($CC$3,0,0,'Données projet'!$E$12+1,1))-AVERAGE(OFFSET($H$3,0,0,'Données projet'!$E$12+1,1))</f>
        <v>135.95692658150551</v>
      </c>
      <c r="CE61" s="59">
        <f t="shared" si="40"/>
        <v>79.394119001888612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4.9066203348386939</v>
      </c>
      <c r="CM61" s="21">
        <f>EXP(-LN(2)/2)*CM60+(1-EXP(-LN(2)/2))/(LN(2)/2)*CG61*CJ61*VLOOKUP('Données projet'!$B$12,Paramètres!$A$1:$I$89,3,0)*0.475*44/12</f>
        <v>1.1555739753705254</v>
      </c>
      <c r="CN61" s="22">
        <f t="shared" si="12"/>
        <v>6.0621943102092191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3.8</v>
      </c>
      <c r="CT61" s="12">
        <f>IF('Données projet'!$A$140&gt;35,CT60+CS61-DB60,IF(A61&lt;'Données projet'!$A$140,$CQ$205^A61,IF(A61='Données projet'!$A$140,'Données projet'!$B$140,CT60+CS61-DB60)))</f>
        <v>107.39999999999998</v>
      </c>
      <c r="CU61" s="17">
        <f>CT61*VLOOKUP('Données projet'!$B$13,Paramètres!$A$1:$I$89,3,0)*VLOOKUP('Données projet'!$B$13,Paramètres!$A$1:$I$89,5,0)</f>
        <v>115.60535999999998</v>
      </c>
      <c r="CV61" s="13">
        <f t="shared" si="41"/>
        <v>30.647806681379965</v>
      </c>
      <c r="CW61" s="20">
        <f t="shared" si="13"/>
        <v>254.7242653034034</v>
      </c>
      <c r="CX61" s="59">
        <f t="shared" si="14"/>
        <v>548.05759863673666</v>
      </c>
      <c r="CY61" s="59">
        <f ca="1">AVERAGE(OFFSET($CX$3,0,0,'Données projet'!$E$13+1,1))-AVERAGE(OFFSET($H$3,0,0,'Données projet'!$E$13+1,1))</f>
        <v>158.74837032815333</v>
      </c>
      <c r="CZ61" s="59">
        <f t="shared" si="42"/>
        <v>92.286636088270086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5.4605935984495106</v>
      </c>
      <c r="DH61" s="21">
        <f>EXP(-LN(2)/2)*DH60+(1-EXP(-LN(2)/2))/(LN(2)/2)*DB61*DE61*VLOOKUP('Données projet'!$B$13,Paramètres!$A$1:$I$89,3,0)*0.475*44/12</f>
        <v>1.2860420048478425</v>
      </c>
      <c r="DI61" s="22">
        <f t="shared" si="15"/>
        <v>6.7466356032973529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7.8</v>
      </c>
      <c r="N62" s="13">
        <f>IF('Données projet'!$A$36&gt;35,N61+M62-V61,IF(A62&lt;'Données projet'!$A$36,$K$205^A62,IF(A62='Données projet'!$A$36,'Données projet'!$B$36,N61+M62-V61)))</f>
        <v>227.20000000000019</v>
      </c>
      <c r="O62" s="13">
        <f>N62*VLOOKUP('Données projet'!$B$9,Paramètres!$A$1:$I$89,3,0)*VLOOKUP('Données projet'!$B$9,Paramètres!$A$1:$I$89,5,0)</f>
        <v>191.39328000000017</v>
      </c>
      <c r="P62" s="13">
        <f t="shared" si="33"/>
        <v>47.847856170443038</v>
      </c>
      <c r="Q62" s="20">
        <f t="shared" si="53"/>
        <v>416.67831216352192</v>
      </c>
      <c r="R62" s="59">
        <f t="shared" si="0"/>
        <v>710.01164549685518</v>
      </c>
      <c r="S62" s="59">
        <f ca="1">AVERAGE(OFFSET($R$3,0,0,'Données projet'!$E$9+1,1))-AVERAGE(OFFSET($H$3,0,0,'Données projet'!$E$9+1,1))</f>
        <v>231.91408074258248</v>
      </c>
      <c r="T62" s="59">
        <f t="shared" si="34"/>
        <v>143.57726487417773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1.8749084935159033E-2</v>
      </c>
      <c r="AC62" s="22">
        <f t="shared" si="3"/>
        <v>1.8749084935159033E-2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7.8</v>
      </c>
      <c r="AI62" s="13">
        <f>IF('Données projet'!$A$62&gt;35,AI61+AH62-AQ61,IF(A62&lt;'Données projet'!$A$62,$AF$205^A62,IF(A62='Données projet'!$A$62,'Données projet'!$B$62,AI61+AH62-AQ61)))</f>
        <v>227.20000000000019</v>
      </c>
      <c r="AJ62" s="13">
        <f>AI62*VLOOKUP('Données projet'!$B$10,Paramètres!$A$1:$I$89,3,0)*VLOOKUP('Données projet'!$B$10,Paramètres!$A$1:$I$89,5,0)</f>
        <v>205.57056000000014</v>
      </c>
      <c r="AK62" s="13">
        <f t="shared" si="35"/>
        <v>50.966443946767434</v>
      </c>
      <c r="AL62" s="20">
        <f t="shared" si="4"/>
        <v>446.80194854062023</v>
      </c>
      <c r="AM62" s="59">
        <f t="shared" si="5"/>
        <v>740.13528187395355</v>
      </c>
      <c r="AN62" s="59">
        <f ca="1">AVERAGE(OFFSET($AM$3,0,0,'Données projet'!$E$10+1,1))-AVERAGE(OFFSET($H$3,0,0,'Données projet'!$E$10+1,1))</f>
        <v>253.16772905022714</v>
      </c>
      <c r="AO62" s="59">
        <f t="shared" si="36"/>
        <v>156.67965022779907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2.0137906041467112E-2</v>
      </c>
      <c r="AX62" s="21">
        <f t="shared" si="6"/>
        <v>2.0137906041467112E-2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3.8000000000000007</v>
      </c>
      <c r="BD62" s="12">
        <f>IF('Données projet'!$A$88&gt;35,BD61+BC62-BL61,IF(A62&lt;'Données projet'!$A$88,$BA$205^A62,IF(A62='Données projet'!$A$88,'Données projet'!$B$88,BD61+BC62-BL61)))</f>
        <v>220.89999999999995</v>
      </c>
      <c r="BE62" s="13">
        <f>BD62*VLOOKUP('Données projet'!$B$11,Paramètres!$A$1:$I$89,3,0)*VLOOKUP('Données projet'!$B$11,Paramètres!$A$1:$I$89,5,0)</f>
        <v>132.09819999999996</v>
      </c>
      <c r="BF62" s="13">
        <f t="shared" si="37"/>
        <v>34.480739033591334</v>
      </c>
      <c r="BG62" s="20">
        <f t="shared" si="7"/>
        <v>290.12498548350482</v>
      </c>
      <c r="BH62" s="59">
        <f t="shared" si="8"/>
        <v>583.45831881683807</v>
      </c>
      <c r="BI62" s="59">
        <f ca="1">AVERAGE(OFFSET($BH$3,0,0,'Données projet'!$E$11+1,1))-AVERAGE(OFFSET($H$3,0,0,'Données projet'!$E$11+1,1))</f>
        <v>119.24399403036387</v>
      </c>
      <c r="BJ62" s="59">
        <f t="shared" si="38"/>
        <v>119.60076838354843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4.3147299627252234E-5</v>
      </c>
      <c r="BS62" s="22">
        <f t="shared" si="9"/>
        <v>4.3147299627252234E-5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3.8</v>
      </c>
      <c r="BY62" s="12">
        <f>IF('Données projet'!$A$114&gt;35,BY61+BX62-CG61,IF(A62&lt;'Données projet'!$A$114,$BV$205^A62,IF(A62='Données projet'!$A$114,'Données projet'!$B$114,BY61+BX62-CG61)))</f>
        <v>111.19999999999997</v>
      </c>
      <c r="BZ62" s="13">
        <f>BY62*VLOOKUP('Données projet'!$B$12,Paramètres!$A$1:$I$89,3,0)*VLOOKUP('Données projet'!$B$12,Paramètres!$A$1:$I$89,5,0)</f>
        <v>107.55263999999998</v>
      </c>
      <c r="CA62" s="13">
        <f t="shared" si="39"/>
        <v>28.753614564587743</v>
      </c>
      <c r="CB62" s="20">
        <f t="shared" si="10"/>
        <v>237.4000600333236</v>
      </c>
      <c r="CC62" s="59">
        <f t="shared" si="11"/>
        <v>530.73339336665686</v>
      </c>
      <c r="CD62" s="59">
        <f ca="1">AVERAGE(OFFSET($CC$3,0,0,'Données projet'!$E$12+1,1))-AVERAGE(OFFSET($H$3,0,0,'Données projet'!$E$12+1,1))</f>
        <v>135.95692658150551</v>
      </c>
      <c r="CE62" s="59">
        <f t="shared" si="40"/>
        <v>79.394119001888612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4.7724485437545807</v>
      </c>
      <c r="CM62" s="21">
        <f>EXP(-LN(2)/2)*CM61+(1-EXP(-LN(2)/2))/(LN(2)/2)*CG62*CJ62*VLOOKUP('Données projet'!$B$12,Paramètres!$A$1:$I$89,3,0)*0.475*44/12</f>
        <v>0.81711419414719499</v>
      </c>
      <c r="CN62" s="22">
        <f t="shared" si="12"/>
        <v>5.589562737901776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3.8</v>
      </c>
      <c r="CT62" s="12">
        <f>IF('Données projet'!$A$140&gt;35,CT61+CS62-DB61,IF(A62&lt;'Données projet'!$A$140,$CQ$205^A62,IF(A62='Données projet'!$A$140,'Données projet'!$B$140,CT61+CS62-DB61)))</f>
        <v>111.19999999999997</v>
      </c>
      <c r="CU62" s="17">
        <f>CT62*VLOOKUP('Données projet'!$B$13,Paramètres!$A$1:$I$89,3,0)*VLOOKUP('Données projet'!$B$13,Paramètres!$A$1:$I$89,5,0)</f>
        <v>119.69567999999997</v>
      </c>
      <c r="CV62" s="13">
        <f t="shared" si="41"/>
        <v>31.604011165765694</v>
      </c>
      <c r="CW62" s="20">
        <f t="shared" si="13"/>
        <v>263.5136287803752</v>
      </c>
      <c r="CX62" s="59">
        <f t="shared" si="14"/>
        <v>556.84696211370851</v>
      </c>
      <c r="CY62" s="59">
        <f ca="1">AVERAGE(OFFSET($CX$3,0,0,'Données projet'!$E$13+1,1))-AVERAGE(OFFSET($H$3,0,0,'Données projet'!$E$13+1,1))</f>
        <v>158.74837032815333</v>
      </c>
      <c r="CZ62" s="59">
        <f t="shared" si="42"/>
        <v>92.286636088270086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5.3112733793397719</v>
      </c>
      <c r="DH62" s="21">
        <f>EXP(-LN(2)/2)*DH61+(1-EXP(-LN(2)/2))/(LN(2)/2)*DB62*DE62*VLOOKUP('Données projet'!$B$13,Paramètres!$A$1:$I$89,3,0)*0.475*44/12</f>
        <v>0.90936902251865226</v>
      </c>
      <c r="DI62" s="22">
        <f t="shared" si="15"/>
        <v>6.2206424018584245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235</v>
      </c>
      <c r="L63" s="12">
        <f>VLOOKUP(A63,'Données projet'!$A$35:$I$55,9,0)</f>
        <v>7.8</v>
      </c>
      <c r="M63" s="12">
        <f t="array" ref="M63">INDEX(L:L,MIN(IF(ISNUMBER(L63:L259),ROW(L63:L259),"")))</f>
        <v>7.8</v>
      </c>
      <c r="N63" s="13">
        <f>IF('Données projet'!$A$36&gt;35,N62+M63-V62,IF(A63&lt;'Données projet'!$A$36,$K$205^A63,IF(A63='Données projet'!$A$36,'Données projet'!$B$36,N62+M63-V62)))</f>
        <v>235.0000000000002</v>
      </c>
      <c r="O63" s="13">
        <f>N63*VLOOKUP('Données projet'!$B$9,Paramètres!$A$1:$I$89,3,0)*VLOOKUP('Données projet'!$B$9,Paramètres!$A$1:$I$89,5,0)</f>
        <v>197.9640000000002</v>
      </c>
      <c r="P63" s="13">
        <f t="shared" si="33"/>
        <v>49.296450435147804</v>
      </c>
      <c r="Q63" s="20">
        <f t="shared" si="53"/>
        <v>430.64528450788276</v>
      </c>
      <c r="R63" s="59">
        <f t="shared" si="0"/>
        <v>723.97861784121608</v>
      </c>
      <c r="S63" s="59">
        <f ca="1">AVERAGE(OFFSET($R$3,0,0,'Données projet'!$E$9+1,1))-AVERAGE(OFFSET($H$3,0,0,'Données projet'!$E$9+1,1))</f>
        <v>231.91408074258248</v>
      </c>
      <c r="T63" s="59">
        <f t="shared" si="34"/>
        <v>143.57726487417773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42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1.3257605098693493E-2</v>
      </c>
      <c r="AC63" s="22">
        <f t="shared" si="3"/>
        <v>1.3257605098693493E-2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235</v>
      </c>
      <c r="AG63" s="12">
        <f>VLOOKUP(A63,'Données projet'!$A$61:$I$81,9,0)</f>
        <v>7.8</v>
      </c>
      <c r="AH63" s="12">
        <f t="array" ref="AH63">INDEX(AG:AG,MIN(IF(ISNUMBER(AG63:AG259),ROW(AG63:AG259),"")))</f>
        <v>7.8</v>
      </c>
      <c r="AI63" s="13">
        <f>IF('Données projet'!$A$62&gt;35,AI62+AH63-AQ62,IF(A63&lt;'Données projet'!$A$62,$AF$205^A63,IF(A63='Données projet'!$A$62,'Données projet'!$B$62,AI62+AH63-AQ62)))</f>
        <v>235.0000000000002</v>
      </c>
      <c r="AJ63" s="13">
        <f>AI63*VLOOKUP('Données projet'!$B$10,Paramètres!$A$1:$I$89,3,0)*VLOOKUP('Données projet'!$B$10,Paramètres!$A$1:$I$89,5,0)</f>
        <v>212.62800000000016</v>
      </c>
      <c r="AK63" s="13">
        <f t="shared" si="35"/>
        <v>52.509453483719085</v>
      </c>
      <c r="AL63" s="20">
        <f t="shared" si="4"/>
        <v>461.78106481747767</v>
      </c>
      <c r="AM63" s="59">
        <f t="shared" si="5"/>
        <v>755.11439815081098</v>
      </c>
      <c r="AN63" s="59">
        <f ca="1">AVERAGE(OFFSET($AM$3,0,0,'Données projet'!$E$10+1,1))-AVERAGE(OFFSET($H$3,0,0,'Données projet'!$E$10+1,1))</f>
        <v>253.16772905022714</v>
      </c>
      <c r="AO63" s="59">
        <f t="shared" si="36"/>
        <v>156.67965022779907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42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1.4239649920818939E-2</v>
      </c>
      <c r="AX63" s="21">
        <f t="shared" si="6"/>
        <v>1.4239649920818939E-2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3.8000000000000007</v>
      </c>
      <c r="BD63" s="12">
        <f>IF('Données projet'!$A$88&gt;35,BD62+BC63-BL62,IF(A63&lt;'Données projet'!$A$88,$BA$205^A63,IF(A63='Données projet'!$A$88,'Données projet'!$B$88,BD62+BC63-BL62)))</f>
        <v>224.69999999999996</v>
      </c>
      <c r="BE63" s="13">
        <f>BD63*VLOOKUP('Données projet'!$B$11,Paramètres!$A$1:$I$89,3,0)*VLOOKUP('Données projet'!$B$11,Paramètres!$A$1:$I$89,5,0)</f>
        <v>134.37059999999997</v>
      </c>
      <c r="BF63" s="13">
        <f t="shared" si="37"/>
        <v>35.004324871601163</v>
      </c>
      <c r="BG63" s="20">
        <f t="shared" si="7"/>
        <v>294.99466081803865</v>
      </c>
      <c r="BH63" s="59">
        <f t="shared" si="8"/>
        <v>588.32799415137197</v>
      </c>
      <c r="BI63" s="59">
        <f ca="1">AVERAGE(OFFSET($BH$3,0,0,'Données projet'!$E$11+1,1))-AVERAGE(OFFSET($H$3,0,0,'Données projet'!$E$11+1,1))</f>
        <v>119.24399403036387</v>
      </c>
      <c r="BJ63" s="59">
        <f t="shared" si="38"/>
        <v>119.60076838354843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3.0509748156317852E-5</v>
      </c>
      <c r="BS63" s="22">
        <f t="shared" si="9"/>
        <v>3.0509748156317852E-5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115</v>
      </c>
      <c r="BW63" s="12">
        <f>VLOOKUP(A63,'Données projet'!$A$113:$I$133,9,0)</f>
        <v>3.8</v>
      </c>
      <c r="BX63" s="12">
        <f t="array" ref="BX63">INDEX(BW:BW,MIN(IF(ISNUMBER(BW63:BW259),ROW(BW63:BW259),"")))</f>
        <v>3.8</v>
      </c>
      <c r="BY63" s="12">
        <f>IF('Données projet'!$A$114&gt;35,BY62+BX63-CG62,IF(A63&lt;'Données projet'!$A$114,$BV$205^A63,IF(A63='Données projet'!$A$114,'Données projet'!$B$114,BY62+BX63-CG62)))</f>
        <v>114.99999999999997</v>
      </c>
      <c r="BZ63" s="13">
        <f>BY63*VLOOKUP('Données projet'!$B$12,Paramètres!$A$1:$I$89,3,0)*VLOOKUP('Données projet'!$B$12,Paramètres!$A$1:$I$89,5,0)</f>
        <v>111.22799999999998</v>
      </c>
      <c r="CA63" s="13">
        <f t="shared" si="39"/>
        <v>29.620123744783804</v>
      </c>
      <c r="CB63" s="20">
        <f t="shared" si="10"/>
        <v>245.31048218883168</v>
      </c>
      <c r="CC63" s="59">
        <f t="shared" si="11"/>
        <v>538.64381552216503</v>
      </c>
      <c r="CD63" s="59">
        <f ca="1">AVERAGE(OFFSET($CC$3,0,0,'Données projet'!$E$12+1,1))-AVERAGE(OFFSET($H$3,0,0,'Données projet'!$E$12+1,1))</f>
        <v>135.95692658150551</v>
      </c>
      <c r="CE63" s="59">
        <f t="shared" si="40"/>
        <v>79.394119001888612</v>
      </c>
      <c r="CF63" s="15">
        <f>IF(ISNA(VLOOKUP(A63,'Données projet'!$A$113:$I$133,3,0)),0,VLOOKUP(A63,'Données projet'!$A$113:$I$133,3,0))</f>
        <v>7</v>
      </c>
      <c r="CG63" s="15">
        <f>IF(ISNA(VLOOKUP(A63,'Données projet'!$A$113:$I$133,4,0)),0,VLOOKUP(A63,'Données projet'!$A$113:$I$133,4,0))</f>
        <v>10</v>
      </c>
      <c r="CH63" s="16">
        <f>IF(ISNA(VLOOKUP(A63,'Données projet'!$A$113:$I$133,5,0)),0%,VLOOKUP(A63,'Données projet'!$A$113:$I$133,5,0)*VLOOKUP('Données projet'!$B$12,Paramètres!$A$1:$I$89,7,0))</f>
        <v>0.215</v>
      </c>
      <c r="CI63" s="16">
        <f>IF(ISNA(VLOOKUP(A63,'Données projet'!$A$113:$I$133,6,0)),0%,VLOOKUP(A63,'Données projet'!$A$113:$I$133,6,0)*VLOOKUP('Données projet'!$B$12,Paramètres!$A$1:$I$89,7,0))</f>
        <v>4.3000000000000003E-2</v>
      </c>
      <c r="CJ63" s="16">
        <f>IF(ISNA(VLOOKUP(A63,'Données projet'!$A$113:$I$133,7,0)),0%,VLOOKUP(A63,'Données projet'!$A$113:$I$133,7,0))</f>
        <v>0.1</v>
      </c>
      <c r="CK63" s="21">
        <f>EXP(-LN(2)/35)*CK62+(1-EXP(-LN(2)/35))/(LN(2)/35)*CG63*CH63*VLOOKUP('Données projet'!$B$12,Paramètres!$A$1:$I$89,3,0)*0.475*44/12</f>
        <v>2.2988035448311792</v>
      </c>
      <c r="CL63" s="21">
        <f>EXP(-LN(2)/25)*CL62+(1-EXP(-LN(2)/25))/(LN(2)/25)*Calculateur!CG63*Calculateur!CI63*VLOOKUP('Données projet'!$B$12,Paramètres!$A$1:$I$89,3,0)*0.475*44/12</f>
        <v>5.099896143225922</v>
      </c>
      <c r="CM63" s="21">
        <f>EXP(-LN(2)/2)*CM62+(1-EXP(-LN(2)/2))/(LN(2)/2)*CG63*CJ63*VLOOKUP('Données projet'!$B$12,Paramètres!$A$1:$I$89,3,0)*0.475*44/12</f>
        <v>1.4903662194915941</v>
      </c>
      <c r="CN63" s="22">
        <f t="shared" si="12"/>
        <v>8.8890659075486962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115</v>
      </c>
      <c r="CR63" s="12">
        <f>VLOOKUP(A63,'Données projet'!$A$139:$I$159,9,0)</f>
        <v>3.8</v>
      </c>
      <c r="CS63" s="12">
        <f t="array" ref="CS63">INDEX(CR:CR,MIN(IF(ISNUMBER(CR63:CR259),ROW(CR63:CR259),"")))</f>
        <v>3.8</v>
      </c>
      <c r="CT63" s="12">
        <f>IF('Données projet'!$A$140&gt;35,CT62+CS63-DB62,IF(A63&lt;'Données projet'!$A$140,$CQ$205^A63,IF(A63='Données projet'!$A$140,'Données projet'!$B$140,CT62+CS63-DB62)))</f>
        <v>114.99999999999997</v>
      </c>
      <c r="CU63" s="17">
        <f>CT63*VLOOKUP('Données projet'!$B$13,Paramètres!$A$1:$I$89,3,0)*VLOOKUP('Données projet'!$B$13,Paramètres!$A$1:$I$89,5,0)</f>
        <v>123.78599999999997</v>
      </c>
      <c r="CV63" s="13">
        <f t="shared" si="41"/>
        <v>32.556418931566412</v>
      </c>
      <c r="CW63" s="20">
        <f t="shared" si="13"/>
        <v>272.29637963914479</v>
      </c>
      <c r="CX63" s="59">
        <f t="shared" si="14"/>
        <v>565.62971297247805</v>
      </c>
      <c r="CY63" s="59">
        <f ca="1">AVERAGE(OFFSET($CX$3,0,0,'Données projet'!$E$13+1,1))-AVERAGE(OFFSET($H$3,0,0,'Données projet'!$E$13+1,1))</f>
        <v>158.74837032815333</v>
      </c>
      <c r="CZ63" s="59">
        <f t="shared" si="42"/>
        <v>92.286636088270086</v>
      </c>
      <c r="DA63" s="15">
        <f>IF(ISNA(VLOOKUP(A63,'Données projet'!$A$139:$I$159,3,0)),0,VLOOKUP(A63,'Données projet'!$A$139:$I$159,3,0))</f>
        <v>7</v>
      </c>
      <c r="DB63" s="15">
        <f>IF(ISNA(VLOOKUP(A63,'Données projet'!$A$139:$I$159,4,0)),0,VLOOKUP(A63,'Données projet'!$A$139:$I$159,4,0))</f>
        <v>10</v>
      </c>
      <c r="DC63" s="16">
        <f>IF(ISNA(VLOOKUP(A63,'Données projet'!$A$139:$I$159,5,0)),0%,VLOOKUP(A63,'Données projet'!$A$139:$I$159,5,0)*VLOOKUP('Données projet'!$B$13,Paramètres!$A$1:$I$89,7,0))</f>
        <v>0.215</v>
      </c>
      <c r="DD63" s="16">
        <f>IF(ISNA(VLOOKUP(A63,'Données projet'!$A$139:$I$159,6,0)),0%,VLOOKUP(A63,'Données projet'!$A$139:$I$159,6,0)*VLOOKUP('Données projet'!$B$13,Paramètres!$A$1:$I$89,7,0))</f>
        <v>4.3000000000000003E-2</v>
      </c>
      <c r="DE63" s="16">
        <f>IF(ISNA(VLOOKUP(A63,'Données projet'!$A$139:$I$159,7,0)),0%,VLOOKUP(A63,'Données projet'!$A$139:$I$159,7,0))</f>
        <v>0.1</v>
      </c>
      <c r="DF63" s="21">
        <f>EXP(-LN(2)/35)*DF62+(1-EXP(-LN(2)/35))/(LN(2)/35)*DB63*DC63*VLOOKUP('Données projet'!$B$13,Paramètres!$A$1:$I$89,3,0)*0.475*44/12</f>
        <v>2.5583458805379244</v>
      </c>
      <c r="DG63" s="21">
        <f>EXP(-LN(2)/25)*DG62+(1-EXP(-LN(2)/25))/(LN(2)/25)*Calculateur!DB63*Calculateur!DD63*VLOOKUP('Données projet'!$B$13,Paramètres!$A$1:$I$89,3,0)*0.475*44/12</f>
        <v>5.6756908690740069</v>
      </c>
      <c r="DH63" s="21">
        <f>EXP(-LN(2)/2)*DH62+(1-EXP(-LN(2)/2))/(LN(2)/2)*DB63*DE63*VLOOKUP('Données projet'!$B$13,Paramètres!$A$1:$I$89,3,0)*0.475*44/12</f>
        <v>1.6586333733051613</v>
      </c>
      <c r="DI63" s="22">
        <f t="shared" si="15"/>
        <v>9.8926701229170924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7</v>
      </c>
      <c r="N64" s="13">
        <f>IF('Données projet'!$A$36&gt;35,N63+M64-V63,IF(A64&lt;'Données projet'!$A$36,$K$205^A64,IF(A64='Données projet'!$A$36,'Données projet'!$B$36,N63+M64-V63)))</f>
        <v>200.0000000000002</v>
      </c>
      <c r="O64" s="13">
        <f>N64*VLOOKUP('Données projet'!$B$9,Paramètres!$A$1:$I$89,3,0)*VLOOKUP('Données projet'!$B$9,Paramètres!$A$1:$I$89,5,0)</f>
        <v>168.48000000000019</v>
      </c>
      <c r="P64" s="13">
        <f t="shared" si="33"/>
        <v>42.749416405385382</v>
      </c>
      <c r="Q64" s="20">
        <f t="shared" si="53"/>
        <v>367.89123357271319</v>
      </c>
      <c r="R64" s="59">
        <f t="shared" si="0"/>
        <v>661.22456690604645</v>
      </c>
      <c r="S64" s="59">
        <f ca="1">AVERAGE(OFFSET($R$3,0,0,'Données projet'!$E$9+1,1))-AVERAGE(OFFSET($H$3,0,0,'Données projet'!$E$9+1,1))</f>
        <v>231.91408074258248</v>
      </c>
      <c r="T64" s="59">
        <f t="shared" si="34"/>
        <v>143.57726487417773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9.3745424675795164E-3</v>
      </c>
      <c r="AC64" s="22">
        <f t="shared" si="3"/>
        <v>9.3745424675795164E-3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</v>
      </c>
      <c r="AI64" s="13">
        <f>IF('Données projet'!$A$62&gt;35,AI63+AH64-AQ63,IF(A64&lt;'Données projet'!$A$62,$AF$205^A64,IF(A64='Données projet'!$A$62,'Données projet'!$B$62,AI63+AH64-AQ63)))</f>
        <v>200.0000000000002</v>
      </c>
      <c r="AJ64" s="13">
        <f>AI64*VLOOKUP('Données projet'!$B$10,Paramètres!$A$1:$I$89,3,0)*VLOOKUP('Données projet'!$B$10,Paramètres!$A$1:$I$89,5,0)</f>
        <v>180.96000000000018</v>
      </c>
      <c r="AK64" s="13">
        <f t="shared" si="35"/>
        <v>45.535702314871806</v>
      </c>
      <c r="AL64" s="20">
        <f t="shared" si="4"/>
        <v>394.48001486506865</v>
      </c>
      <c r="AM64" s="59">
        <f t="shared" si="5"/>
        <v>687.81334819840197</v>
      </c>
      <c r="AN64" s="59">
        <f ca="1">AVERAGE(OFFSET($AM$3,0,0,'Données projet'!$E$10+1,1))-AVERAGE(OFFSET($H$3,0,0,'Données projet'!$E$10+1,1))</f>
        <v>253.16772905022714</v>
      </c>
      <c r="AO64" s="59">
        <f t="shared" si="36"/>
        <v>156.67965022779907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1.0068953020733556E-2</v>
      </c>
      <c r="AX64" s="21">
        <f t="shared" si="6"/>
        <v>1.0068953020733556E-2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3.8000000000000007</v>
      </c>
      <c r="BD64" s="12">
        <f>IF('Données projet'!$A$88&gt;35,BD63+BC64-BL63,IF(A64&lt;'Données projet'!$A$88,$BA$205^A64,IF(A64='Données projet'!$A$88,'Données projet'!$B$88,BD63+BC64-BL63)))</f>
        <v>228.49999999999997</v>
      </c>
      <c r="BE64" s="13">
        <f>BD64*VLOOKUP('Données projet'!$B$11,Paramètres!$A$1:$I$89,3,0)*VLOOKUP('Données projet'!$B$11,Paramètres!$A$1:$I$89,5,0)</f>
        <v>136.64299999999997</v>
      </c>
      <c r="BF64" s="13">
        <f t="shared" si="37"/>
        <v>35.526880997312432</v>
      </c>
      <c r="BG64" s="20">
        <f t="shared" si="7"/>
        <v>299.86254273698574</v>
      </c>
      <c r="BH64" s="59">
        <f t="shared" si="8"/>
        <v>593.19587607031906</v>
      </c>
      <c r="BI64" s="59">
        <f ca="1">AVERAGE(OFFSET($BH$3,0,0,'Données projet'!$E$11+1,1))-AVERAGE(OFFSET($H$3,0,0,'Données projet'!$E$11+1,1))</f>
        <v>119.24399403036387</v>
      </c>
      <c r="BJ64" s="59">
        <f t="shared" si="38"/>
        <v>119.60076838354843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2.1573649813626121E-5</v>
      </c>
      <c r="BS64" s="22">
        <f t="shared" si="9"/>
        <v>2.1573649813626121E-5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3.8</v>
      </c>
      <c r="BY64" s="12">
        <f>IF('Données projet'!$A$114&gt;35,BY63+BX64-CG63,IF(A64&lt;'Données projet'!$A$114,$BV$205^A64,IF(A64='Données projet'!$A$114,'Données projet'!$B$114,BY63+BX64-CG63)))</f>
        <v>108.79999999999997</v>
      </c>
      <c r="BZ64" s="13">
        <f>BY64*VLOOKUP('Données projet'!$B$12,Paramètres!$A$1:$I$89,3,0)*VLOOKUP('Données projet'!$B$12,Paramètres!$A$1:$I$89,5,0)</f>
        <v>105.23135999999997</v>
      </c>
      <c r="CA64" s="13">
        <f t="shared" si="39"/>
        <v>28.204574272897808</v>
      </c>
      <c r="CB64" s="20">
        <f t="shared" si="10"/>
        <v>232.40091885863032</v>
      </c>
      <c r="CC64" s="59">
        <f t="shared" si="11"/>
        <v>525.73425219196361</v>
      </c>
      <c r="CD64" s="59">
        <f ca="1">AVERAGE(OFFSET($CC$3,0,0,'Données projet'!$E$12+1,1))-AVERAGE(OFFSET($H$3,0,0,'Données projet'!$E$12+1,1))</f>
        <v>135.95692658150551</v>
      </c>
      <c r="CE64" s="59">
        <f t="shared" si="40"/>
        <v>79.394119001888612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2.2537254094487533</v>
      </c>
      <c r="CL64" s="21">
        <f>EXP(-LN(2)/25)*CL63+(1-EXP(-LN(2)/25))/(LN(2)/25)*Calculateur!CG64*Calculateur!CI64*VLOOKUP('Données projet'!$B$12,Paramètres!$A$1:$I$89,3,0)*0.475*44/12</f>
        <v>4.9604392149975274</v>
      </c>
      <c r="CM64" s="21">
        <f>EXP(-LN(2)/2)*CM63+(1-EXP(-LN(2)/2))/(LN(2)/2)*CG64*CJ64*VLOOKUP('Données projet'!$B$12,Paramètres!$A$1:$I$89,3,0)*0.475*44/12</f>
        <v>1.0538480602538647</v>
      </c>
      <c r="CN64" s="22">
        <f t="shared" si="12"/>
        <v>8.2680126847001461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3.8</v>
      </c>
      <c r="CT64" s="12">
        <f>IF('Données projet'!$A$140&gt;35,CT63+CS64-DB63,IF(A64&lt;'Données projet'!$A$140,$CQ$205^A64,IF(A64='Données projet'!$A$140,'Données projet'!$B$140,CT63+CS64-DB63)))</f>
        <v>108.79999999999997</v>
      </c>
      <c r="CU64" s="17">
        <f>CT64*VLOOKUP('Données projet'!$B$13,Paramètres!$A$1:$I$89,3,0)*VLOOKUP('Données projet'!$B$13,Paramètres!$A$1:$I$89,5,0)</f>
        <v>117.11231999999997</v>
      </c>
      <c r="CV64" s="13">
        <f t="shared" si="41"/>
        <v>31.000543540154752</v>
      </c>
      <c r="CW64" s="20">
        <f t="shared" si="13"/>
        <v>257.96323733243611</v>
      </c>
      <c r="CX64" s="59">
        <f t="shared" si="14"/>
        <v>551.29657066576942</v>
      </c>
      <c r="CY64" s="59">
        <f ca="1">AVERAGE(OFFSET($CX$3,0,0,'Données projet'!$E$13+1,1))-AVERAGE(OFFSET($H$3,0,0,'Données projet'!$E$13+1,1))</f>
        <v>158.74837032815333</v>
      </c>
      <c r="CZ64" s="59">
        <f t="shared" si="42"/>
        <v>92.286636088270086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2.5081782782574824</v>
      </c>
      <c r="DG64" s="21">
        <f>EXP(-LN(2)/25)*DG63+(1-EXP(-LN(2)/25))/(LN(2)/25)*Calculateur!DB64*Calculateur!DD64*VLOOKUP('Données projet'!$B$13,Paramètres!$A$1:$I$89,3,0)*0.475*44/12</f>
        <v>5.5204888037875675</v>
      </c>
      <c r="DH64" s="21">
        <f>EXP(-LN(2)/2)*DH63+(1-EXP(-LN(2)/2))/(LN(2)/2)*DB64*DE64*VLOOKUP('Données projet'!$B$13,Paramètres!$A$1:$I$89,3,0)*0.475*44/12</f>
        <v>1.1728309057663979</v>
      </c>
      <c r="DI64" s="22">
        <f t="shared" si="15"/>
        <v>9.2014979878114485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7</v>
      </c>
      <c r="N65" s="13">
        <f>IF('Données projet'!$A$36&gt;35,N64+M65-V64,IF(A65&lt;'Données projet'!$A$36,$K$205^A65,IF(A65='Données projet'!$A$36,'Données projet'!$B$36,N64+M65-V64)))</f>
        <v>207.0000000000002</v>
      </c>
      <c r="O65" s="13">
        <f>N65*VLOOKUP('Données projet'!$B$9,Paramètres!$A$1:$I$89,3,0)*VLOOKUP('Données projet'!$B$9,Paramètres!$A$1:$I$89,5,0)</f>
        <v>174.37680000000017</v>
      </c>
      <c r="P65" s="13">
        <f t="shared" si="33"/>
        <v>44.068826244106432</v>
      </c>
      <c r="Q65" s="20">
        <f t="shared" si="53"/>
        <v>380.45946570848565</v>
      </c>
      <c r="R65" s="59">
        <f t="shared" si="0"/>
        <v>673.79279904181897</v>
      </c>
      <c r="S65" s="59">
        <f ca="1">AVERAGE(OFFSET($R$3,0,0,'Données projet'!$E$9+1,1))-AVERAGE(OFFSET($H$3,0,0,'Données projet'!$E$9+1,1))</f>
        <v>231.91408074258248</v>
      </c>
      <c r="T65" s="59">
        <f t="shared" si="34"/>
        <v>143.57726487417773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6.6288025493467465E-3</v>
      </c>
      <c r="AC65" s="22">
        <f t="shared" si="3"/>
        <v>6.6288025493467465E-3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</v>
      </c>
      <c r="AI65" s="13">
        <f>IF('Données projet'!$A$62&gt;35,AI64+AH65-AQ64,IF(A65&lt;'Données projet'!$A$62,$AF$205^A65,IF(A65='Données projet'!$A$62,'Données projet'!$B$62,AI64+AH65-AQ64)))</f>
        <v>207.0000000000002</v>
      </c>
      <c r="AJ65" s="13">
        <f>AI65*VLOOKUP('Données projet'!$B$10,Paramètres!$A$1:$I$89,3,0)*VLOOKUP('Données projet'!$B$10,Paramètres!$A$1:$I$89,5,0)</f>
        <v>187.29360000000017</v>
      </c>
      <c r="AK65" s="13">
        <f t="shared" si="35"/>
        <v>46.941107550760499</v>
      </c>
      <c r="AL65" s="20">
        <f t="shared" si="4"/>
        <v>407.95878231757479</v>
      </c>
      <c r="AM65" s="59">
        <f t="shared" si="5"/>
        <v>701.29211565090804</v>
      </c>
      <c r="AN65" s="59">
        <f ca="1">AVERAGE(OFFSET($AM$3,0,0,'Données projet'!$E$10+1,1))-AVERAGE(OFFSET($H$3,0,0,'Données projet'!$E$10+1,1))</f>
        <v>253.16772905022714</v>
      </c>
      <c r="AO65" s="59">
        <f t="shared" si="36"/>
        <v>156.67965022779907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7.1198249604094693E-3</v>
      </c>
      <c r="AX65" s="21">
        <f t="shared" si="6"/>
        <v>7.1198249604094693E-3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>
        <f>VLOOKUP(A65,'Données projet'!$A$87:$I$107,2,0)</f>
        <v>232.3</v>
      </c>
      <c r="BB65" s="12">
        <f>VLOOKUP(A65,'Données projet'!$A$87:$I$107,9,0)</f>
        <v>3.8000000000000007</v>
      </c>
      <c r="BC65" s="12">
        <f t="array" ref="BC65">INDEX(BB:BB,MIN(IF(ISNUMBER(BB65:BB261),ROW(BB65:BB261),"")))</f>
        <v>3.8000000000000007</v>
      </c>
      <c r="BD65" s="12">
        <f>IF('Données projet'!$A$88&gt;35,BD64+BC65-BL64,IF(A65&lt;'Données projet'!$A$88,$BA$205^A65,IF(A65='Données projet'!$A$88,'Données projet'!$B$88,BD64+BC65-BL64)))</f>
        <v>232.29999999999998</v>
      </c>
      <c r="BE65" s="13">
        <f>BD65*VLOOKUP('Données projet'!$B$11,Paramètres!$A$1:$I$89,3,0)*VLOOKUP('Données projet'!$B$11,Paramètres!$A$1:$I$89,5,0)</f>
        <v>138.91540000000001</v>
      </c>
      <c r="BF65" s="13">
        <f t="shared" si="37"/>
        <v>36.048426511596745</v>
      </c>
      <c r="BG65" s="20">
        <f t="shared" si="7"/>
        <v>304.72866450769766</v>
      </c>
      <c r="BH65" s="59">
        <f t="shared" si="8"/>
        <v>598.06199784103092</v>
      </c>
      <c r="BI65" s="59">
        <f ca="1">AVERAGE(OFFSET($BH$3,0,0,'Données projet'!$E$11+1,1))-AVERAGE(OFFSET($H$3,0,0,'Données projet'!$E$11+1,1))</f>
        <v>119.24399403036387</v>
      </c>
      <c r="BJ65" s="59">
        <f t="shared" si="38"/>
        <v>119.60076838354843</v>
      </c>
      <c r="BK65" s="15" t="str">
        <f>IF(ISNA(VLOOKUP(A65,'Données projet'!$A$87:$I$107,3,0)),0,VLOOKUP(A65,'Données projet'!$A$87:$I$107,3,0))</f>
        <v>CR</v>
      </c>
      <c r="BL65" s="15">
        <f>IF(ISNA(VLOOKUP(A65,'Données projet'!$A$87:$I$107,4,0)),0,VLOOKUP(A65,'Données projet'!$A$87:$I$107,4,0))</f>
        <v>232.3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1.5254874078158928E-5</v>
      </c>
      <c r="BS65" s="22">
        <f t="shared" si="9"/>
        <v>1.5254874078158928E-5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3.8</v>
      </c>
      <c r="BY65" s="12">
        <f>IF('Données projet'!$A$114&gt;35,BY64+BX65-CG64,IF(A65&lt;'Données projet'!$A$114,$BV$205^A65,IF(A65='Données projet'!$A$114,'Données projet'!$B$114,BY64+BX65-CG64)))</f>
        <v>112.59999999999997</v>
      </c>
      <c r="BZ65" s="13">
        <f>BY65*VLOOKUP('Données projet'!$B$12,Paramètres!$A$1:$I$89,3,0)*VLOOKUP('Données projet'!$B$12,Paramètres!$A$1:$I$89,5,0)</f>
        <v>108.90671999999998</v>
      </c>
      <c r="CA65" s="13">
        <f t="shared" si="39"/>
        <v>29.073249724487347</v>
      </c>
      <c r="CB65" s="20">
        <f t="shared" si="10"/>
        <v>240.31511393681538</v>
      </c>
      <c r="CC65" s="59">
        <f t="shared" si="11"/>
        <v>533.64844727014872</v>
      </c>
      <c r="CD65" s="59">
        <f ca="1">AVERAGE(OFFSET($CC$3,0,0,'Données projet'!$E$12+1,1))-AVERAGE(OFFSET($H$3,0,0,'Données projet'!$E$12+1,1))</f>
        <v>135.95692658150551</v>
      </c>
      <c r="CE65" s="59">
        <f t="shared" si="40"/>
        <v>79.394119001888612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2.2095312288062288</v>
      </c>
      <c r="CL65" s="21">
        <f>EXP(-LN(2)/25)*CL64+(1-EXP(-LN(2)/25))/(LN(2)/25)*Calculateur!CG65*Calculateur!CI65*VLOOKUP('Données projet'!$B$12,Paramètres!$A$1:$I$89,3,0)*0.475*44/12</f>
        <v>4.8247957438052591</v>
      </c>
      <c r="CM65" s="21">
        <f>EXP(-LN(2)/2)*CM64+(1-EXP(-LN(2)/2))/(LN(2)/2)*CG65*CJ65*VLOOKUP('Données projet'!$B$12,Paramètres!$A$1:$I$89,3,0)*0.475*44/12</f>
        <v>0.74518310974579705</v>
      </c>
      <c r="CN65" s="22">
        <f t="shared" si="12"/>
        <v>7.7795100823572856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3.8</v>
      </c>
      <c r="CT65" s="12">
        <f>IF('Données projet'!$A$140&gt;35,CT64+CS65-DB64,IF(A65&lt;'Données projet'!$A$140,$CQ$205^A65,IF(A65='Données projet'!$A$140,'Données projet'!$B$140,CT64+CS65-DB64)))</f>
        <v>112.59999999999997</v>
      </c>
      <c r="CU65" s="17">
        <f>CT65*VLOOKUP('Données projet'!$B$13,Paramètres!$A$1:$I$89,3,0)*VLOOKUP('Données projet'!$B$13,Paramètres!$A$1:$I$89,5,0)</f>
        <v>121.20263999999996</v>
      </c>
      <c r="CV65" s="13">
        <f t="shared" si="41"/>
        <v>31.955332323658638</v>
      </c>
      <c r="CW65" s="20">
        <f t="shared" si="13"/>
        <v>266.75013513037209</v>
      </c>
      <c r="CX65" s="59">
        <f t="shared" si="14"/>
        <v>560.08346846370546</v>
      </c>
      <c r="CY65" s="59">
        <f ca="1">AVERAGE(OFFSET($CX$3,0,0,'Données projet'!$E$13+1,1))-AVERAGE(OFFSET($H$3,0,0,'Données projet'!$E$13+1,1))</f>
        <v>158.74837032815333</v>
      </c>
      <c r="CZ65" s="59">
        <f t="shared" si="42"/>
        <v>92.286636088270086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2.4589944320585442</v>
      </c>
      <c r="DG65" s="21">
        <f>EXP(-LN(2)/25)*DG64+(1-EXP(-LN(2)/25))/(LN(2)/25)*Calculateur!DB65*Calculateur!DD65*VLOOKUP('Données projet'!$B$13,Paramètres!$A$1:$I$89,3,0)*0.475*44/12</f>
        <v>5.3695307471381071</v>
      </c>
      <c r="DH65" s="21">
        <f>EXP(-LN(2)/2)*DH64+(1-EXP(-LN(2)/2))/(LN(2)/2)*DB65*DE65*VLOOKUP('Données projet'!$B$13,Paramètres!$A$1:$I$89,3,0)*0.475*44/12</f>
        <v>0.82931668665258074</v>
      </c>
      <c r="DI65" s="22">
        <f t="shared" si="15"/>
        <v>8.6578418658492318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7</v>
      </c>
      <c r="N66" s="13">
        <f>IF('Données projet'!$A$36&gt;35,N65+M66-V65,IF(A66&lt;'Données projet'!$A$36,$K$205^A66,IF(A66='Données projet'!$A$36,'Données projet'!$B$36,N65+M66-V65)))</f>
        <v>214.0000000000002</v>
      </c>
      <c r="O66" s="13">
        <f>N66*VLOOKUP('Données projet'!$B$9,Paramètres!$A$1:$I$89,3,0)*VLOOKUP('Données projet'!$B$9,Paramètres!$A$1:$I$89,5,0)</f>
        <v>180.27360000000019</v>
      </c>
      <c r="P66" s="13">
        <f t="shared" si="33"/>
        <v>45.38305174393809</v>
      </c>
      <c r="Q66" s="20">
        <f t="shared" si="53"/>
        <v>393.01866845402583</v>
      </c>
      <c r="R66" s="59">
        <f t="shared" si="0"/>
        <v>686.35200178735909</v>
      </c>
      <c r="S66" s="59">
        <f ca="1">AVERAGE(OFFSET($R$3,0,0,'Données projet'!$E$9+1,1))-AVERAGE(OFFSET($H$3,0,0,'Données projet'!$E$9+1,1))</f>
        <v>231.91408074258248</v>
      </c>
      <c r="T66" s="59">
        <f t="shared" si="34"/>
        <v>143.57726487417773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4.6872712337897582E-3</v>
      </c>
      <c r="AC66" s="22">
        <f t="shared" si="3"/>
        <v>4.6872712337897582E-3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</v>
      </c>
      <c r="AI66" s="13">
        <f>IF('Données projet'!$A$62&gt;35,AI65+AH66-AQ65,IF(A66&lt;'Données projet'!$A$62,$AF$205^A66,IF(A66='Données projet'!$A$62,'Données projet'!$B$62,AI65+AH66-AQ65)))</f>
        <v>214.0000000000002</v>
      </c>
      <c r="AJ66" s="13">
        <f>AI66*VLOOKUP('Données projet'!$B$10,Paramètres!$A$1:$I$89,3,0)*VLOOKUP('Données projet'!$B$10,Paramètres!$A$1:$I$89,5,0)</f>
        <v>193.62720000000016</v>
      </c>
      <c r="AK66" s="13">
        <f t="shared" si="35"/>
        <v>48.340990547231236</v>
      </c>
      <c r="AL66" s="20">
        <f t="shared" si="4"/>
        <v>421.42793186976132</v>
      </c>
      <c r="AM66" s="59">
        <f t="shared" si="5"/>
        <v>714.76126520309458</v>
      </c>
      <c r="AN66" s="59">
        <f ca="1">AVERAGE(OFFSET($AM$3,0,0,'Données projet'!$E$10+1,1))-AVERAGE(OFFSET($H$3,0,0,'Données projet'!$E$10+1,1))</f>
        <v>253.16772905022714</v>
      </c>
      <c r="AO66" s="59">
        <f t="shared" si="36"/>
        <v>156.67965022779907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5.0344765103667779E-3</v>
      </c>
      <c r="AX66" s="21">
        <f t="shared" si="6"/>
        <v>5.0344765103667779E-3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-2.8421709430404007E-14</v>
      </c>
      <c r="BE66" s="13">
        <f>BD66*VLOOKUP('Données projet'!$B$11,Paramètres!$A$1:$I$89,3,0)*VLOOKUP('Données projet'!$B$11,Paramètres!$A$1:$I$89,5,0)</f>
        <v>-1.6996182239381599E-14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119.24399403036387</v>
      </c>
      <c r="BJ66" s="59">
        <f t="shared" si="38"/>
        <v>119.60076838354843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1.0786824906813062E-5</v>
      </c>
      <c r="BS66" s="22">
        <f t="shared" si="9"/>
        <v>1.0786824906813062E-5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3.8</v>
      </c>
      <c r="BY66" s="12">
        <f>IF('Données projet'!$A$114&gt;35,BY65+BX66-CG65,IF(A66&lt;'Données projet'!$A$114,$BV$205^A66,IF(A66='Données projet'!$A$114,'Données projet'!$B$114,BY65+BX66-CG65)))</f>
        <v>116.39999999999996</v>
      </c>
      <c r="BZ66" s="13">
        <f>BY66*VLOOKUP('Données projet'!$B$12,Paramètres!$A$1:$I$89,3,0)*VLOOKUP('Données projet'!$B$12,Paramètres!$A$1:$I$89,5,0)</f>
        <v>112.58207999999998</v>
      </c>
      <c r="CA66" s="13">
        <f t="shared" si="39"/>
        <v>29.938518819529087</v>
      </c>
      <c r="CB66" s="20">
        <f t="shared" si="10"/>
        <v>248.22337627734646</v>
      </c>
      <c r="CC66" s="59">
        <f t="shared" si="11"/>
        <v>541.55670961067972</v>
      </c>
      <c r="CD66" s="59">
        <f ca="1">AVERAGE(OFFSET($CC$3,0,0,'Données projet'!$E$12+1,1))-AVERAGE(OFFSET($H$3,0,0,'Données projet'!$E$12+1,1))</f>
        <v>135.95692658150551</v>
      </c>
      <c r="CE66" s="59">
        <f t="shared" si="40"/>
        <v>79.394119001888612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2.1662036690903159</v>
      </c>
      <c r="CL66" s="21">
        <f>EXP(-LN(2)/25)*CL65+(1-EXP(-LN(2)/25))/(LN(2)/25)*Calculateur!CG66*Calculateur!CI66*VLOOKUP('Données projet'!$B$12,Paramètres!$A$1:$I$89,3,0)*0.475*44/12</f>
        <v>4.692861450465923</v>
      </c>
      <c r="CM66" s="21">
        <f>EXP(-LN(2)/2)*CM65+(1-EXP(-LN(2)/2))/(LN(2)/2)*CG66*CJ66*VLOOKUP('Données projet'!$B$12,Paramètres!$A$1:$I$89,3,0)*0.475*44/12</f>
        <v>0.52692403012693234</v>
      </c>
      <c r="CN66" s="22">
        <f t="shared" si="12"/>
        <v>7.3859891496831711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3.8</v>
      </c>
      <c r="CT66" s="12">
        <f>IF('Données projet'!$A$140&gt;35,CT65+CS66-DB65,IF(A66&lt;'Données projet'!$A$140,$CQ$205^A66,IF(A66='Données projet'!$A$140,'Données projet'!$B$140,CT65+CS66-DB65)))</f>
        <v>116.39999999999996</v>
      </c>
      <c r="CU66" s="17">
        <f>CT66*VLOOKUP('Données projet'!$B$13,Paramètres!$A$1:$I$89,3,0)*VLOOKUP('Données projet'!$B$13,Paramètres!$A$1:$I$89,5,0)</f>
        <v>125.29295999999997</v>
      </c>
      <c r="CV66" s="13">
        <f t="shared" si="41"/>
        <v>32.906377072473241</v>
      </c>
      <c r="CW66" s="20">
        <f t="shared" si="13"/>
        <v>275.53051206789081</v>
      </c>
      <c r="CX66" s="59">
        <f t="shared" si="14"/>
        <v>568.86384540122413</v>
      </c>
      <c r="CY66" s="59">
        <f ca="1">AVERAGE(OFFSET($CX$3,0,0,'Données projet'!$E$13+1,1))-AVERAGE(OFFSET($H$3,0,0,'Données projet'!$E$13+1,1))</f>
        <v>158.74837032815333</v>
      </c>
      <c r="CZ66" s="59">
        <f t="shared" si="42"/>
        <v>92.286636088270086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2.4107750510843831</v>
      </c>
      <c r="DG66" s="21">
        <f>EXP(-LN(2)/25)*DG65+(1-EXP(-LN(2)/25))/(LN(2)/25)*Calculateur!DB66*Calculateur!DD66*VLOOKUP('Données projet'!$B$13,Paramètres!$A$1:$I$89,3,0)*0.475*44/12</f>
        <v>5.222700646486266</v>
      </c>
      <c r="DH66" s="21">
        <f>EXP(-LN(2)/2)*DH65+(1-EXP(-LN(2)/2))/(LN(2)/2)*DB66*DE66*VLOOKUP('Données projet'!$B$13,Paramètres!$A$1:$I$89,3,0)*0.475*44/12</f>
        <v>0.58641545288319907</v>
      </c>
      <c r="DI66" s="22">
        <f t="shared" si="15"/>
        <v>8.2198911504538472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7</v>
      </c>
      <c r="N67" s="13">
        <f>IF('Données projet'!$A$36&gt;35,N66+M67-V66,IF(A67&lt;'Données projet'!$A$36,$K$205^A67,IF(A67='Données projet'!$A$36,'Données projet'!$B$36,N66+M67-V66)))</f>
        <v>221.0000000000002</v>
      </c>
      <c r="O67" s="13">
        <f>N67*VLOOKUP('Données projet'!$B$9,Paramètres!$A$1:$I$89,3,0)*VLOOKUP('Données projet'!$B$9,Paramètres!$A$1:$I$89,5,0)</f>
        <v>186.1704000000002</v>
      </c>
      <c r="P67" s="13">
        <f t="shared" si="33"/>
        <v>46.69228193379606</v>
      </c>
      <c r="Q67" s="20">
        <f t="shared" ref="Q67:Q98" si="54">(O67+P67)*0.475*44/12</f>
        <v>405.5691710346951</v>
      </c>
      <c r="R67" s="59">
        <f t="shared" ref="R67:R130" si="55">Q67+(I67+J67)*44/12</f>
        <v>698.90250436802842</v>
      </c>
      <c r="S67" s="59">
        <f ca="1">AVERAGE(OFFSET($R$3,0,0,'Données projet'!$E$9+1,1))-AVERAGE(OFFSET($H$3,0,0,'Données projet'!$E$9+1,1))</f>
        <v>231.91408074258248</v>
      </c>
      <c r="T67" s="59">
        <f t="shared" si="34"/>
        <v>143.57726487417773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3.3144012746733733E-3</v>
      </c>
      <c r="AC67" s="22">
        <f t="shared" si="3"/>
        <v>3.3144012746733733E-3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</v>
      </c>
      <c r="AI67" s="13">
        <f>IF('Données projet'!$A$62&gt;35,AI66+AH67-AQ66,IF(A67&lt;'Données projet'!$A$62,$AF$205^A67,IF(A67='Données projet'!$A$62,'Données projet'!$B$62,AI66+AH67-AQ66)))</f>
        <v>221.0000000000002</v>
      </c>
      <c r="AJ67" s="13">
        <f>AI67*VLOOKUP('Données projet'!$B$10,Paramètres!$A$1:$I$89,3,0)*VLOOKUP('Données projet'!$B$10,Paramètres!$A$1:$I$89,5,0)</f>
        <v>199.96080000000021</v>
      </c>
      <c r="AK67" s="13">
        <f t="shared" si="35"/>
        <v>49.735552653569307</v>
      </c>
      <c r="AL67" s="20">
        <f t="shared" si="4"/>
        <v>434.88781420496684</v>
      </c>
      <c r="AM67" s="59">
        <f t="shared" si="5"/>
        <v>728.2211475383001</v>
      </c>
      <c r="AN67" s="59">
        <f ca="1">AVERAGE(OFFSET($AM$3,0,0,'Données projet'!$E$10+1,1))-AVERAGE(OFFSET($H$3,0,0,'Données projet'!$E$10+1,1))</f>
        <v>253.16772905022714</v>
      </c>
      <c r="AO67" s="59">
        <f t="shared" si="36"/>
        <v>156.67965022779907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3.5599124802047346E-3</v>
      </c>
      <c r="AX67" s="21">
        <f t="shared" si="6"/>
        <v>3.5599124802047346E-3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-2.8421709430404007E-14</v>
      </c>
      <c r="BE67" s="13">
        <f>BD67*VLOOKUP('Données projet'!$B$11,Paramètres!$A$1:$I$89,3,0)*VLOOKUP('Données projet'!$B$11,Paramètres!$A$1:$I$89,5,0)</f>
        <v>-1.6996182239381599E-14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119.24399403036387</v>
      </c>
      <c r="BJ67" s="59">
        <f t="shared" si="38"/>
        <v>119.60076838354843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7.6274370390794655E-6</v>
      </c>
      <c r="BS67" s="22">
        <f t="shared" si="9"/>
        <v>7.6274370390794655E-6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3.8</v>
      </c>
      <c r="BY67" s="12">
        <f>IF('Données projet'!$A$114&gt;35,BY66+BX67-CG66,IF(A67&lt;'Données projet'!$A$114,$BV$205^A67,IF(A67='Données projet'!$A$114,'Données projet'!$B$114,BY66+BX67-CG66)))</f>
        <v>120.19999999999996</v>
      </c>
      <c r="BZ67" s="13">
        <f>BY67*VLOOKUP('Données projet'!$B$12,Paramètres!$A$1:$I$89,3,0)*VLOOKUP('Données projet'!$B$12,Paramètres!$A$1:$I$89,5,0)</f>
        <v>116.25743999999996</v>
      </c>
      <c r="CA67" s="13">
        <f t="shared" si="39"/>
        <v>30.800505515381992</v>
      </c>
      <c r="CB67" s="20">
        <f t="shared" si="10"/>
        <v>256.1259217726236</v>
      </c>
      <c r="CC67" s="59">
        <f t="shared" si="11"/>
        <v>549.45925510595691</v>
      </c>
      <c r="CD67" s="59">
        <f ca="1">AVERAGE(OFFSET($CC$3,0,0,'Données projet'!$E$12+1,1))-AVERAGE(OFFSET($H$3,0,0,'Données projet'!$E$12+1,1))</f>
        <v>135.95692658150551</v>
      </c>
      <c r="CE67" s="59">
        <f t="shared" si="40"/>
        <v>79.394119001888612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2.1237257363932298</v>
      </c>
      <c r="CL67" s="21">
        <f>EXP(-LN(2)/25)*CL66+(1-EXP(-LN(2)/25))/(LN(2)/25)*Calculateur!CG67*Calculateur!CI67*VLOOKUP('Données projet'!$B$12,Paramètres!$A$1:$I$89,3,0)*0.475*44/12</f>
        <v>4.5645349073160739</v>
      </c>
      <c r="CM67" s="21">
        <f>EXP(-LN(2)/2)*CM66+(1-EXP(-LN(2)/2))/(LN(2)/2)*CG67*CJ67*VLOOKUP('Données projet'!$B$12,Paramètres!$A$1:$I$89,3,0)*0.475*44/12</f>
        <v>0.37259155487289852</v>
      </c>
      <c r="CN67" s="22">
        <f t="shared" si="12"/>
        <v>7.0608521985822028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3.8</v>
      </c>
      <c r="CT67" s="12">
        <f>IF('Données projet'!$A$140&gt;35,CT66+CS67-DB66,IF(A67&lt;'Données projet'!$A$140,$CQ$205^A67,IF(A67='Données projet'!$A$140,'Données projet'!$B$140,CT66+CS67-DB66)))</f>
        <v>120.19999999999996</v>
      </c>
      <c r="CU67" s="17">
        <f>CT67*VLOOKUP('Données projet'!$B$13,Paramètres!$A$1:$I$89,3,0)*VLOOKUP('Données projet'!$B$13,Paramètres!$A$1:$I$89,5,0)</f>
        <v>129.38327999999993</v>
      </c>
      <c r="CV67" s="13">
        <f t="shared" si="41"/>
        <v>33.853814032069501</v>
      </c>
      <c r="CW67" s="20">
        <f t="shared" si="13"/>
        <v>284.30460543918753</v>
      </c>
      <c r="CX67" s="59">
        <f t="shared" si="14"/>
        <v>577.63793877252078</v>
      </c>
      <c r="CY67" s="59">
        <f ca="1">AVERAGE(OFFSET($CX$3,0,0,'Données projet'!$E$13+1,1))-AVERAGE(OFFSET($H$3,0,0,'Données projet'!$E$13+1,1))</f>
        <v>158.74837032815333</v>
      </c>
      <c r="CZ67" s="59">
        <f t="shared" si="42"/>
        <v>92.286636088270086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2.363501222760207</v>
      </c>
      <c r="DG67" s="21">
        <f>EXP(-LN(2)/25)*DG66+(1-EXP(-LN(2)/25))/(LN(2)/25)*Calculateur!DB67*Calculateur!DD67*VLOOKUP('Données projet'!$B$13,Paramètres!$A$1:$I$89,3,0)*0.475*44/12</f>
        <v>5.0798856226582085</v>
      </c>
      <c r="DH67" s="21">
        <f>EXP(-LN(2)/2)*DH66+(1-EXP(-LN(2)/2))/(LN(2)/2)*DB67*DE67*VLOOKUP('Données projet'!$B$13,Paramètres!$A$1:$I$89,3,0)*0.475*44/12</f>
        <v>0.41465834332629042</v>
      </c>
      <c r="DI67" s="22">
        <f t="shared" si="15"/>
        <v>7.8580451887447058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7</v>
      </c>
      <c r="N68" s="13">
        <f>IF('Données projet'!$A$36&gt;35,N67+M68-V67,IF(A68&lt;'Données projet'!$A$36,$K$205^A68,IF(A68='Données projet'!$A$36,'Données projet'!$B$36,N67+M68-V67)))</f>
        <v>228.0000000000002</v>
      </c>
      <c r="O68" s="13">
        <f>N68*VLOOKUP('Données projet'!$B$9,Paramètres!$A$1:$I$89,3,0)*VLOOKUP('Données projet'!$B$9,Paramètres!$A$1:$I$89,5,0)</f>
        <v>192.06720000000018</v>
      </c>
      <c r="P68" s="13">
        <f t="shared" si="33"/>
        <v>47.996693187894721</v>
      </c>
      <c r="Q68" s="20">
        <f t="shared" si="54"/>
        <v>418.11128063558363</v>
      </c>
      <c r="R68" s="59">
        <f t="shared" si="55"/>
        <v>711.44461396891688</v>
      </c>
      <c r="S68" s="59">
        <f ca="1">AVERAGE(OFFSET($R$3,0,0,'Données projet'!$E$9+1,1))-AVERAGE(OFFSET($H$3,0,0,'Données projet'!$E$9+1,1))</f>
        <v>231.91408074258248</v>
      </c>
      <c r="T68" s="59">
        <f t="shared" si="34"/>
        <v>143.57726487417773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2.3436356168948791E-3</v>
      </c>
      <c r="AC68" s="22">
        <f t="shared" ref="AC68:AC131" si="57">SUM(Z68:AB68)</f>
        <v>2.3436356168948791E-3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7</v>
      </c>
      <c r="AI68" s="13">
        <f>IF('Données projet'!$A$62&gt;35,AI67+AH68-AQ67,IF(A68&lt;'Données projet'!$A$62,$AF$205^A68,IF(A68='Données projet'!$A$62,'Données projet'!$B$62,AI67+AH68-AQ67)))</f>
        <v>228.0000000000002</v>
      </c>
      <c r="AJ68" s="13">
        <f>AI68*VLOOKUP('Données projet'!$B$10,Paramètres!$A$1:$I$89,3,0)*VLOOKUP('Données projet'!$B$10,Paramètres!$A$1:$I$89,5,0)</f>
        <v>206.29440000000017</v>
      </c>
      <c r="AK68" s="13">
        <f t="shared" si="35"/>
        <v>51.124981739560774</v>
      </c>
      <c r="AL68" s="20">
        <f t="shared" ref="AL68:AL131" si="58">(AJ68+AK68)*0.475*44/12</f>
        <v>448.33875652973529</v>
      </c>
      <c r="AM68" s="59">
        <f t="shared" ref="AM68:AM131" si="59">AL68+(AD68+AE68)*44/12</f>
        <v>741.67208986306855</v>
      </c>
      <c r="AN68" s="59">
        <f ca="1">AVERAGE(OFFSET($AM$3,0,0,'Données projet'!$E$10+1,1))-AVERAGE(OFFSET($H$3,0,0,'Données projet'!$E$10+1,1))</f>
        <v>253.16772905022714</v>
      </c>
      <c r="AO68" s="59">
        <f t="shared" si="36"/>
        <v>156.67965022779907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2.5172382551833889E-3</v>
      </c>
      <c r="AX68" s="21">
        <f t="shared" ref="AX68:AX131" si="60">SUM(AU68:AW68)</f>
        <v>2.5172382551833889E-3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-2.8421709430404007E-14</v>
      </c>
      <c r="BE68" s="13">
        <f>BD68*VLOOKUP('Données projet'!$B$11,Paramètres!$A$1:$I$89,3,0)*VLOOKUP('Données projet'!$B$11,Paramètres!$A$1:$I$89,5,0)</f>
        <v>-1.6996182239381599E-14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119.24399403036387</v>
      </c>
      <c r="BJ68" s="59">
        <f t="shared" si="38"/>
        <v>119.60076838354843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5.3934124534065318E-6</v>
      </c>
      <c r="BS68" s="22">
        <f t="shared" ref="BS68:BS131" si="63">SUM(BP68:BR68)</f>
        <v>5.3934124534065318E-6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124</v>
      </c>
      <c r="BW68" s="12">
        <f>VLOOKUP(A68,'Données projet'!$A$113:$I$133,9,0)</f>
        <v>3.8</v>
      </c>
      <c r="BX68" s="12">
        <f t="array" ref="BX68">INDEX(BW:BW,MIN(IF(ISNUMBER(BW68:BW264),ROW(BW68:BW264),"")))</f>
        <v>3.8</v>
      </c>
      <c r="BY68" s="12">
        <f>IF('Données projet'!$A$114&gt;35,BY67+BX68-CG67,IF(A68&lt;'Données projet'!$A$114,$BV$205^A68,IF(A68='Données projet'!$A$114,'Données projet'!$B$114,BY67+BX68-CG67)))</f>
        <v>123.99999999999996</v>
      </c>
      <c r="BZ68" s="13">
        <f>BY68*VLOOKUP('Données projet'!$B$12,Paramètres!$A$1:$I$89,3,0)*VLOOKUP('Données projet'!$B$12,Paramètres!$A$1:$I$89,5,0)</f>
        <v>119.93279999999996</v>
      </c>
      <c r="CA68" s="13">
        <f t="shared" si="39"/>
        <v>31.659325486741739</v>
      </c>
      <c r="CB68" s="20">
        <f t="shared" ref="CB68:CB131" si="64">(BZ68+CA68)*0.475*44/12</f>
        <v>264.02295188940849</v>
      </c>
      <c r="CC68" s="59">
        <f t="shared" ref="CC68:CC131" si="65">CB68+(BT68+BU68)*44/12</f>
        <v>557.3562852227418</v>
      </c>
      <c r="CD68" s="59">
        <f ca="1">AVERAGE(OFFSET($CC$3,0,0,'Données projet'!$E$12+1,1))-AVERAGE(OFFSET($H$3,0,0,'Données projet'!$E$12+1,1))</f>
        <v>135.95692658150551</v>
      </c>
      <c r="CE68" s="59">
        <f t="shared" si="40"/>
        <v>79.394119001888612</v>
      </c>
      <c r="CF68" s="15">
        <f>IF(ISNA(VLOOKUP(A68,'Données projet'!$A$113:$I$133,3,0)),0,VLOOKUP(A68,'Données projet'!$A$113:$I$133,3,0))</f>
        <v>8</v>
      </c>
      <c r="CG68" s="15">
        <f>IF(ISNA(VLOOKUP(A68,'Données projet'!$A$113:$I$133,4,0)),0,VLOOKUP(A68,'Données projet'!$A$113:$I$133,4,0))</f>
        <v>10</v>
      </c>
      <c r="CH68" s="16">
        <f>IF(ISNA(VLOOKUP(A68,'Données projet'!$A$113:$I$133,5,0)),0%,VLOOKUP(A68,'Données projet'!$A$113:$I$133,5,0)*VLOOKUP('Données projet'!$B$12,Paramètres!$A$1:$I$89,7,0))</f>
        <v>0.215</v>
      </c>
      <c r="CI68" s="16">
        <f>IF(ISNA(VLOOKUP(A68,'Données projet'!$A$113:$I$133,6,0)),0%,VLOOKUP(A68,'Données projet'!$A$113:$I$133,6,0)*VLOOKUP('Données projet'!$B$12,Paramètres!$A$1:$I$89,7,0))</f>
        <v>4.3000000000000003E-2</v>
      </c>
      <c r="CJ68" s="16">
        <f>IF(ISNA(VLOOKUP(A68,'Données projet'!$A$113:$I$133,7,0)),0%,VLOOKUP(A68,'Données projet'!$A$113:$I$133,7,0))</f>
        <v>0.1</v>
      </c>
      <c r="CK68" s="21">
        <f>EXP(-LN(2)/35)*CK67+(1-EXP(-LN(2)/35))/(LN(2)/35)*CG68*CH68*VLOOKUP('Données projet'!$B$12,Paramètres!$A$1:$I$89,3,0)*0.475*44/12</f>
        <v>4.3808843148785321</v>
      </c>
      <c r="CL68" s="21">
        <f>EXP(-LN(2)/25)*CL67+(1-EXP(-LN(2)/25))/(LN(2)/25)*Calculateur!CG68*Calculateur!CI68*VLOOKUP('Données projet'!$B$12,Paramètres!$A$1:$I$89,3,0)*0.475*44/12</f>
        <v>4.8976679161095289</v>
      </c>
      <c r="CM68" s="21">
        <f>EXP(-LN(2)/2)*CM67+(1-EXP(-LN(2)/2))/(LN(2)/2)*CG68*CJ68*VLOOKUP('Données projet'!$B$12,Paramètres!$A$1:$I$89,3,0)*0.475*44/12</f>
        <v>1.1760412468697976</v>
      </c>
      <c r="CN68" s="22">
        <f t="shared" ref="CN68:CN131" si="66">SUM(CK68:CM68)</f>
        <v>10.454593477857859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124</v>
      </c>
      <c r="CR68" s="12">
        <f>VLOOKUP(A68,'Données projet'!$A$139:$I$159,9,0)</f>
        <v>3.8</v>
      </c>
      <c r="CS68" s="12">
        <f t="array" ref="CS68">INDEX(CR:CR,MIN(IF(ISNUMBER(CR68:CR264),ROW(CR68:CR264),"")))</f>
        <v>3.8</v>
      </c>
      <c r="CT68" s="12">
        <f>IF('Données projet'!$A$140&gt;35,CT67+CS68-DB67,IF(A68&lt;'Données projet'!$A$140,$CQ$205^A68,IF(A68='Données projet'!$A$140,'Données projet'!$B$140,CT67+CS68-DB67)))</f>
        <v>123.99999999999996</v>
      </c>
      <c r="CU68" s="17">
        <f>CT68*VLOOKUP('Données projet'!$B$13,Paramètres!$A$1:$I$89,3,0)*VLOOKUP('Données projet'!$B$13,Paramètres!$A$1:$I$89,5,0)</f>
        <v>133.47359999999995</v>
      </c>
      <c r="CV68" s="13">
        <f t="shared" si="41"/>
        <v>34.797770344180101</v>
      </c>
      <c r="CW68" s="20">
        <f t="shared" ref="CW68:CW131" si="67">(CU68+CV68)*0.475*44/12</f>
        <v>293.07263668278023</v>
      </c>
      <c r="CX68" s="59">
        <f t="shared" ref="CX68:CX131" si="68">CW68+(CO68+CP68)*44/12</f>
        <v>586.40597001611354</v>
      </c>
      <c r="CY68" s="59">
        <f ca="1">AVERAGE(OFFSET($CX$3,0,0,'Données projet'!$E$13+1,1))-AVERAGE(OFFSET($H$3,0,0,'Données projet'!$E$13+1,1))</f>
        <v>158.74837032815333</v>
      </c>
      <c r="CZ68" s="59">
        <f t="shared" si="42"/>
        <v>92.286636088270086</v>
      </c>
      <c r="DA68" s="15">
        <f>IF(ISNA(VLOOKUP(A68,'Données projet'!$A$139:$I$159,3,0)),0,VLOOKUP(A68,'Données projet'!$A$139:$I$159,3,0))</f>
        <v>8</v>
      </c>
      <c r="DB68" s="15">
        <f>IF(ISNA(VLOOKUP(A68,'Données projet'!$A$139:$I$159,4,0)),0,VLOOKUP(A68,'Données projet'!$A$139:$I$159,4,0))</f>
        <v>10</v>
      </c>
      <c r="DC68" s="16">
        <f>IF(ISNA(VLOOKUP(A68,'Données projet'!$A$139:$I$159,5,0)),0%,VLOOKUP(A68,'Données projet'!$A$139:$I$159,5,0)*VLOOKUP('Données projet'!$B$13,Paramètres!$A$1:$I$89,7,0))</f>
        <v>0.215</v>
      </c>
      <c r="DD68" s="16">
        <f>IF(ISNA(VLOOKUP(A68,'Données projet'!$A$139:$I$159,6,0)),0%,VLOOKUP(A68,'Données projet'!$A$139:$I$159,6,0)*VLOOKUP('Données projet'!$B$13,Paramètres!$A$1:$I$89,7,0))</f>
        <v>4.3000000000000003E-2</v>
      </c>
      <c r="DE68" s="16">
        <f>IF(ISNA(VLOOKUP(A68,'Données projet'!$A$139:$I$159,7,0)),0%,VLOOKUP(A68,'Données projet'!$A$139:$I$159,7,0))</f>
        <v>0.1</v>
      </c>
      <c r="DF68" s="21">
        <f>EXP(-LN(2)/35)*DF67+(1-EXP(-LN(2)/35))/(LN(2)/35)*DB68*DC68*VLOOKUP('Données projet'!$B$13,Paramètres!$A$1:$I$89,3,0)*0.475*44/12</f>
        <v>4.8755002859132039</v>
      </c>
      <c r="DG68" s="21">
        <f>EXP(-LN(2)/25)*DG67+(1-EXP(-LN(2)/25))/(LN(2)/25)*Calculateur!DB68*Calculateur!DD68*VLOOKUP('Données projet'!$B$13,Paramètres!$A$1:$I$89,3,0)*0.475*44/12</f>
        <v>5.4506304227670537</v>
      </c>
      <c r="DH68" s="21">
        <f>EXP(-LN(2)/2)*DH67+(1-EXP(-LN(2)/2))/(LN(2)/2)*DB68*DE68*VLOOKUP('Données projet'!$B$13,Paramètres!$A$1:$I$89,3,0)*0.475*44/12</f>
        <v>1.3088200973228394</v>
      </c>
      <c r="DI68" s="22">
        <f t="shared" ref="DI68:DI131" si="69">SUM(DF68:DH68)</f>
        <v>11.634950806003097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7</v>
      </c>
      <c r="N69" s="13">
        <f>IF('Données projet'!$A$36&gt;35,N68+M69-V68,IF(A69&lt;'Données projet'!$A$36,$K$205^A69,IF(A69='Données projet'!$A$36,'Données projet'!$B$36,N68+M69-V68)))</f>
        <v>235.0000000000002</v>
      </c>
      <c r="O69" s="13">
        <f>N69*VLOOKUP('Données projet'!$B$9,Paramètres!$A$1:$I$89,3,0)*VLOOKUP('Données projet'!$B$9,Paramètres!$A$1:$I$89,5,0)</f>
        <v>197.9640000000002</v>
      </c>
      <c r="P69" s="13">
        <f t="shared" ref="P69:P132" si="87">EXP(-1.0587+0.8836*LN(O69)+0.284)</f>
        <v>49.296450435147804</v>
      </c>
      <c r="Q69" s="20">
        <f t="shared" si="54"/>
        <v>430.64528450788276</v>
      </c>
      <c r="R69" s="59">
        <f t="shared" si="55"/>
        <v>723.97861784121608</v>
      </c>
      <c r="S69" s="59">
        <f ca="1">AVERAGE(OFFSET($R$3,0,0,'Données projet'!$E$9+1,1))-AVERAGE(OFFSET($H$3,0,0,'Données projet'!$E$9+1,1))</f>
        <v>231.91408074258248</v>
      </c>
      <c r="T69" s="59">
        <f t="shared" ref="T69:T132" si="88">$T$3</f>
        <v>143.57726487417773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1.6572006373366866E-3</v>
      </c>
      <c r="AC69" s="22">
        <f t="shared" si="57"/>
        <v>1.6572006373366866E-3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7</v>
      </c>
      <c r="AI69" s="13">
        <f>IF('Données projet'!$A$62&gt;35,AI68+AH69-AQ68,IF(A69&lt;'Données projet'!$A$62,$AF$205^A69,IF(A69='Données projet'!$A$62,'Données projet'!$B$62,AI68+AH69-AQ68)))</f>
        <v>235.0000000000002</v>
      </c>
      <c r="AJ69" s="13">
        <f>AI69*VLOOKUP('Données projet'!$B$10,Paramètres!$A$1:$I$89,3,0)*VLOOKUP('Données projet'!$B$10,Paramètres!$A$1:$I$89,5,0)</f>
        <v>212.62800000000016</v>
      </c>
      <c r="AK69" s="13">
        <f t="shared" ref="AK69:AK132" si="89">EXP(-1.0587+0.8836*LN(AJ69)+0.284)</f>
        <v>52.509453483719085</v>
      </c>
      <c r="AL69" s="20">
        <f t="shared" si="58"/>
        <v>461.78106481747767</v>
      </c>
      <c r="AM69" s="59">
        <f t="shared" si="59"/>
        <v>755.11439815081098</v>
      </c>
      <c r="AN69" s="59">
        <f ca="1">AVERAGE(OFFSET($AM$3,0,0,'Données projet'!$E$10+1,1))-AVERAGE(OFFSET($H$3,0,0,'Données projet'!$E$10+1,1))</f>
        <v>253.16772905022714</v>
      </c>
      <c r="AO69" s="59">
        <f t="shared" ref="AO69:AO132" si="90">$AO$3</f>
        <v>156.67965022779907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1.7799562401023673E-3</v>
      </c>
      <c r="AX69" s="21">
        <f t="shared" si="60"/>
        <v>1.7799562401023673E-3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-2.8421709430404007E-14</v>
      </c>
      <c r="BE69" s="13">
        <f>BD69*VLOOKUP('Données projet'!$B$11,Paramètres!$A$1:$I$89,3,0)*VLOOKUP('Données projet'!$B$11,Paramètres!$A$1:$I$89,5,0)</f>
        <v>-1.6996182239381599E-14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119.24399403036387</v>
      </c>
      <c r="BJ69" s="59">
        <f t="shared" ref="BJ69:BJ132" si="92">$BJ$3</f>
        <v>119.60076838354843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3.8137185195397332E-6</v>
      </c>
      <c r="BS69" s="22">
        <f t="shared" si="63"/>
        <v>3.8137185195397332E-6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3.6</v>
      </c>
      <c r="BY69" s="12">
        <f>IF('Données projet'!$A$114&gt;35,BY68+BX69-CG68,IF(A69&lt;'Données projet'!$A$114,$BV$205^A69,IF(A69='Données projet'!$A$114,'Données projet'!$B$114,BY68+BX69-CG68)))</f>
        <v>117.59999999999995</v>
      </c>
      <c r="BZ69" s="13">
        <f>BY69*VLOOKUP('Données projet'!$B$12,Paramètres!$A$1:$I$89,3,0)*VLOOKUP('Données projet'!$B$12,Paramètres!$A$1:$I$89,5,0)</f>
        <v>113.74271999999995</v>
      </c>
      <c r="CA69" s="13">
        <f t="shared" ref="CA69:CA132" si="93">EXP(-1.0587+0.8836*LN(BZ69)+0.284)</f>
        <v>30.211074114233345</v>
      </c>
      <c r="CB69" s="20">
        <f t="shared" si="64"/>
        <v>250.71952474895633</v>
      </c>
      <c r="CC69" s="59">
        <f t="shared" si="65"/>
        <v>544.05285808228962</v>
      </c>
      <c r="CD69" s="59">
        <f ca="1">AVERAGE(OFFSET($CC$3,0,0,'Données projet'!$E$12+1,1))-AVERAGE(OFFSET($H$3,0,0,'Données projet'!$E$12+1,1))</f>
        <v>135.95692658150551</v>
      </c>
      <c r="CE69" s="59">
        <f t="shared" ref="CE69:CE132" si="94">$CE$3</f>
        <v>79.394119001888612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4.2949778455393508</v>
      </c>
      <c r="CL69" s="21">
        <f>EXP(-LN(2)/25)*CL68+(1-EXP(-LN(2)/25))/(LN(2)/25)*Calculateur!CG69*Calculateur!CI69*VLOOKUP('Données projet'!$B$12,Paramètres!$A$1:$I$89,3,0)*0.475*44/12</f>
        <v>4.7637409293863522</v>
      </c>
      <c r="CM69" s="21">
        <f>EXP(-LN(2)/2)*CM68+(1-EXP(-LN(2)/2))/(LN(2)/2)*CG69*CJ69*VLOOKUP('Données projet'!$B$12,Paramètres!$A$1:$I$89,3,0)*0.475*44/12</f>
        <v>0.83158674061671656</v>
      </c>
      <c r="CN69" s="22">
        <f t="shared" si="66"/>
        <v>9.8903055155424191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3.6</v>
      </c>
      <c r="CT69" s="12">
        <f>IF('Données projet'!$A$140&gt;35,CT68+CS69-DB68,IF(A69&lt;'Données projet'!$A$140,$CQ$205^A69,IF(A69='Données projet'!$A$140,'Données projet'!$B$140,CT68+CS69-DB68)))</f>
        <v>117.59999999999995</v>
      </c>
      <c r="CU69" s="17">
        <f>CT69*VLOOKUP('Données projet'!$B$13,Paramètres!$A$1:$I$89,3,0)*VLOOKUP('Données projet'!$B$13,Paramètres!$A$1:$I$89,5,0)</f>
        <v>126.58463999999995</v>
      </c>
      <c r="CV69" s="13">
        <f t="shared" ref="CV69:CV132" si="95">EXP(-1.0587+0.8836*LN(CU69)+0.284)</f>
        <v>33.205951254973776</v>
      </c>
      <c r="CW69" s="20">
        <f t="shared" si="67"/>
        <v>278.30194643574589</v>
      </c>
      <c r="CX69" s="59">
        <f t="shared" si="68"/>
        <v>571.63527976907926</v>
      </c>
      <c r="CY69" s="59">
        <f ca="1">AVERAGE(OFFSET($CX$3,0,0,'Données projet'!$E$13+1,1))-AVERAGE(OFFSET($H$3,0,0,'Données projet'!$E$13+1,1))</f>
        <v>158.74837032815333</v>
      </c>
      <c r="CZ69" s="59">
        <f t="shared" ref="CZ69:CZ132" si="96">$CZ$3</f>
        <v>92.286636088270086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4.7798946990679863</v>
      </c>
      <c r="DG69" s="21">
        <f>EXP(-LN(2)/25)*DG68+(1-EXP(-LN(2)/25))/(LN(2)/25)*Calculateur!DB69*Calculateur!DD69*VLOOKUP('Données projet'!$B$13,Paramètres!$A$1:$I$89,3,0)*0.475*44/12</f>
        <v>5.3015826472202923</v>
      </c>
      <c r="DH69" s="21">
        <f>EXP(-LN(2)/2)*DH68+(1-EXP(-LN(2)/2))/(LN(2)/2)*DB69*DE69*VLOOKUP('Données projet'!$B$13,Paramètres!$A$1:$I$89,3,0)*0.475*44/12</f>
        <v>0.92547556617021698</v>
      </c>
      <c r="DI69" s="22">
        <f t="shared" si="69"/>
        <v>11.006952912458495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7</v>
      </c>
      <c r="N70" s="13">
        <f>IF('Données projet'!$A$36&gt;35,N69+M70-V69,IF(A70&lt;'Données projet'!$A$36,$K$205^A70,IF(A70='Données projet'!$A$36,'Données projet'!$B$36,N69+M70-V69)))</f>
        <v>242.0000000000002</v>
      </c>
      <c r="O70" s="13">
        <f>N70*VLOOKUP('Données projet'!$B$9,Paramètres!$A$1:$I$89,3,0)*VLOOKUP('Données projet'!$B$9,Paramètres!$A$1:$I$89,5,0)</f>
        <v>203.86080000000018</v>
      </c>
      <c r="P70" s="13">
        <f t="shared" si="87"/>
        <v>50.591708220421786</v>
      </c>
      <c r="Q70" s="20">
        <f t="shared" si="54"/>
        <v>443.17145181723487</v>
      </c>
      <c r="R70" s="59">
        <f t="shared" si="55"/>
        <v>736.50478515056818</v>
      </c>
      <c r="S70" s="59">
        <f ca="1">AVERAGE(OFFSET($R$3,0,0,'Données projet'!$E$9+1,1))-AVERAGE(OFFSET($H$3,0,0,'Données projet'!$E$9+1,1))</f>
        <v>231.91408074258248</v>
      </c>
      <c r="T70" s="59">
        <f t="shared" si="88"/>
        <v>143.57726487417773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1.1718178084474395E-3</v>
      </c>
      <c r="AC70" s="22">
        <f t="shared" si="57"/>
        <v>1.1718178084474395E-3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7</v>
      </c>
      <c r="AI70" s="13">
        <f>IF('Données projet'!$A$62&gt;35,AI69+AH70-AQ69,IF(A70&lt;'Données projet'!$A$62,$AF$205^A70,IF(A70='Données projet'!$A$62,'Données projet'!$B$62,AI69+AH70-AQ69)))</f>
        <v>242.0000000000002</v>
      </c>
      <c r="AJ70" s="13">
        <f>AI70*VLOOKUP('Données projet'!$B$10,Paramètres!$A$1:$I$89,3,0)*VLOOKUP('Données projet'!$B$10,Paramètres!$A$1:$I$89,5,0)</f>
        <v>218.96160000000017</v>
      </c>
      <c r="AK70" s="13">
        <f t="shared" si="89"/>
        <v>53.889132503707479</v>
      </c>
      <c r="AL70" s="20">
        <f t="shared" si="58"/>
        <v>475.2150257772908</v>
      </c>
      <c r="AM70" s="59">
        <f t="shared" si="59"/>
        <v>768.54835911062412</v>
      </c>
      <c r="AN70" s="59">
        <f ca="1">AVERAGE(OFFSET($AM$3,0,0,'Données projet'!$E$10+1,1))-AVERAGE(OFFSET($H$3,0,0,'Données projet'!$E$10+1,1))</f>
        <v>253.16772905022714</v>
      </c>
      <c r="AO70" s="59">
        <f t="shared" si="90"/>
        <v>156.67965022779907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1.2586191275916945E-3</v>
      </c>
      <c r="AX70" s="21">
        <f t="shared" si="60"/>
        <v>1.2586191275916945E-3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-2.8421709430404007E-14</v>
      </c>
      <c r="BE70" s="13">
        <f>BD70*VLOOKUP('Données projet'!$B$11,Paramètres!$A$1:$I$89,3,0)*VLOOKUP('Données projet'!$B$11,Paramètres!$A$1:$I$89,5,0)</f>
        <v>-1.6996182239381599E-14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119.24399403036387</v>
      </c>
      <c r="BJ70" s="59">
        <f t="shared" si="92"/>
        <v>119.60076838354843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2.6967062267032663E-6</v>
      </c>
      <c r="BS70" s="22">
        <f t="shared" si="63"/>
        <v>2.6967062267032663E-6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3.6</v>
      </c>
      <c r="BY70" s="12">
        <f>IF('Données projet'!$A$114&gt;35,BY69+BX70-CG69,IF(A70&lt;'Données projet'!$A$114,$BV$205^A70,IF(A70='Données projet'!$A$114,'Données projet'!$B$114,BY69+BX70-CG69)))</f>
        <v>121.19999999999995</v>
      </c>
      <c r="BZ70" s="13">
        <f>BY70*VLOOKUP('Données projet'!$B$12,Paramètres!$A$1:$I$89,3,0)*VLOOKUP('Données projet'!$B$12,Paramètres!$A$1:$I$89,5,0)</f>
        <v>117.22463999999995</v>
      </c>
      <c r="CA70" s="13">
        <f t="shared" si="93"/>
        <v>31.026813250993953</v>
      </c>
      <c r="CB70" s="20">
        <f t="shared" si="64"/>
        <v>258.20461441214769</v>
      </c>
      <c r="CC70" s="59">
        <f t="shared" si="65"/>
        <v>551.53794774548101</v>
      </c>
      <c r="CD70" s="59">
        <f ca="1">AVERAGE(OFFSET($CC$3,0,0,'Données projet'!$E$12+1,1))-AVERAGE(OFFSET($H$3,0,0,'Données projet'!$E$12+1,1))</f>
        <v>135.95692658150551</v>
      </c>
      <c r="CE70" s="59">
        <f t="shared" si="94"/>
        <v>79.394119001888612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4.2107559496661384</v>
      </c>
      <c r="CL70" s="21">
        <f>EXP(-LN(2)/25)*CL69+(1-EXP(-LN(2)/25))/(LN(2)/25)*Calculateur!CG70*Calculateur!CI70*VLOOKUP('Données projet'!$B$12,Paramètres!$A$1:$I$89,3,0)*0.475*44/12</f>
        <v>4.6334761831580344</v>
      </c>
      <c r="CM70" s="21">
        <f>EXP(-LN(2)/2)*CM69+(1-EXP(-LN(2)/2))/(LN(2)/2)*CG70*CJ70*VLOOKUP('Données projet'!$B$12,Paramètres!$A$1:$I$89,3,0)*0.475*44/12</f>
        <v>0.58802062343489891</v>
      </c>
      <c r="CN70" s="22">
        <f t="shared" si="66"/>
        <v>9.4322527562590714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3.6</v>
      </c>
      <c r="CT70" s="12">
        <f>IF('Données projet'!$A$140&gt;35,CT69+CS70-DB69,IF(A70&lt;'Données projet'!$A$140,$CQ$205^A70,IF(A70='Données projet'!$A$140,'Données projet'!$B$140,CT69+CS70-DB69)))</f>
        <v>121.19999999999995</v>
      </c>
      <c r="CU70" s="17">
        <f>CT70*VLOOKUP('Données projet'!$B$13,Paramètres!$A$1:$I$89,3,0)*VLOOKUP('Données projet'!$B$13,Paramètres!$A$1:$I$89,5,0)</f>
        <v>130.45967999999993</v>
      </c>
      <c r="CV70" s="13">
        <f t="shared" si="95"/>
        <v>34.102556053254865</v>
      </c>
      <c r="CW70" s="20">
        <f t="shared" si="67"/>
        <v>286.61256112608544</v>
      </c>
      <c r="CX70" s="59">
        <f t="shared" si="68"/>
        <v>579.9458944594187</v>
      </c>
      <c r="CY70" s="59">
        <f ca="1">AVERAGE(OFFSET($CX$3,0,0,'Données projet'!$E$13+1,1))-AVERAGE(OFFSET($H$3,0,0,'Données projet'!$E$13+1,1))</f>
        <v>158.74837032815333</v>
      </c>
      <c r="CZ70" s="59">
        <f t="shared" si="96"/>
        <v>92.286636088270086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4.686163879467153</v>
      </c>
      <c r="DG70" s="21">
        <f>EXP(-LN(2)/25)*DG69+(1-EXP(-LN(2)/25))/(LN(2)/25)*Calculateur!DB70*Calculateur!DD70*VLOOKUP('Données projet'!$B$13,Paramètres!$A$1:$I$89,3,0)*0.475*44/12</f>
        <v>5.1566105909339388</v>
      </c>
      <c r="DH70" s="21">
        <f>EXP(-LN(2)/2)*DH69+(1-EXP(-LN(2)/2))/(LN(2)/2)*DB70*DE70*VLOOKUP('Données projet'!$B$13,Paramètres!$A$1:$I$89,3,0)*0.475*44/12</f>
        <v>0.65441004866141983</v>
      </c>
      <c r="DI70" s="22">
        <f t="shared" si="69"/>
        <v>10.497184519062513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7</v>
      </c>
      <c r="N71" s="13">
        <f>IF('Données projet'!$A$36&gt;35,N70+M71-V70,IF(A71&lt;'Données projet'!$A$36,$K$205^A71,IF(A71='Données projet'!$A$36,'Données projet'!$B$36,N70+M71-V70)))</f>
        <v>249.0000000000002</v>
      </c>
      <c r="O71" s="13">
        <f>N71*VLOOKUP('Données projet'!$B$9,Paramètres!$A$1:$I$89,3,0)*VLOOKUP('Données projet'!$B$9,Paramètres!$A$1:$I$89,5,0)</f>
        <v>209.7576000000002</v>
      </c>
      <c r="P71" s="13">
        <f t="shared" si="87"/>
        <v>51.8826116395485</v>
      </c>
      <c r="Q71" s="20">
        <f t="shared" si="54"/>
        <v>455.69003527221395</v>
      </c>
      <c r="R71" s="59">
        <f t="shared" si="55"/>
        <v>749.02336860554726</v>
      </c>
      <c r="S71" s="59">
        <f ca="1">AVERAGE(OFFSET($R$3,0,0,'Données projet'!$E$9+1,1))-AVERAGE(OFFSET($H$3,0,0,'Données projet'!$E$9+1,1))</f>
        <v>231.91408074258248</v>
      </c>
      <c r="T71" s="59">
        <f t="shared" si="88"/>
        <v>143.57726487417773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8.2860031866834332E-4</v>
      </c>
      <c r="AC71" s="22">
        <f t="shared" si="57"/>
        <v>8.2860031866834332E-4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7</v>
      </c>
      <c r="AI71" s="13">
        <f>IF('Données projet'!$A$62&gt;35,AI70+AH71-AQ70,IF(A71&lt;'Données projet'!$A$62,$AF$205^A71,IF(A71='Données projet'!$A$62,'Données projet'!$B$62,AI70+AH71-AQ70)))</f>
        <v>249.0000000000002</v>
      </c>
      <c r="AJ71" s="13">
        <f>AI71*VLOOKUP('Données projet'!$B$10,Paramètres!$A$1:$I$89,3,0)*VLOOKUP('Données projet'!$B$10,Paramètres!$A$1:$I$89,5,0)</f>
        <v>225.29520000000016</v>
      </c>
      <c r="AK71" s="13">
        <f t="shared" si="89"/>
        <v>55.264173352293128</v>
      </c>
      <c r="AL71" s="20">
        <f t="shared" si="58"/>
        <v>488.64090858857736</v>
      </c>
      <c r="AM71" s="59">
        <f t="shared" si="59"/>
        <v>781.97424192191068</v>
      </c>
      <c r="AN71" s="59">
        <f ca="1">AVERAGE(OFFSET($AM$3,0,0,'Données projet'!$E$10+1,1))-AVERAGE(OFFSET($H$3,0,0,'Données projet'!$E$10+1,1))</f>
        <v>253.16772905022714</v>
      </c>
      <c r="AO71" s="59">
        <f t="shared" si="90"/>
        <v>156.67965022779907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8.8997812005118366E-4</v>
      </c>
      <c r="AX71" s="21">
        <f t="shared" si="60"/>
        <v>8.8997812005118366E-4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-2.8421709430404007E-14</v>
      </c>
      <c r="BE71" s="13">
        <f>BD71*VLOOKUP('Données projet'!$B$11,Paramètres!$A$1:$I$89,3,0)*VLOOKUP('Données projet'!$B$11,Paramètres!$A$1:$I$89,5,0)</f>
        <v>-1.6996182239381599E-14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119.24399403036387</v>
      </c>
      <c r="BJ71" s="59">
        <f t="shared" si="92"/>
        <v>119.60076838354843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1.906859259769867E-6</v>
      </c>
      <c r="BS71" s="22">
        <f t="shared" si="63"/>
        <v>1.906859259769867E-6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3.6</v>
      </c>
      <c r="BY71" s="12">
        <f>IF('Données projet'!$A$114&gt;35,BY70+BX71-CG70,IF(A71&lt;'Données projet'!$A$114,$BV$205^A71,IF(A71='Données projet'!$A$114,'Données projet'!$B$114,BY70+BX71-CG70)))</f>
        <v>124.79999999999994</v>
      </c>
      <c r="BZ71" s="13">
        <f>BY71*VLOOKUP('Données projet'!$B$12,Paramètres!$A$1:$I$89,3,0)*VLOOKUP('Données projet'!$B$12,Paramètres!$A$1:$I$89,5,0)</f>
        <v>120.70655999999994</v>
      </c>
      <c r="CA71" s="13">
        <f t="shared" si="93"/>
        <v>31.839736462736809</v>
      </c>
      <c r="CB71" s="20">
        <f t="shared" si="64"/>
        <v>265.68479967259981</v>
      </c>
      <c r="CC71" s="59">
        <f t="shared" si="65"/>
        <v>559.01813300593312</v>
      </c>
      <c r="CD71" s="59">
        <f ca="1">AVERAGE(OFFSET($CC$3,0,0,'Données projet'!$E$12+1,1))-AVERAGE(OFFSET($H$3,0,0,'Données projet'!$E$12+1,1))</f>
        <v>135.95692658150551</v>
      </c>
      <c r="CE71" s="59">
        <f t="shared" si="94"/>
        <v>79.394119001888612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4.1281855938007155</v>
      </c>
      <c r="CL71" s="21">
        <f>EXP(-LN(2)/25)*CL70+(1-EXP(-LN(2)/25))/(LN(2)/25)*Calculateur!CG71*Calculateur!CI71*VLOOKUP('Données projet'!$B$12,Paramètres!$A$1:$I$89,3,0)*0.475*44/12</f>
        <v>4.5067735332656556</v>
      </c>
      <c r="CM71" s="21">
        <f>EXP(-LN(2)/2)*CM70+(1-EXP(-LN(2)/2))/(LN(2)/2)*CG71*CJ71*VLOOKUP('Données projet'!$B$12,Paramètres!$A$1:$I$89,3,0)*0.475*44/12</f>
        <v>0.41579337030835833</v>
      </c>
      <c r="CN71" s="22">
        <f t="shared" si="66"/>
        <v>9.0507524973747291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3.6</v>
      </c>
      <c r="CT71" s="12">
        <f>IF('Données projet'!$A$140&gt;35,CT70+CS71-DB70,IF(A71&lt;'Données projet'!$A$140,$CQ$205^A71,IF(A71='Données projet'!$A$140,'Données projet'!$B$140,CT70+CS71-DB70)))</f>
        <v>124.79999999999994</v>
      </c>
      <c r="CU71" s="17">
        <f>CT71*VLOOKUP('Données projet'!$B$13,Paramètres!$A$1:$I$89,3,0)*VLOOKUP('Données projet'!$B$13,Paramètres!$A$1:$I$89,5,0)</f>
        <v>134.33471999999992</v>
      </c>
      <c r="CV71" s="13">
        <f t="shared" si="95"/>
        <v>34.996065778897268</v>
      </c>
      <c r="CW71" s="20">
        <f t="shared" si="67"/>
        <v>294.91778523157927</v>
      </c>
      <c r="CX71" s="59">
        <f t="shared" si="68"/>
        <v>588.25111856491253</v>
      </c>
      <c r="CY71" s="59">
        <f ca="1">AVERAGE(OFFSET($CX$3,0,0,'Données projet'!$E$13+1,1))-AVERAGE(OFFSET($H$3,0,0,'Données projet'!$E$13+1,1))</f>
        <v>158.74837032815333</v>
      </c>
      <c r="CZ71" s="59">
        <f t="shared" si="96"/>
        <v>92.286636088270086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4.5942710640685371</v>
      </c>
      <c r="DG71" s="21">
        <f>EXP(-LN(2)/25)*DG70+(1-EXP(-LN(2)/25))/(LN(2)/25)*Calculateur!DB71*Calculateur!DD71*VLOOKUP('Données projet'!$B$13,Paramètres!$A$1:$I$89,3,0)*0.475*44/12</f>
        <v>5.0156028031504851</v>
      </c>
      <c r="DH71" s="21">
        <f>EXP(-LN(2)/2)*DH70+(1-EXP(-LN(2)/2))/(LN(2)/2)*DB71*DE71*VLOOKUP('Données projet'!$B$13,Paramètres!$A$1:$I$89,3,0)*0.475*44/12</f>
        <v>0.46273778308510854</v>
      </c>
      <c r="DI71" s="22">
        <f t="shared" si="69"/>
        <v>10.072611650304131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7</v>
      </c>
      <c r="N72" s="13">
        <f>IF('Données projet'!$A$36&gt;35,N71+M72-V71,IF(A72&lt;'Données projet'!$A$36,$K$205^A72,IF(A72='Données projet'!$A$36,'Données projet'!$B$36,N71+M72-V71)))</f>
        <v>256.00000000000023</v>
      </c>
      <c r="O72" s="13">
        <f>N72*VLOOKUP('Données projet'!$B$9,Paramètres!$A$1:$I$89,3,0)*VLOOKUP('Données projet'!$B$9,Paramètres!$A$1:$I$89,5,0)</f>
        <v>215.65440000000021</v>
      </c>
      <c r="P72" s="13">
        <f t="shared" si="87"/>
        <v>53.169297166239964</v>
      </c>
      <c r="Q72" s="20">
        <f t="shared" si="54"/>
        <v>468.20127256453492</v>
      </c>
      <c r="R72" s="59">
        <f t="shared" si="55"/>
        <v>761.53460589786823</v>
      </c>
      <c r="S72" s="59">
        <f ca="1">AVERAGE(OFFSET($R$3,0,0,'Données projet'!$E$9+1,1))-AVERAGE(OFFSET($H$3,0,0,'Données projet'!$E$9+1,1))</f>
        <v>231.91408074258248</v>
      </c>
      <c r="T72" s="59">
        <f t="shared" si="88"/>
        <v>143.57726487417773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5.8590890422371977E-4</v>
      </c>
      <c r="AC72" s="22">
        <f t="shared" si="57"/>
        <v>5.8590890422371977E-4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7</v>
      </c>
      <c r="AI72" s="13">
        <f>IF('Données projet'!$A$62&gt;35,AI71+AH72-AQ71,IF(A72&lt;'Données projet'!$A$62,$AF$205^A72,IF(A72='Données projet'!$A$62,'Données projet'!$B$62,AI71+AH72-AQ71)))</f>
        <v>256.00000000000023</v>
      </c>
      <c r="AJ72" s="13">
        <f>AI72*VLOOKUP('Données projet'!$B$10,Paramètres!$A$1:$I$89,3,0)*VLOOKUP('Données projet'!$B$10,Paramètres!$A$1:$I$89,5,0)</f>
        <v>231.62880000000021</v>
      </c>
      <c r="AK72" s="13">
        <f t="shared" si="89"/>
        <v>56.63472139815827</v>
      </c>
      <c r="AL72" s="20">
        <f t="shared" si="58"/>
        <v>502.05896643512602</v>
      </c>
      <c r="AM72" s="59">
        <f t="shared" si="59"/>
        <v>795.39229976845934</v>
      </c>
      <c r="AN72" s="59">
        <f ca="1">AVERAGE(OFFSET($AM$3,0,0,'Données projet'!$E$10+1,1))-AVERAGE(OFFSET($H$3,0,0,'Données projet'!$E$10+1,1))</f>
        <v>253.16772905022714</v>
      </c>
      <c r="AO72" s="59">
        <f t="shared" si="90"/>
        <v>156.67965022779907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6.2930956379584724E-4</v>
      </c>
      <c r="AX72" s="21">
        <f t="shared" si="60"/>
        <v>6.2930956379584724E-4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-2.8421709430404007E-14</v>
      </c>
      <c r="BE72" s="13">
        <f>BD72*VLOOKUP('Données projet'!$B$11,Paramètres!$A$1:$I$89,3,0)*VLOOKUP('Données projet'!$B$11,Paramètres!$A$1:$I$89,5,0)</f>
        <v>-1.6996182239381599E-14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119.24399403036387</v>
      </c>
      <c r="BJ72" s="59">
        <f t="shared" si="92"/>
        <v>119.60076838354843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1.3483531133516334E-6</v>
      </c>
      <c r="BS72" s="22">
        <f t="shared" si="63"/>
        <v>1.3483531133516334E-6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3.6</v>
      </c>
      <c r="BY72" s="12">
        <f>IF('Données projet'!$A$114&gt;35,BY71+BX72-CG71,IF(A72&lt;'Données projet'!$A$114,$BV$205^A72,IF(A72='Données projet'!$A$114,'Données projet'!$B$114,BY71+BX72-CG71)))</f>
        <v>128.39999999999995</v>
      </c>
      <c r="BZ72" s="13">
        <f>BY72*VLOOKUP('Données projet'!$B$12,Paramètres!$A$1:$I$89,3,0)*VLOOKUP('Données projet'!$B$12,Paramètres!$A$1:$I$89,5,0)</f>
        <v>124.18847999999994</v>
      </c>
      <c r="CA72" s="13">
        <f t="shared" si="93"/>
        <v>32.64993430645783</v>
      </c>
      <c r="CB72" s="20">
        <f t="shared" si="64"/>
        <v>273.16023825041395</v>
      </c>
      <c r="CC72" s="59">
        <f t="shared" si="65"/>
        <v>566.49357158374733</v>
      </c>
      <c r="CD72" s="59">
        <f ca="1">AVERAGE(OFFSET($CC$3,0,0,'Données projet'!$E$12+1,1))-AVERAGE(OFFSET($H$3,0,0,'Données projet'!$E$12+1,1))</f>
        <v>135.95692658150551</v>
      </c>
      <c r="CE72" s="59">
        <f t="shared" si="94"/>
        <v>79.394119001888612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4.0472343922508696</v>
      </c>
      <c r="CL72" s="21">
        <f>EXP(-LN(2)/25)*CL71+(1-EXP(-LN(2)/25))/(LN(2)/25)*Calculateur!CG72*Calculateur!CI72*VLOOKUP('Données projet'!$B$12,Paramètres!$A$1:$I$89,3,0)*0.475*44/12</f>
        <v>4.3835355739975865</v>
      </c>
      <c r="CM72" s="21">
        <f>EXP(-LN(2)/2)*CM71+(1-EXP(-LN(2)/2))/(LN(2)/2)*CG72*CJ72*VLOOKUP('Données projet'!$B$12,Paramètres!$A$1:$I$89,3,0)*0.475*44/12</f>
        <v>0.29401031171744946</v>
      </c>
      <c r="CN72" s="22">
        <f t="shared" si="66"/>
        <v>8.7247802779659054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3.6</v>
      </c>
      <c r="CT72" s="12">
        <f>IF('Données projet'!$A$140&gt;35,CT71+CS72-DB71,IF(A72&lt;'Données projet'!$A$140,$CQ$205^A72,IF(A72='Données projet'!$A$140,'Données projet'!$B$140,CT71+CS72-DB71)))</f>
        <v>128.39999999999995</v>
      </c>
      <c r="CU72" s="17">
        <f>CT72*VLOOKUP('Données projet'!$B$13,Paramètres!$A$1:$I$89,3,0)*VLOOKUP('Données projet'!$B$13,Paramètres!$A$1:$I$89,5,0)</f>
        <v>138.20975999999993</v>
      </c>
      <c r="CV72" s="13">
        <f t="shared" si="95"/>
        <v>35.886579965971777</v>
      </c>
      <c r="CW72" s="20">
        <f t="shared" si="67"/>
        <v>303.21779210740073</v>
      </c>
      <c r="CX72" s="59">
        <f t="shared" si="68"/>
        <v>596.55112544073404</v>
      </c>
      <c r="CY72" s="59">
        <f ca="1">AVERAGE(OFFSET($CX$3,0,0,'Données projet'!$E$13+1,1))-AVERAGE(OFFSET($H$3,0,0,'Données projet'!$E$13+1,1))</f>
        <v>158.74837032815333</v>
      </c>
      <c r="CZ72" s="59">
        <f t="shared" si="96"/>
        <v>92.286636088270086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4.5041802107308051</v>
      </c>
      <c r="DG72" s="21">
        <f>EXP(-LN(2)/25)*DG71+(1-EXP(-LN(2)/25))/(LN(2)/25)*Calculateur!DB72*Calculateur!DD72*VLOOKUP('Données projet'!$B$13,Paramètres!$A$1:$I$89,3,0)*0.475*44/12</f>
        <v>4.8784508807392468</v>
      </c>
      <c r="DH72" s="21">
        <f>EXP(-LN(2)/2)*DH71+(1-EXP(-LN(2)/2))/(LN(2)/2)*DB72*DE72*VLOOKUP('Données projet'!$B$13,Paramètres!$A$1:$I$89,3,0)*0.475*44/12</f>
        <v>0.32720502433070997</v>
      </c>
      <c r="DI72" s="22">
        <f t="shared" si="69"/>
        <v>9.709836115800762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263</v>
      </c>
      <c r="L73" s="12">
        <f>VLOOKUP(A73,'Données projet'!$A$35:$I$55,9,0)</f>
        <v>7</v>
      </c>
      <c r="M73" s="12">
        <f t="array" ref="M73">INDEX(L:L,MIN(IF(ISNUMBER(L73:L269),ROW(L73:L269),"")))</f>
        <v>7</v>
      </c>
      <c r="N73" s="13">
        <f>IF('Données projet'!$A$36&gt;35,N72+M73-V72,IF(A73&lt;'Données projet'!$A$36,$K$205^A73,IF(A73='Données projet'!$A$36,'Données projet'!$B$36,N72+M73-V72)))</f>
        <v>263.00000000000023</v>
      </c>
      <c r="O73" s="13">
        <f>N73*VLOOKUP('Données projet'!$B$9,Paramètres!$A$1:$I$89,3,0)*VLOOKUP('Données projet'!$B$9,Paramètres!$A$1:$I$89,5,0)</f>
        <v>221.55120000000019</v>
      </c>
      <c r="P73" s="13">
        <f t="shared" si="87"/>
        <v>54.451893386016586</v>
      </c>
      <c r="Q73" s="20">
        <f t="shared" si="54"/>
        <v>480.70538764731242</v>
      </c>
      <c r="R73" s="59">
        <f t="shared" si="55"/>
        <v>774.03872098064573</v>
      </c>
      <c r="S73" s="59">
        <f ca="1">AVERAGE(OFFSET($R$3,0,0,'Données projet'!$E$9+1,1))-AVERAGE(OFFSET($H$3,0,0,'Données projet'!$E$9+1,1))</f>
        <v>231.91408074258248</v>
      </c>
      <c r="T73" s="59">
        <f t="shared" si="88"/>
        <v>143.57726487417773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42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4.1430015933417166E-4</v>
      </c>
      <c r="AC73" s="22">
        <f t="shared" si="57"/>
        <v>4.1430015933417166E-4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263</v>
      </c>
      <c r="AG73" s="12">
        <f>VLOOKUP(A73,'Données projet'!$A$61:$I$81,9,0)</f>
        <v>7</v>
      </c>
      <c r="AH73" s="12">
        <f t="array" ref="AH73">INDEX(AG:AG,MIN(IF(ISNUMBER(AG73:AG269),ROW(AG73:AG269),"")))</f>
        <v>7</v>
      </c>
      <c r="AI73" s="13">
        <f>IF('Données projet'!$A$62&gt;35,AI72+AH73-AQ72,IF(A73&lt;'Données projet'!$A$62,$AF$205^A73,IF(A73='Données projet'!$A$62,'Données projet'!$B$62,AI72+AH73-AQ72)))</f>
        <v>263.00000000000023</v>
      </c>
      <c r="AJ73" s="13">
        <f>AI73*VLOOKUP('Données projet'!$B$10,Paramètres!$A$1:$I$89,3,0)*VLOOKUP('Données projet'!$B$10,Paramètres!$A$1:$I$89,5,0)</f>
        <v>237.96240000000023</v>
      </c>
      <c r="AK73" s="13">
        <f t="shared" si="89"/>
        <v>58.000913607663399</v>
      </c>
      <c r="AL73" s="20">
        <f t="shared" si="58"/>
        <v>515.46943786668078</v>
      </c>
      <c r="AM73" s="59">
        <f t="shared" si="59"/>
        <v>808.80277120001415</v>
      </c>
      <c r="AN73" s="59">
        <f ca="1">AVERAGE(OFFSET($AM$3,0,0,'Données projet'!$E$10+1,1))-AVERAGE(OFFSET($H$3,0,0,'Données projet'!$E$10+1,1))</f>
        <v>253.16772905022714</v>
      </c>
      <c r="AO73" s="59">
        <f t="shared" si="90"/>
        <v>156.67965022779907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42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4.4498906002559183E-4</v>
      </c>
      <c r="AX73" s="21">
        <f t="shared" si="60"/>
        <v>4.4498906002559183E-4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-2.8421709430404007E-14</v>
      </c>
      <c r="BE73" s="13">
        <f>BD73*VLOOKUP('Données projet'!$B$11,Paramètres!$A$1:$I$89,3,0)*VLOOKUP('Données projet'!$B$11,Paramètres!$A$1:$I$89,5,0)</f>
        <v>-1.6996182239381599E-14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119.24399403036387</v>
      </c>
      <c r="BJ73" s="59">
        <f t="shared" si="92"/>
        <v>119.60076838354843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9.5342962988493361E-7</v>
      </c>
      <c r="BS73" s="22">
        <f t="shared" si="63"/>
        <v>9.5342962988493361E-7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132</v>
      </c>
      <c r="BW73" s="12">
        <f>VLOOKUP(A73,'Données projet'!$A$113:$I$133,9,0)</f>
        <v>3.6</v>
      </c>
      <c r="BX73" s="12">
        <f t="array" ref="BX73">INDEX(BW:BW,MIN(IF(ISNUMBER(BW73:BW269),ROW(BW73:BW269),"")))</f>
        <v>3.6</v>
      </c>
      <c r="BY73" s="12">
        <f>IF('Données projet'!$A$114&gt;35,BY72+BX73-CG72,IF(A73&lt;'Données projet'!$A$114,$BV$205^A73,IF(A73='Données projet'!$A$114,'Données projet'!$B$114,BY72+BX73-CG72)))</f>
        <v>131.99999999999994</v>
      </c>
      <c r="BZ73" s="13">
        <f>BY73*VLOOKUP('Données projet'!$B$12,Paramètres!$A$1:$I$89,3,0)*VLOOKUP('Données projet'!$B$12,Paramètres!$A$1:$I$89,5,0)</f>
        <v>127.67039999999994</v>
      </c>
      <c r="CA73" s="13">
        <f t="shared" si="93"/>
        <v>33.457491972285482</v>
      </c>
      <c r="CB73" s="20">
        <f t="shared" si="64"/>
        <v>280.63107851839709</v>
      </c>
      <c r="CC73" s="59">
        <f t="shared" si="65"/>
        <v>573.96441185173035</v>
      </c>
      <c r="CD73" s="59">
        <f ca="1">AVERAGE(OFFSET($CC$3,0,0,'Données projet'!$E$12+1,1))-AVERAGE(OFFSET($H$3,0,0,'Données projet'!$E$12+1,1))</f>
        <v>135.95692658150551</v>
      </c>
      <c r="CE73" s="59">
        <f t="shared" si="94"/>
        <v>79.394119001888612</v>
      </c>
      <c r="CF73" s="15">
        <f>IF(ISNA(VLOOKUP(A73,'Données projet'!$A$113:$I$133,3,0)),0,VLOOKUP(A73,'Données projet'!$A$113:$I$133,3,0))</f>
        <v>9</v>
      </c>
      <c r="CG73" s="15">
        <f>IF(ISNA(VLOOKUP(A73,'Données projet'!$A$113:$I$133,4,0)),0,VLOOKUP(A73,'Données projet'!$A$113:$I$133,4,0))</f>
        <v>10</v>
      </c>
      <c r="CH73" s="16">
        <f>IF(ISNA(VLOOKUP(A73,'Données projet'!$A$113:$I$133,5,0)),0%,VLOOKUP(A73,'Données projet'!$A$113:$I$133,5,0)*VLOOKUP('Données projet'!$B$12,Paramètres!$A$1:$I$89,7,0))</f>
        <v>0.215</v>
      </c>
      <c r="CI73" s="16">
        <f>IF(ISNA(VLOOKUP(A73,'Données projet'!$A$113:$I$133,6,0)),0%,VLOOKUP(A73,'Données projet'!$A$113:$I$133,6,0)*VLOOKUP('Données projet'!$B$12,Paramètres!$A$1:$I$89,7,0))</f>
        <v>4.3000000000000003E-2</v>
      </c>
      <c r="CJ73" s="16">
        <f>IF(ISNA(VLOOKUP(A73,'Données projet'!$A$113:$I$133,7,0)),0%,VLOOKUP(A73,'Données projet'!$A$113:$I$133,7,0))</f>
        <v>0.1</v>
      </c>
      <c r="CK73" s="21">
        <f>EXP(-LN(2)/35)*CK72+(1-EXP(-LN(2)/35))/(LN(2)/35)*CG73*CH73*VLOOKUP('Données projet'!$B$12,Paramètres!$A$1:$I$89,3,0)*0.475*44/12</f>
        <v>6.2666741392192371</v>
      </c>
      <c r="CL73" s="21">
        <f>EXP(-LN(2)/25)*CL72+(1-EXP(-LN(2)/25))/(LN(2)/25)*Calculateur!CG73*Calculateur!CI73*VLOOKUP('Données projet'!$B$12,Paramètres!$A$1:$I$89,3,0)*0.475*44/12</f>
        <v>4.7216180190789769</v>
      </c>
      <c r="CM73" s="21">
        <f>EXP(-LN(2)/2)*CM72+(1-EXP(-LN(2)/2))/(LN(2)/2)*CG73*CJ73*VLOOKUP('Données projet'!$B$12,Paramètres!$A$1:$I$89,3,0)*0.475*44/12</f>
        <v>1.1204759169605107</v>
      </c>
      <c r="CN73" s="22">
        <f t="shared" si="66"/>
        <v>12.108768075258725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132</v>
      </c>
      <c r="CR73" s="12">
        <f>VLOOKUP(A73,'Données projet'!$A$139:$I$159,9,0)</f>
        <v>3.6</v>
      </c>
      <c r="CS73" s="12">
        <f t="array" ref="CS73">INDEX(CR:CR,MIN(IF(ISNUMBER(CR73:CR269),ROW(CR73:CR269),"")))</f>
        <v>3.6</v>
      </c>
      <c r="CT73" s="12">
        <f>IF('Données projet'!$A$140&gt;35,CT72+CS73-DB72,IF(A73&lt;'Données projet'!$A$140,$CQ$205^A73,IF(A73='Données projet'!$A$140,'Données projet'!$B$140,CT72+CS73-DB72)))</f>
        <v>131.99999999999994</v>
      </c>
      <c r="CU73" s="17">
        <f>CT73*VLOOKUP('Données projet'!$B$13,Paramètres!$A$1:$I$89,3,0)*VLOOKUP('Données projet'!$B$13,Paramètres!$A$1:$I$89,5,0)</f>
        <v>142.08479999999994</v>
      </c>
      <c r="CV73" s="13">
        <f t="shared" si="95"/>
        <v>36.77419224965486</v>
      </c>
      <c r="CW73" s="20">
        <f t="shared" si="67"/>
        <v>311.51274483481546</v>
      </c>
      <c r="CX73" s="59">
        <f t="shared" si="68"/>
        <v>604.84607816814878</v>
      </c>
      <c r="CY73" s="59">
        <f ca="1">AVERAGE(OFFSET($CX$3,0,0,'Données projet'!$E$13+1,1))-AVERAGE(OFFSET($H$3,0,0,'Données projet'!$E$13+1,1))</f>
        <v>158.74837032815333</v>
      </c>
      <c r="CZ73" s="59">
        <f t="shared" si="96"/>
        <v>92.286636088270086</v>
      </c>
      <c r="DA73" s="15">
        <f>IF(ISNA(VLOOKUP(A73,'Données projet'!$A$139:$I$159,3,0)),0,VLOOKUP(A73,'Données projet'!$A$139:$I$159,3,0))</f>
        <v>9</v>
      </c>
      <c r="DB73" s="15">
        <f>IF(ISNA(VLOOKUP(A73,'Données projet'!$A$139:$I$159,4,0)),0,VLOOKUP(A73,'Données projet'!$A$139:$I$159,4,0))</f>
        <v>10</v>
      </c>
      <c r="DC73" s="16">
        <f>IF(ISNA(VLOOKUP(A73,'Données projet'!$A$139:$I$159,5,0)),0%,VLOOKUP(A73,'Données projet'!$A$139:$I$159,5,0)*VLOOKUP('Données projet'!$B$13,Paramètres!$A$1:$I$89,7,0))</f>
        <v>0.215</v>
      </c>
      <c r="DD73" s="16">
        <f>IF(ISNA(VLOOKUP(A73,'Données projet'!$A$139:$I$159,6,0)),0%,VLOOKUP(A73,'Données projet'!$A$139:$I$159,6,0)*VLOOKUP('Données projet'!$B$13,Paramètres!$A$1:$I$89,7,0))</f>
        <v>4.3000000000000003E-2</v>
      </c>
      <c r="DE73" s="16">
        <f>IF(ISNA(VLOOKUP(A73,'Données projet'!$A$139:$I$159,7,0)),0%,VLOOKUP(A73,'Données projet'!$A$139:$I$159,7,0))</f>
        <v>0.1</v>
      </c>
      <c r="DF73" s="21">
        <f>EXP(-LN(2)/35)*DF72+(1-EXP(-LN(2)/35))/(LN(2)/35)*DB73*DC73*VLOOKUP('Données projet'!$B$13,Paramètres!$A$1:$I$89,3,0)*0.475*44/12</f>
        <v>6.9742018646149555</v>
      </c>
      <c r="DG73" s="21">
        <f>EXP(-LN(2)/25)*DG72+(1-EXP(-LN(2)/25))/(LN(2)/25)*Calculateur!DB73*Calculateur!DD73*VLOOKUP('Données projet'!$B$13,Paramètres!$A$1:$I$89,3,0)*0.475*44/12</f>
        <v>5.2547039244588589</v>
      </c>
      <c r="DH73" s="21">
        <f>EXP(-LN(2)/2)*DH72+(1-EXP(-LN(2)/2))/(LN(2)/2)*DB73*DE73*VLOOKUP('Données projet'!$B$13,Paramètres!$A$1:$I$89,3,0)*0.475*44/12</f>
        <v>1.2469812624237941</v>
      </c>
      <c r="DI73" s="22">
        <f t="shared" si="69"/>
        <v>13.475887051497608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6.1</v>
      </c>
      <c r="N74" s="13">
        <f>IF('Données projet'!$A$36&gt;35,N73+M74-V73,IF(A74&lt;'Données projet'!$A$36,$K$205^A74,IF(A74='Données projet'!$A$36,'Données projet'!$B$36,N73+M74-V73)))</f>
        <v>227.10000000000025</v>
      </c>
      <c r="O74" s="13">
        <f>N74*VLOOKUP('Données projet'!$B$9,Paramètres!$A$1:$I$89,3,0)*VLOOKUP('Données projet'!$B$9,Paramètres!$A$1:$I$89,5,0)</f>
        <v>191.30904000000024</v>
      </c>
      <c r="P74" s="13">
        <f t="shared" si="87"/>
        <v>47.829247258074801</v>
      </c>
      <c r="Q74" s="20">
        <f t="shared" si="54"/>
        <v>416.49918364114728</v>
      </c>
      <c r="R74" s="59">
        <f t="shared" si="55"/>
        <v>709.83251697448054</v>
      </c>
      <c r="S74" s="59">
        <f ca="1">AVERAGE(OFFSET($R$3,0,0,'Données projet'!$E$9+1,1))-AVERAGE(OFFSET($H$3,0,0,'Données projet'!$E$9+1,1))</f>
        <v>231.91408074258248</v>
      </c>
      <c r="T74" s="59">
        <f t="shared" si="88"/>
        <v>143.57726487417773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2.9295445211185989E-4</v>
      </c>
      <c r="AC74" s="22">
        <f t="shared" si="57"/>
        <v>2.9295445211185989E-4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6.1</v>
      </c>
      <c r="AI74" s="13">
        <f>IF('Données projet'!$A$62&gt;35,AI73+AH74-AQ73,IF(A74&lt;'Données projet'!$A$62,$AF$205^A74,IF(A74='Données projet'!$A$62,'Données projet'!$B$62,AI73+AH74-AQ73)))</f>
        <v>227.10000000000025</v>
      </c>
      <c r="AJ74" s="13">
        <f>AI74*VLOOKUP('Données projet'!$B$10,Paramètres!$A$1:$I$89,3,0)*VLOOKUP('Données projet'!$B$10,Paramètres!$A$1:$I$89,5,0)</f>
        <v>205.48008000000021</v>
      </c>
      <c r="AK74" s="13">
        <f t="shared" si="89"/>
        <v>50.9466221581852</v>
      </c>
      <c r="AL74" s="20">
        <f t="shared" si="58"/>
        <v>446.60983959217293</v>
      </c>
      <c r="AM74" s="59">
        <f t="shared" si="59"/>
        <v>739.94317292550625</v>
      </c>
      <c r="AN74" s="59">
        <f ca="1">AVERAGE(OFFSET($AM$3,0,0,'Données projet'!$E$10+1,1))-AVERAGE(OFFSET($H$3,0,0,'Données projet'!$E$10+1,1))</f>
        <v>253.16772905022714</v>
      </c>
      <c r="AO74" s="59">
        <f t="shared" si="90"/>
        <v>156.67965022779907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3.1465478189792362E-4</v>
      </c>
      <c r="AX74" s="21">
        <f t="shared" si="60"/>
        <v>3.1465478189792362E-4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-2.8421709430404007E-14</v>
      </c>
      <c r="BE74" s="13">
        <f>BD74*VLOOKUP('Données projet'!$B$11,Paramètres!$A$1:$I$89,3,0)*VLOOKUP('Données projet'!$B$11,Paramètres!$A$1:$I$89,5,0)</f>
        <v>-1.6996182239381599E-14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119.24399403036387</v>
      </c>
      <c r="BJ74" s="59">
        <f t="shared" si="92"/>
        <v>119.60076838354843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6.741765566758168E-7</v>
      </c>
      <c r="BS74" s="22">
        <f t="shared" si="63"/>
        <v>6.741765566758168E-7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3.4</v>
      </c>
      <c r="BY74" s="12">
        <f>IF('Données projet'!$A$114&gt;35,BY73+BX74-CG73,IF(A74&lt;'Données projet'!$A$114,$BV$205^A74,IF(A74='Données projet'!$A$114,'Données projet'!$B$114,BY73+BX74-CG73)))</f>
        <v>125.39999999999995</v>
      </c>
      <c r="BZ74" s="13">
        <f>BY74*VLOOKUP('Données projet'!$B$12,Paramètres!$A$1:$I$89,3,0)*VLOOKUP('Données projet'!$B$12,Paramètres!$A$1:$I$89,5,0)</f>
        <v>121.28687999999994</v>
      </c>
      <c r="CA74" s="13">
        <f t="shared" si="93"/>
        <v>31.974956333849075</v>
      </c>
      <c r="CB74" s="20">
        <f t="shared" si="64"/>
        <v>266.931031614787</v>
      </c>
      <c r="CC74" s="59">
        <f t="shared" si="65"/>
        <v>560.26436494812037</v>
      </c>
      <c r="CD74" s="59">
        <f ca="1">AVERAGE(OFFSET($CC$3,0,0,'Données projet'!$E$12+1,1))-AVERAGE(OFFSET($H$3,0,0,'Données projet'!$E$12+1,1))</f>
        <v>135.95692658150551</v>
      </c>
      <c r="CE74" s="59">
        <f t="shared" si="94"/>
        <v>79.394119001888612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6.1437884816429529</v>
      </c>
      <c r="CL74" s="21">
        <f>EXP(-LN(2)/25)*CL73+(1-EXP(-LN(2)/25))/(LN(2)/25)*Calculateur!CG74*Calculateur!CI74*VLOOKUP('Données projet'!$B$12,Paramètres!$A$1:$I$89,3,0)*0.475*44/12</f>
        <v>4.5925051260481622</v>
      </c>
      <c r="CM74" s="21">
        <f>EXP(-LN(2)/2)*CM73+(1-EXP(-LN(2)/2))/(LN(2)/2)*CG74*CJ74*VLOOKUP('Données projet'!$B$12,Paramètres!$A$1:$I$89,3,0)*0.475*44/12</f>
        <v>0.79229611903899211</v>
      </c>
      <c r="CN74" s="22">
        <f t="shared" si="66"/>
        <v>11.528589726730107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3.4</v>
      </c>
      <c r="CT74" s="12">
        <f>IF('Données projet'!$A$140&gt;35,CT73+CS74-DB73,IF(A74&lt;'Données projet'!$A$140,$CQ$205^A74,IF(A74='Données projet'!$A$140,'Données projet'!$B$140,CT73+CS74-DB73)))</f>
        <v>125.39999999999995</v>
      </c>
      <c r="CU74" s="17">
        <f>CT74*VLOOKUP('Données projet'!$B$13,Paramètres!$A$1:$I$89,3,0)*VLOOKUP('Données projet'!$B$13,Paramètres!$A$1:$I$89,5,0)</f>
        <v>134.98055999999994</v>
      </c>
      <c r="CV74" s="13">
        <f t="shared" si="95"/>
        <v>35.144690234680603</v>
      </c>
      <c r="CW74" s="20">
        <f t="shared" si="67"/>
        <v>296.30147749206861</v>
      </c>
      <c r="CX74" s="59">
        <f t="shared" si="68"/>
        <v>589.63481082540193</v>
      </c>
      <c r="CY74" s="59">
        <f ca="1">AVERAGE(OFFSET($CX$3,0,0,'Données projet'!$E$13+1,1))-AVERAGE(OFFSET($H$3,0,0,'Données projet'!$E$13+1,1))</f>
        <v>158.74837032815333</v>
      </c>
      <c r="CZ74" s="59">
        <f t="shared" si="96"/>
        <v>92.286636088270086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6.8374420198929613</v>
      </c>
      <c r="DG74" s="21">
        <f>EXP(-LN(2)/25)*DG73+(1-EXP(-LN(2)/25))/(LN(2)/25)*Calculateur!DB74*Calculateur!DD74*VLOOKUP('Données projet'!$B$13,Paramètres!$A$1:$I$89,3,0)*0.475*44/12</f>
        <v>5.1110137693116622</v>
      </c>
      <c r="DH74" s="21">
        <f>EXP(-LN(2)/2)*DH73+(1-EXP(-LN(2)/2))/(LN(2)/2)*DB74*DE74*VLOOKUP('Données projet'!$B$13,Paramètres!$A$1:$I$89,3,0)*0.475*44/12</f>
        <v>0.88174890667242667</v>
      </c>
      <c r="DI74" s="22">
        <f t="shared" si="69"/>
        <v>12.830204695877049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6.1</v>
      </c>
      <c r="N75" s="13">
        <f>IF('Données projet'!$A$36&gt;35,N74+M75-V74,IF(A75&lt;'Données projet'!$A$36,$K$205^A75,IF(A75='Données projet'!$A$36,'Données projet'!$B$36,N74+M75-V74)))</f>
        <v>233.20000000000024</v>
      </c>
      <c r="O75" s="13">
        <f>N75*VLOOKUP('Données projet'!$B$9,Paramètres!$A$1:$I$89,3,0)*VLOOKUP('Données projet'!$B$9,Paramètres!$A$1:$I$89,5,0)</f>
        <v>196.44768000000022</v>
      </c>
      <c r="P75" s="13">
        <f t="shared" si="87"/>
        <v>48.962662901204943</v>
      </c>
      <c r="Q75" s="20">
        <f t="shared" si="54"/>
        <v>427.42301388626561</v>
      </c>
      <c r="R75" s="59">
        <f t="shared" si="55"/>
        <v>720.75634721959887</v>
      </c>
      <c r="S75" s="59">
        <f ca="1">AVERAGE(OFFSET($R$3,0,0,'Données projet'!$E$9+1,1))-AVERAGE(OFFSET($H$3,0,0,'Données projet'!$E$9+1,1))</f>
        <v>231.91408074258248</v>
      </c>
      <c r="T75" s="59">
        <f t="shared" si="88"/>
        <v>143.57726487417773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2.0715007966708583E-4</v>
      </c>
      <c r="AC75" s="22">
        <f t="shared" si="57"/>
        <v>2.0715007966708583E-4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6.1</v>
      </c>
      <c r="AI75" s="13">
        <f>IF('Données projet'!$A$62&gt;35,AI74+AH75-AQ74,IF(A75&lt;'Données projet'!$A$62,$AF$205^A75,IF(A75='Données projet'!$A$62,'Données projet'!$B$62,AI74+AH75-AQ74)))</f>
        <v>233.20000000000024</v>
      </c>
      <c r="AJ75" s="13">
        <f>AI75*VLOOKUP('Données projet'!$B$10,Paramètres!$A$1:$I$89,3,0)*VLOOKUP('Données projet'!$B$10,Paramètres!$A$1:$I$89,5,0)</f>
        <v>210.99936000000022</v>
      </c>
      <c r="AK75" s="13">
        <f t="shared" si="89"/>
        <v>52.153910623486716</v>
      </c>
      <c r="AL75" s="20">
        <f t="shared" si="58"/>
        <v>458.32527966923976</v>
      </c>
      <c r="AM75" s="59">
        <f t="shared" si="59"/>
        <v>751.65861300257302</v>
      </c>
      <c r="AN75" s="59">
        <f ca="1">AVERAGE(OFFSET($AM$3,0,0,'Données projet'!$E$10+1,1))-AVERAGE(OFFSET($H$3,0,0,'Données projet'!$E$10+1,1))</f>
        <v>253.16772905022714</v>
      </c>
      <c r="AO75" s="59">
        <f t="shared" si="90"/>
        <v>156.67965022779907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2.2249453001279591E-4</v>
      </c>
      <c r="AX75" s="21">
        <f t="shared" si="60"/>
        <v>2.2249453001279591E-4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-2.8421709430404007E-14</v>
      </c>
      <c r="BE75" s="13">
        <f>BD75*VLOOKUP('Données projet'!$B$11,Paramètres!$A$1:$I$89,3,0)*VLOOKUP('Données projet'!$B$11,Paramètres!$A$1:$I$89,5,0)</f>
        <v>-1.6996182239381599E-14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119.24399403036387</v>
      </c>
      <c r="BJ75" s="59">
        <f t="shared" si="92"/>
        <v>119.60076838354843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4.7671481494246686E-7</v>
      </c>
      <c r="BS75" s="22">
        <f t="shared" si="63"/>
        <v>4.7671481494246686E-7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3.4</v>
      </c>
      <c r="BY75" s="12">
        <f>IF('Données projet'!$A$114&gt;35,BY74+BX75-CG74,IF(A75&lt;'Données projet'!$A$114,$BV$205^A75,IF(A75='Données projet'!$A$114,'Données projet'!$B$114,BY74+BX75-CG74)))</f>
        <v>128.79999999999995</v>
      </c>
      <c r="BZ75" s="13">
        <f>BY75*VLOOKUP('Données projet'!$B$12,Paramètres!$A$1:$I$89,3,0)*VLOOKUP('Données projet'!$B$12,Paramètres!$A$1:$I$89,5,0)</f>
        <v>124.57535999999995</v>
      </c>
      <c r="CA75" s="13">
        <f t="shared" si="93"/>
        <v>32.739791806000952</v>
      </c>
      <c r="CB75" s="20">
        <f t="shared" si="64"/>
        <v>273.99055606211817</v>
      </c>
      <c r="CC75" s="59">
        <f t="shared" si="65"/>
        <v>567.32388939545149</v>
      </c>
      <c r="CD75" s="59">
        <f ca="1">AVERAGE(OFFSET($CC$3,0,0,'Données projet'!$E$12+1,1))-AVERAGE(OFFSET($H$3,0,0,'Données projet'!$E$12+1,1))</f>
        <v>135.95692658150551</v>
      </c>
      <c r="CE75" s="59">
        <f t="shared" si="94"/>
        <v>79.394119001888612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6.0233125368588896</v>
      </c>
      <c r="CL75" s="21">
        <f>EXP(-LN(2)/25)*CL74+(1-EXP(-LN(2)/25))/(LN(2)/25)*Calculateur!CG75*Calculateur!CI75*VLOOKUP('Données projet'!$B$12,Paramètres!$A$1:$I$89,3,0)*0.475*44/12</f>
        <v>4.4669228318670271</v>
      </c>
      <c r="CM75" s="21">
        <f>EXP(-LN(2)/2)*CM74+(1-EXP(-LN(2)/2))/(LN(2)/2)*CG75*CJ75*VLOOKUP('Données projet'!$B$12,Paramètres!$A$1:$I$89,3,0)*0.475*44/12</f>
        <v>0.56023795848025548</v>
      </c>
      <c r="CN75" s="22">
        <f t="shared" si="66"/>
        <v>11.050473327206172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3.4</v>
      </c>
      <c r="CT75" s="12">
        <f>IF('Données projet'!$A$140&gt;35,CT74+CS75-DB74,IF(A75&lt;'Données projet'!$A$140,$CQ$205^A75,IF(A75='Données projet'!$A$140,'Données projet'!$B$140,CT74+CS75-DB74)))</f>
        <v>128.79999999999995</v>
      </c>
      <c r="CU75" s="17">
        <f>CT75*VLOOKUP('Données projet'!$B$13,Paramètres!$A$1:$I$89,3,0)*VLOOKUP('Données projet'!$B$13,Paramètres!$A$1:$I$89,5,0)</f>
        <v>138.64031999999995</v>
      </c>
      <c r="CV75" s="13">
        <f t="shared" si="95"/>
        <v>35.985345198165781</v>
      </c>
      <c r="CW75" s="20">
        <f t="shared" si="67"/>
        <v>304.13970022013865</v>
      </c>
      <c r="CX75" s="59">
        <f t="shared" si="68"/>
        <v>597.47303355347196</v>
      </c>
      <c r="CY75" s="59">
        <f ca="1">AVERAGE(OFFSET($CX$3,0,0,'Données projet'!$E$13+1,1))-AVERAGE(OFFSET($H$3,0,0,'Données projet'!$E$13+1,1))</f>
        <v>158.74837032815333</v>
      </c>
      <c r="CZ75" s="59">
        <f t="shared" si="96"/>
        <v>92.286636088270086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6.7033639523106965</v>
      </c>
      <c r="DG75" s="21">
        <f>EXP(-LN(2)/25)*DG74+(1-EXP(-LN(2)/25))/(LN(2)/25)*Calculateur!DB75*Calculateur!DD75*VLOOKUP('Données projet'!$B$13,Paramètres!$A$1:$I$89,3,0)*0.475*44/12</f>
        <v>4.9712528290133022</v>
      </c>
      <c r="DH75" s="21">
        <f>EXP(-LN(2)/2)*DH74+(1-EXP(-LN(2)/2))/(LN(2)/2)*DB75*DE75*VLOOKUP('Données projet'!$B$13,Paramètres!$A$1:$I$89,3,0)*0.475*44/12</f>
        <v>0.62349063121189718</v>
      </c>
      <c r="DI75" s="22">
        <f t="shared" si="69"/>
        <v>12.298107412535895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6.1</v>
      </c>
      <c r="N76" s="13">
        <f>IF('Données projet'!$A$36&gt;35,N75+M76-V75,IF(A76&lt;'Données projet'!$A$36,$K$205^A76,IF(A76='Données projet'!$A$36,'Données projet'!$B$36,N75+M76-V75)))</f>
        <v>239.30000000000024</v>
      </c>
      <c r="O76" s="13">
        <f>N76*VLOOKUP('Données projet'!$B$9,Paramètres!$A$1:$I$89,3,0)*VLOOKUP('Données projet'!$B$9,Paramètres!$A$1:$I$89,5,0)</f>
        <v>201.58632000000023</v>
      </c>
      <c r="P76" s="13">
        <f t="shared" si="87"/>
        <v>50.092632389255805</v>
      </c>
      <c r="Q76" s="20">
        <f t="shared" si="54"/>
        <v>438.34084207795428</v>
      </c>
      <c r="R76" s="59">
        <f t="shared" si="55"/>
        <v>731.67417541128759</v>
      </c>
      <c r="S76" s="59">
        <f ca="1">AVERAGE(OFFSET($R$3,0,0,'Données projet'!$E$9+1,1))-AVERAGE(OFFSET($H$3,0,0,'Données projet'!$E$9+1,1))</f>
        <v>231.91408074258248</v>
      </c>
      <c r="T76" s="59">
        <f t="shared" si="88"/>
        <v>143.57726487417773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1.4647722605592994E-4</v>
      </c>
      <c r="AC76" s="22">
        <f t="shared" si="57"/>
        <v>1.4647722605592994E-4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6.1</v>
      </c>
      <c r="AI76" s="13">
        <f>IF('Données projet'!$A$62&gt;35,AI75+AH76-AQ75,IF(A76&lt;'Données projet'!$A$62,$AF$205^A76,IF(A76='Données projet'!$A$62,'Données projet'!$B$62,AI75+AH76-AQ75)))</f>
        <v>239.30000000000024</v>
      </c>
      <c r="AJ76" s="13">
        <f>AI76*VLOOKUP('Données projet'!$B$10,Paramètres!$A$1:$I$89,3,0)*VLOOKUP('Données projet'!$B$10,Paramètres!$A$1:$I$89,5,0)</f>
        <v>216.5186400000002</v>
      </c>
      <c r="AK76" s="13">
        <f t="shared" si="89"/>
        <v>53.357528323079173</v>
      </c>
      <c r="AL76" s="20">
        <f t="shared" si="58"/>
        <v>470.03432649602991</v>
      </c>
      <c r="AM76" s="59">
        <f t="shared" si="59"/>
        <v>763.36765982936322</v>
      </c>
      <c r="AN76" s="59">
        <f ca="1">AVERAGE(OFFSET($AM$3,0,0,'Données projet'!$E$10+1,1))-AVERAGE(OFFSET($H$3,0,0,'Données projet'!$E$10+1,1))</f>
        <v>253.16772905022714</v>
      </c>
      <c r="AO76" s="59">
        <f t="shared" si="90"/>
        <v>156.67965022779907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1.5732739094896181E-4</v>
      </c>
      <c r="AX76" s="21">
        <f t="shared" si="60"/>
        <v>1.5732739094896181E-4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-2.8421709430404007E-14</v>
      </c>
      <c r="BE76" s="13">
        <f>BD76*VLOOKUP('Données projet'!$B$11,Paramètres!$A$1:$I$89,3,0)*VLOOKUP('Données projet'!$B$11,Paramètres!$A$1:$I$89,5,0)</f>
        <v>-1.6996182239381599E-14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119.24399403036387</v>
      </c>
      <c r="BJ76" s="59">
        <f t="shared" si="92"/>
        <v>119.60076838354843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3.3708827833790845E-7</v>
      </c>
      <c r="BS76" s="22">
        <f t="shared" si="63"/>
        <v>3.3708827833790845E-7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3.4</v>
      </c>
      <c r="BY76" s="12">
        <f>IF('Données projet'!$A$114&gt;35,BY75+BX76-CG75,IF(A76&lt;'Données projet'!$A$114,$BV$205^A76,IF(A76='Données projet'!$A$114,'Données projet'!$B$114,BY75+BX76-CG75)))</f>
        <v>132.19999999999996</v>
      </c>
      <c r="BZ76" s="13">
        <f>BY76*VLOOKUP('Données projet'!$B$12,Paramètres!$A$1:$I$89,3,0)*VLOOKUP('Données projet'!$B$12,Paramètres!$A$1:$I$89,5,0)</f>
        <v>127.86383999999995</v>
      </c>
      <c r="CA76" s="13">
        <f t="shared" si="93"/>
        <v>33.502280509335172</v>
      </c>
      <c r="CB76" s="20">
        <f t="shared" si="64"/>
        <v>281.04599322042532</v>
      </c>
      <c r="CC76" s="59">
        <f t="shared" si="65"/>
        <v>574.37932655375857</v>
      </c>
      <c r="CD76" s="59">
        <f ca="1">AVERAGE(OFFSET($CC$3,0,0,'Données projet'!$E$12+1,1))-AVERAGE(OFFSET($H$3,0,0,'Données projet'!$E$12+1,1))</f>
        <v>135.95692658150551</v>
      </c>
      <c r="CE76" s="59">
        <f t="shared" si="94"/>
        <v>79.394119001888612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5.905199051868971</v>
      </c>
      <c r="CL76" s="21">
        <f>EXP(-LN(2)/25)*CL75+(1-EXP(-LN(2)/25))/(LN(2)/25)*Calculateur!CG76*Calculateur!CI76*VLOOKUP('Données projet'!$B$12,Paramètres!$A$1:$I$89,3,0)*0.475*44/12</f>
        <v>4.3447745921243612</v>
      </c>
      <c r="CM76" s="21">
        <f>EXP(-LN(2)/2)*CM75+(1-EXP(-LN(2)/2))/(LN(2)/2)*CG76*CJ76*VLOOKUP('Données projet'!$B$12,Paramètres!$A$1:$I$89,3,0)*0.475*44/12</f>
        <v>0.39614805951949617</v>
      </c>
      <c r="CN76" s="22">
        <f t="shared" si="66"/>
        <v>10.646121703512829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3.4</v>
      </c>
      <c r="CT76" s="12">
        <f>IF('Données projet'!$A$140&gt;35,CT75+CS76-DB75,IF(A76&lt;'Données projet'!$A$140,$CQ$205^A76,IF(A76='Données projet'!$A$140,'Données projet'!$B$140,CT75+CS76-DB75)))</f>
        <v>132.19999999999996</v>
      </c>
      <c r="CU76" s="17">
        <f>CT76*VLOOKUP('Données projet'!$B$13,Paramètres!$A$1:$I$89,3,0)*VLOOKUP('Données projet'!$B$13,Paramètres!$A$1:$I$89,5,0)</f>
        <v>142.30007999999995</v>
      </c>
      <c r="CV76" s="13">
        <f t="shared" si="95"/>
        <v>36.823420753495235</v>
      </c>
      <c r="CW76" s="20">
        <f t="shared" si="67"/>
        <v>311.97343047900409</v>
      </c>
      <c r="CX76" s="59">
        <f t="shared" si="68"/>
        <v>605.30676381233741</v>
      </c>
      <c r="CY76" s="59">
        <f ca="1">AVERAGE(OFFSET($CX$3,0,0,'Données projet'!$E$13+1,1))-AVERAGE(OFFSET($H$3,0,0,'Données projet'!$E$13+1,1))</f>
        <v>158.74837032815333</v>
      </c>
      <c r="CZ76" s="59">
        <f t="shared" si="96"/>
        <v>92.286636088270086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6.5719150738541741</v>
      </c>
      <c r="DG76" s="21">
        <f>EXP(-LN(2)/25)*DG75+(1-EXP(-LN(2)/25))/(LN(2)/25)*Calculateur!DB76*Calculateur!DD76*VLOOKUP('Données projet'!$B$13,Paramètres!$A$1:$I$89,3,0)*0.475*44/12</f>
        <v>4.8353136589771095</v>
      </c>
      <c r="DH76" s="21">
        <f>EXP(-LN(2)/2)*DH75+(1-EXP(-LN(2)/2))/(LN(2)/2)*DB76*DE76*VLOOKUP('Données projet'!$B$13,Paramètres!$A$1:$I$89,3,0)*0.475*44/12</f>
        <v>0.44087445333621339</v>
      </c>
      <c r="DI76" s="22">
        <f t="shared" si="69"/>
        <v>11.848103186167497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6.1</v>
      </c>
      <c r="N77" s="13">
        <f>IF('Données projet'!$A$36&gt;35,N76+M77-V76,IF(A77&lt;'Données projet'!$A$36,$K$205^A77,IF(A77='Données projet'!$A$36,'Données projet'!$B$36,N76+M77-V76)))</f>
        <v>245.40000000000023</v>
      </c>
      <c r="O77" s="13">
        <f>N77*VLOOKUP('Données projet'!$B$9,Paramètres!$A$1:$I$89,3,0)*VLOOKUP('Données projet'!$B$9,Paramètres!$A$1:$I$89,5,0)</f>
        <v>206.72496000000021</v>
      </c>
      <c r="P77" s="13">
        <f t="shared" si="87"/>
        <v>51.219253669605088</v>
      </c>
      <c r="Q77" s="20">
        <f t="shared" si="54"/>
        <v>449.25283880789584</v>
      </c>
      <c r="R77" s="59">
        <f t="shared" si="55"/>
        <v>742.5861721412291</v>
      </c>
      <c r="S77" s="59">
        <f ca="1">AVERAGE(OFFSET($R$3,0,0,'Données projet'!$E$9+1,1))-AVERAGE(OFFSET($H$3,0,0,'Données projet'!$E$9+1,1))</f>
        <v>231.91408074258248</v>
      </c>
      <c r="T77" s="59">
        <f t="shared" si="88"/>
        <v>143.57726487417773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1.0357503983354291E-4</v>
      </c>
      <c r="AC77" s="22">
        <f t="shared" si="57"/>
        <v>1.0357503983354291E-4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6.1</v>
      </c>
      <c r="AI77" s="13">
        <f>IF('Données projet'!$A$62&gt;35,AI76+AH77-AQ76,IF(A77&lt;'Données projet'!$A$62,$AF$205^A77,IF(A77='Données projet'!$A$62,'Données projet'!$B$62,AI76+AH77-AQ76)))</f>
        <v>245.40000000000023</v>
      </c>
      <c r="AJ77" s="13">
        <f>AI77*VLOOKUP('Données projet'!$B$10,Paramètres!$A$1:$I$89,3,0)*VLOOKUP('Données projet'!$B$10,Paramètres!$A$1:$I$89,5,0)</f>
        <v>222.03792000000021</v>
      </c>
      <c r="AK77" s="13">
        <f t="shared" si="89"/>
        <v>54.557579588273143</v>
      </c>
      <c r="AL77" s="20">
        <f t="shared" si="58"/>
        <v>481.73716178290942</v>
      </c>
      <c r="AM77" s="59">
        <f t="shared" si="59"/>
        <v>775.07049511624268</v>
      </c>
      <c r="AN77" s="59">
        <f ca="1">AVERAGE(OFFSET($AM$3,0,0,'Données projet'!$E$10+1,1))-AVERAGE(OFFSET($H$3,0,0,'Données projet'!$E$10+1,1))</f>
        <v>253.16772905022714</v>
      </c>
      <c r="AO77" s="59">
        <f t="shared" si="90"/>
        <v>156.67965022779907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1.1124726500639796E-4</v>
      </c>
      <c r="AX77" s="21">
        <f t="shared" si="60"/>
        <v>1.1124726500639796E-4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-2.8421709430404007E-14</v>
      </c>
      <c r="BE77" s="13">
        <f>BD77*VLOOKUP('Données projet'!$B$11,Paramètres!$A$1:$I$89,3,0)*VLOOKUP('Données projet'!$B$11,Paramètres!$A$1:$I$89,5,0)</f>
        <v>-1.6996182239381599E-14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119.24399403036387</v>
      </c>
      <c r="BJ77" s="59">
        <f t="shared" si="92"/>
        <v>119.60076838354843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2.3835740747123348E-7</v>
      </c>
      <c r="BS77" s="22">
        <f t="shared" si="63"/>
        <v>2.3835740747123348E-7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3.4</v>
      </c>
      <c r="BY77" s="12">
        <f>IF('Données projet'!$A$114&gt;35,BY76+BX77-CG76,IF(A77&lt;'Données projet'!$A$114,$BV$205^A77,IF(A77='Données projet'!$A$114,'Données projet'!$B$114,BY76+BX77-CG76)))</f>
        <v>135.59999999999997</v>
      </c>
      <c r="BZ77" s="13">
        <f>BY77*VLOOKUP('Données projet'!$B$12,Paramètres!$A$1:$I$89,3,0)*VLOOKUP('Données projet'!$B$12,Paramètres!$A$1:$I$89,5,0)</f>
        <v>131.15231999999997</v>
      </c>
      <c r="CA77" s="13">
        <f t="shared" si="93"/>
        <v>34.262489739130991</v>
      </c>
      <c r="CB77" s="20">
        <f t="shared" si="64"/>
        <v>288.09746029565309</v>
      </c>
      <c r="CC77" s="59">
        <f t="shared" si="65"/>
        <v>581.43079362898641</v>
      </c>
      <c r="CD77" s="59">
        <f ca="1">AVERAGE(OFFSET($CC$3,0,0,'Données projet'!$E$12+1,1))-AVERAGE(OFFSET($H$3,0,0,'Données projet'!$E$12+1,1))</f>
        <v>135.95692658150551</v>
      </c>
      <c r="CE77" s="59">
        <f t="shared" si="94"/>
        <v>79.394119001888612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5.7894017002775922</v>
      </c>
      <c r="CL77" s="21">
        <f>EXP(-LN(2)/25)*CL76+(1-EXP(-LN(2)/25))/(LN(2)/25)*Calculateur!CG77*Calculateur!CI77*VLOOKUP('Données projet'!$B$12,Paramètres!$A$1:$I$89,3,0)*0.475*44/12</f>
        <v>4.2259665024209552</v>
      </c>
      <c r="CM77" s="21">
        <f>EXP(-LN(2)/2)*CM76+(1-EXP(-LN(2)/2))/(LN(2)/2)*CG77*CJ77*VLOOKUP('Données projet'!$B$12,Paramètres!$A$1:$I$89,3,0)*0.475*44/12</f>
        <v>0.2801189792401278</v>
      </c>
      <c r="CN77" s="22">
        <f t="shared" si="66"/>
        <v>10.295487181938674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3.4</v>
      </c>
      <c r="CT77" s="12">
        <f>IF('Données projet'!$A$140&gt;35,CT76+CS77-DB76,IF(A77&lt;'Données projet'!$A$140,$CQ$205^A77,IF(A77='Données projet'!$A$140,'Données projet'!$B$140,CT76+CS77-DB76)))</f>
        <v>135.59999999999997</v>
      </c>
      <c r="CU77" s="17">
        <f>CT77*VLOOKUP('Données projet'!$B$13,Paramètres!$A$1:$I$89,3,0)*VLOOKUP('Données projet'!$B$13,Paramètres!$A$1:$I$89,5,0)</f>
        <v>145.95983999999996</v>
      </c>
      <c r="CV77" s="13">
        <f t="shared" si="95"/>
        <v>37.658990867047969</v>
      </c>
      <c r="CW77" s="20">
        <f t="shared" si="67"/>
        <v>319.80279709344177</v>
      </c>
      <c r="CX77" s="59">
        <f t="shared" si="68"/>
        <v>613.13613042677503</v>
      </c>
      <c r="CY77" s="59">
        <f ca="1">AVERAGE(OFFSET($CX$3,0,0,'Données projet'!$E$13+1,1))-AVERAGE(OFFSET($H$3,0,0,'Données projet'!$E$13+1,1))</f>
        <v>158.74837032815333</v>
      </c>
      <c r="CZ77" s="59">
        <f t="shared" si="96"/>
        <v>92.286636088270086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6.4430438277282853</v>
      </c>
      <c r="DG77" s="21">
        <f>EXP(-LN(2)/25)*DG76+(1-EXP(-LN(2)/25))/(LN(2)/25)*Calculateur!DB77*Calculateur!DD77*VLOOKUP('Données projet'!$B$13,Paramètres!$A$1:$I$89,3,0)*0.475*44/12</f>
        <v>4.7030917526942861</v>
      </c>
      <c r="DH77" s="21">
        <f>EXP(-LN(2)/2)*DH76+(1-EXP(-LN(2)/2))/(LN(2)/2)*DB77*DE77*VLOOKUP('Données projet'!$B$13,Paramètres!$A$1:$I$89,3,0)*0.475*44/12</f>
        <v>0.31174531560594865</v>
      </c>
      <c r="DI77" s="22">
        <f t="shared" si="69"/>
        <v>11.45788089602852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6.1</v>
      </c>
      <c r="N78" s="13">
        <f>IF('Données projet'!$A$36&gt;35,N77+M78-V77,IF(A78&lt;'Données projet'!$A$36,$K$205^A78,IF(A78='Données projet'!$A$36,'Données projet'!$B$36,N77+M78-V77)))</f>
        <v>251.50000000000023</v>
      </c>
      <c r="O78" s="13">
        <f>N78*VLOOKUP('Données projet'!$B$9,Paramètres!$A$1:$I$89,3,0)*VLOOKUP('Données projet'!$B$9,Paramètres!$A$1:$I$89,5,0)</f>
        <v>211.86360000000022</v>
      </c>
      <c r="P78" s="13">
        <f t="shared" si="87"/>
        <v>52.342619542649992</v>
      </c>
      <c r="Q78" s="20">
        <f t="shared" si="54"/>
        <v>460.1591657034491</v>
      </c>
      <c r="R78" s="59">
        <f t="shared" si="55"/>
        <v>753.49249903678242</v>
      </c>
      <c r="S78" s="59">
        <f ca="1">AVERAGE(OFFSET($R$3,0,0,'Données projet'!$E$9+1,1))-AVERAGE(OFFSET($H$3,0,0,'Données projet'!$E$9+1,1))</f>
        <v>231.91408074258248</v>
      </c>
      <c r="T78" s="59">
        <f t="shared" si="88"/>
        <v>143.57726487417773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7.3238613027964972E-5</v>
      </c>
      <c r="AC78" s="22">
        <f t="shared" si="57"/>
        <v>7.3238613027964972E-5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6.1</v>
      </c>
      <c r="AI78" s="13">
        <f>IF('Données projet'!$A$62&gt;35,AI77+AH78-AQ77,IF(A78&lt;'Données projet'!$A$62,$AF$205^A78,IF(A78='Données projet'!$A$62,'Données projet'!$B$62,AI77+AH78-AQ77)))</f>
        <v>251.50000000000023</v>
      </c>
      <c r="AJ78" s="13">
        <f>AI78*VLOOKUP('Données projet'!$B$10,Paramètres!$A$1:$I$89,3,0)*VLOOKUP('Données projet'!$B$10,Paramètres!$A$1:$I$89,5,0)</f>
        <v>227.55720000000019</v>
      </c>
      <c r="AK78" s="13">
        <f t="shared" si="89"/>
        <v>55.754163267932753</v>
      </c>
      <c r="AL78" s="20">
        <f t="shared" si="58"/>
        <v>493.43395769164994</v>
      </c>
      <c r="AM78" s="59">
        <f t="shared" si="59"/>
        <v>786.76729102498325</v>
      </c>
      <c r="AN78" s="59">
        <f ca="1">AVERAGE(OFFSET($AM$3,0,0,'Données projet'!$E$10+1,1))-AVERAGE(OFFSET($H$3,0,0,'Données projet'!$E$10+1,1))</f>
        <v>253.16772905022714</v>
      </c>
      <c r="AO78" s="59">
        <f t="shared" si="90"/>
        <v>156.67965022779907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7.8663695474480904E-5</v>
      </c>
      <c r="AX78" s="21">
        <f t="shared" si="60"/>
        <v>7.8663695474480904E-5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-2.8421709430404007E-14</v>
      </c>
      <c r="BE78" s="13">
        <f>BD78*VLOOKUP('Données projet'!$B$11,Paramètres!$A$1:$I$89,3,0)*VLOOKUP('Données projet'!$B$11,Paramètres!$A$1:$I$89,5,0)</f>
        <v>-1.6996182239381599E-14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119.24399403036387</v>
      </c>
      <c r="BJ78" s="59">
        <f t="shared" si="92"/>
        <v>119.60076838354843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1.6854413916895425E-7</v>
      </c>
      <c r="BS78" s="22">
        <f t="shared" si="63"/>
        <v>1.6854413916895425E-7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139</v>
      </c>
      <c r="BW78" s="12">
        <f>VLOOKUP(A78,'Données projet'!$A$113:$I$133,9,0)</f>
        <v>3.4</v>
      </c>
      <c r="BX78" s="12">
        <f t="array" ref="BX78">INDEX(BW:BW,MIN(IF(ISNUMBER(BW78:BW274),ROW(BW78:BW274),"")))</f>
        <v>3.4</v>
      </c>
      <c r="BY78" s="12">
        <f>IF('Données projet'!$A$114&gt;35,BY77+BX78-CG77,IF(A78&lt;'Données projet'!$A$114,$BV$205^A78,IF(A78='Données projet'!$A$114,'Données projet'!$B$114,BY77+BX78-CG77)))</f>
        <v>138.99999999999997</v>
      </c>
      <c r="BZ78" s="13">
        <f>BY78*VLOOKUP('Données projet'!$B$12,Paramètres!$A$1:$I$89,3,0)*VLOOKUP('Données projet'!$B$12,Paramètres!$A$1:$I$89,5,0)</f>
        <v>134.44079999999997</v>
      </c>
      <c r="CA78" s="13">
        <f t="shared" si="93"/>
        <v>35.02048322365038</v>
      </c>
      <c r="CB78" s="20">
        <f t="shared" si="64"/>
        <v>295.14506828119102</v>
      </c>
      <c r="CC78" s="59">
        <f t="shared" si="65"/>
        <v>588.47840161452427</v>
      </c>
      <c r="CD78" s="59">
        <f ca="1">AVERAGE(OFFSET($CC$3,0,0,'Données projet'!$E$12+1,1))-AVERAGE(OFFSET($H$3,0,0,'Données projet'!$E$12+1,1))</f>
        <v>135.95692658150551</v>
      </c>
      <c r="CE78" s="59">
        <f t="shared" si="94"/>
        <v>79.394119001888612</v>
      </c>
      <c r="CF78" s="15">
        <f>IF(ISNA(VLOOKUP(A78,'Données projet'!$A$113:$I$133,3,0)),0,VLOOKUP(A78,'Données projet'!$A$113:$I$133,3,0))</f>
        <v>10</v>
      </c>
      <c r="CG78" s="15">
        <f>IF(ISNA(VLOOKUP(A78,'Données projet'!$A$113:$I$133,4,0)),0,VLOOKUP(A78,'Données projet'!$A$113:$I$133,4,0))</f>
        <v>10</v>
      </c>
      <c r="CH78" s="16">
        <f>IF(ISNA(VLOOKUP(A78,'Données projet'!$A$113:$I$133,5,0)),0%,VLOOKUP(A78,'Données projet'!$A$113:$I$133,5,0)*VLOOKUP('Données projet'!$B$12,Paramètres!$A$1:$I$89,7,0))</f>
        <v>0.215</v>
      </c>
      <c r="CI78" s="16">
        <f>IF(ISNA(VLOOKUP(A78,'Données projet'!$A$113:$I$133,6,0)),0%,VLOOKUP(A78,'Données projet'!$A$113:$I$133,6,0)*VLOOKUP('Données projet'!$B$12,Paramètres!$A$1:$I$89,7,0))</f>
        <v>4.3000000000000003E-2</v>
      </c>
      <c r="CJ78" s="16">
        <f>IF(ISNA(VLOOKUP(A78,'Données projet'!$A$113:$I$133,7,0)),0%,VLOOKUP(A78,'Données projet'!$A$113:$I$133,7,0))</f>
        <v>0.1</v>
      </c>
      <c r="CK78" s="21">
        <f>EXP(-LN(2)/35)*CK77+(1-EXP(-LN(2)/35))/(LN(2)/35)*CG78*CH78*VLOOKUP('Données projet'!$B$12,Paramètres!$A$1:$I$89,3,0)*0.475*44/12</f>
        <v>7.97467860895269</v>
      </c>
      <c r="CL78" s="21">
        <f>EXP(-LN(2)/25)*CL77+(1-EXP(-LN(2)/25))/(LN(2)/25)*Calculateur!CG78*Calculateur!CI78*VLOOKUP('Données projet'!$B$12,Paramètres!$A$1:$I$89,3,0)*0.475*44/12</f>
        <v>4.5683576820508058</v>
      </c>
      <c r="CM78" s="21">
        <f>EXP(-LN(2)/2)*CM77+(1-EXP(-LN(2)/2))/(LN(2)/2)*CG78*CJ78*VLOOKUP('Données projet'!$B$12,Paramètres!$A$1:$I$89,3,0)*0.475*44/12</f>
        <v>1.1106532615660796</v>
      </c>
      <c r="CN78" s="22">
        <f t="shared" si="66"/>
        <v>13.653689552569576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139</v>
      </c>
      <c r="CR78" s="12">
        <f>VLOOKUP(A78,'Données projet'!$A$139:$I$159,9,0)</f>
        <v>3.4</v>
      </c>
      <c r="CS78" s="12">
        <f t="array" ref="CS78">INDEX(CR:CR,MIN(IF(ISNUMBER(CR78:CR274),ROW(CR78:CR274),"")))</f>
        <v>3.4</v>
      </c>
      <c r="CT78" s="12">
        <f>IF('Données projet'!$A$140&gt;35,CT77+CS78-DB77,IF(A78&lt;'Données projet'!$A$140,$CQ$205^A78,IF(A78='Données projet'!$A$140,'Données projet'!$B$140,CT77+CS78-DB77)))</f>
        <v>138.99999999999997</v>
      </c>
      <c r="CU78" s="17">
        <f>CT78*VLOOKUP('Données projet'!$B$13,Paramètres!$A$1:$I$89,3,0)*VLOOKUP('Données projet'!$B$13,Paramètres!$A$1:$I$89,5,0)</f>
        <v>149.61959999999996</v>
      </c>
      <c r="CV78" s="13">
        <f t="shared" si="95"/>
        <v>38.492125584581245</v>
      </c>
      <c r="CW78" s="20">
        <f t="shared" si="67"/>
        <v>327.62792205981231</v>
      </c>
      <c r="CX78" s="59">
        <f t="shared" si="68"/>
        <v>620.96125539314562</v>
      </c>
      <c r="CY78" s="59">
        <f ca="1">AVERAGE(OFFSET($CX$3,0,0,'Données projet'!$E$13+1,1))-AVERAGE(OFFSET($H$3,0,0,'Données projet'!$E$13+1,1))</f>
        <v>158.74837032815333</v>
      </c>
      <c r="CZ78" s="59">
        <f t="shared" si="96"/>
        <v>92.286636088270086</v>
      </c>
      <c r="DA78" s="15">
        <f>IF(ISNA(VLOOKUP(A78,'Données projet'!$A$139:$I$159,3,0)),0,VLOOKUP(A78,'Données projet'!$A$139:$I$159,3,0))</f>
        <v>10</v>
      </c>
      <c r="DB78" s="15">
        <f>IF(ISNA(VLOOKUP(A78,'Données projet'!$A$139:$I$159,4,0)),0,VLOOKUP(A78,'Données projet'!$A$139:$I$159,4,0))</f>
        <v>10</v>
      </c>
      <c r="DC78" s="16">
        <f>IF(ISNA(VLOOKUP(A78,'Données projet'!$A$139:$I$159,5,0)),0%,VLOOKUP(A78,'Données projet'!$A$139:$I$159,5,0)*VLOOKUP('Données projet'!$B$13,Paramètres!$A$1:$I$89,7,0))</f>
        <v>0.215</v>
      </c>
      <c r="DD78" s="16">
        <f>IF(ISNA(VLOOKUP(A78,'Données projet'!$A$139:$I$159,6,0)),0%,VLOOKUP(A78,'Données projet'!$A$139:$I$159,6,0)*VLOOKUP('Données projet'!$B$13,Paramètres!$A$1:$I$89,7,0))</f>
        <v>4.3000000000000003E-2</v>
      </c>
      <c r="DE78" s="16">
        <f>IF(ISNA(VLOOKUP(A78,'Données projet'!$A$139:$I$159,7,0)),0%,VLOOKUP(A78,'Données projet'!$A$139:$I$159,7,0))</f>
        <v>0.1</v>
      </c>
      <c r="DF78" s="21">
        <f>EXP(-LN(2)/35)*DF77+(1-EXP(-LN(2)/35))/(LN(2)/35)*DB78*DC78*VLOOKUP('Données projet'!$B$13,Paramètres!$A$1:$I$89,3,0)*0.475*44/12</f>
        <v>8.8750455486731497</v>
      </c>
      <c r="DG78" s="21">
        <f>EXP(-LN(2)/25)*DG77+(1-EXP(-LN(2)/25))/(LN(2)/25)*Calculateur!DB78*Calculateur!DD78*VLOOKUP('Données projet'!$B$13,Paramètres!$A$1:$I$89,3,0)*0.475*44/12</f>
        <v>5.084140000992023</v>
      </c>
      <c r="DH78" s="21">
        <f>EXP(-LN(2)/2)*DH77+(1-EXP(-LN(2)/2))/(LN(2)/2)*DB78*DE78*VLOOKUP('Données projet'!$B$13,Paramètres!$A$1:$I$89,3,0)*0.475*44/12</f>
        <v>1.2360495975493466</v>
      </c>
      <c r="DI78" s="22">
        <f t="shared" si="69"/>
        <v>15.195235147214518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6.1</v>
      </c>
      <c r="N79" s="13">
        <f>IF('Données projet'!$A$36&gt;35,N78+M79-V78,IF(A79&lt;'Données projet'!$A$36,$K$205^A79,IF(A79='Données projet'!$A$36,'Données projet'!$B$36,N78+M79-V78)))</f>
        <v>257.60000000000025</v>
      </c>
      <c r="O79" s="13">
        <f>N79*VLOOKUP('Données projet'!$B$9,Paramètres!$A$1:$I$89,3,0)*VLOOKUP('Données projet'!$B$9,Paramètres!$A$1:$I$89,5,0)</f>
        <v>217.00224000000026</v>
      </c>
      <c r="P79" s="13">
        <f t="shared" si="87"/>
        <v>53.462818050454864</v>
      </c>
      <c r="Q79" s="20">
        <f t="shared" si="54"/>
        <v>471.05997610454273</v>
      </c>
      <c r="R79" s="59">
        <f t="shared" si="55"/>
        <v>764.39330943787604</v>
      </c>
      <c r="S79" s="59">
        <f ca="1">AVERAGE(OFFSET($R$3,0,0,'Données projet'!$E$9+1,1))-AVERAGE(OFFSET($H$3,0,0,'Données projet'!$E$9+1,1))</f>
        <v>231.91408074258248</v>
      </c>
      <c r="T79" s="59">
        <f t="shared" si="88"/>
        <v>143.57726487417773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5.1787519916771457E-5</v>
      </c>
      <c r="AC79" s="22">
        <f t="shared" si="57"/>
        <v>5.1787519916771457E-5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6.1</v>
      </c>
      <c r="AI79" s="13">
        <f>IF('Données projet'!$A$62&gt;35,AI78+AH79-AQ78,IF(A79&lt;'Données projet'!$A$62,$AF$205^A79,IF(A79='Données projet'!$A$62,'Données projet'!$B$62,AI78+AH79-AQ78)))</f>
        <v>257.60000000000025</v>
      </c>
      <c r="AJ79" s="13">
        <f>AI79*VLOOKUP('Données projet'!$B$10,Paramètres!$A$1:$I$89,3,0)*VLOOKUP('Données projet'!$B$10,Paramètres!$A$1:$I$89,5,0)</f>
        <v>233.0764800000002</v>
      </c>
      <c r="AK79" s="13">
        <f t="shared" si="89"/>
        <v>56.947373142454929</v>
      </c>
      <c r="AL79" s="20">
        <f t="shared" si="58"/>
        <v>505.1248775564427</v>
      </c>
      <c r="AM79" s="59">
        <f t="shared" si="59"/>
        <v>798.45821088977596</v>
      </c>
      <c r="AN79" s="59">
        <f ca="1">AVERAGE(OFFSET($AM$3,0,0,'Données projet'!$E$10+1,1))-AVERAGE(OFFSET($H$3,0,0,'Données projet'!$E$10+1,1))</f>
        <v>253.16772905022714</v>
      </c>
      <c r="AO79" s="59">
        <f t="shared" si="90"/>
        <v>156.67965022779907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5.5623632503198979E-5</v>
      </c>
      <c r="AX79" s="21">
        <f t="shared" si="60"/>
        <v>5.5623632503198979E-5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-2.8421709430404007E-14</v>
      </c>
      <c r="BE79" s="13">
        <f>BD79*VLOOKUP('Données projet'!$B$11,Paramètres!$A$1:$I$89,3,0)*VLOOKUP('Données projet'!$B$11,Paramètres!$A$1:$I$89,5,0)</f>
        <v>-1.6996182239381599E-14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119.24399403036387</v>
      </c>
      <c r="BJ79" s="59">
        <f t="shared" si="92"/>
        <v>119.60076838354843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1.1917870373561675E-7</v>
      </c>
      <c r="BS79" s="22">
        <f t="shared" si="63"/>
        <v>1.1917870373561675E-7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3.4</v>
      </c>
      <c r="BY79" s="12">
        <f>IF('Données projet'!$A$114&gt;35,BY78+BX79-CG78,IF(A79&lt;'Données projet'!$A$114,$BV$205^A79,IF(A79='Données projet'!$A$114,'Données projet'!$B$114,BY78+BX79-CG78)))</f>
        <v>132.39999999999998</v>
      </c>
      <c r="BZ79" s="13">
        <f>BY79*VLOOKUP('Données projet'!$B$12,Paramètres!$A$1:$I$89,3,0)*VLOOKUP('Données projet'!$B$12,Paramètres!$A$1:$I$89,5,0)</f>
        <v>128.05727999999996</v>
      </c>
      <c r="CA79" s="13">
        <f t="shared" si="93"/>
        <v>33.54706115995706</v>
      </c>
      <c r="CB79" s="20">
        <f t="shared" si="64"/>
        <v>281.46089418692515</v>
      </c>
      <c r="CC79" s="59">
        <f t="shared" si="65"/>
        <v>574.79422752025846</v>
      </c>
      <c r="CD79" s="59">
        <f ca="1">AVERAGE(OFFSET($CC$3,0,0,'Données projet'!$E$12+1,1))-AVERAGE(OFFSET($H$3,0,0,'Données projet'!$E$12+1,1))</f>
        <v>135.95692658150551</v>
      </c>
      <c r="CE79" s="59">
        <f t="shared" si="94"/>
        <v>79.394119001888612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7.8183000255047919</v>
      </c>
      <c r="CL79" s="21">
        <f>EXP(-LN(2)/25)*CL78+(1-EXP(-LN(2)/25))/(LN(2)/25)*Calculateur!CG79*Calculateur!CI79*VLOOKUP('Données projet'!$B$12,Paramètres!$A$1:$I$89,3,0)*0.475*44/12</f>
        <v>4.4434357009956376</v>
      </c>
      <c r="CM79" s="21">
        <f>EXP(-LN(2)/2)*CM78+(1-EXP(-LN(2)/2))/(LN(2)/2)*CG79*CJ79*VLOOKUP('Données projet'!$B$12,Paramètres!$A$1:$I$89,3,0)*0.475*44/12</f>
        <v>0.78535045280033122</v>
      </c>
      <c r="CN79" s="22">
        <f t="shared" si="66"/>
        <v>13.047086179300761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3.4</v>
      </c>
      <c r="CT79" s="12">
        <f>IF('Données projet'!$A$140&gt;35,CT78+CS79-DB78,IF(A79&lt;'Données projet'!$A$140,$CQ$205^A79,IF(A79='Données projet'!$A$140,'Données projet'!$B$140,CT78+CS79-DB78)))</f>
        <v>132.39999999999998</v>
      </c>
      <c r="CU79" s="17">
        <f>CT79*VLOOKUP('Données projet'!$B$13,Paramètres!$A$1:$I$89,3,0)*VLOOKUP('Données projet'!$B$13,Paramètres!$A$1:$I$89,5,0)</f>
        <v>142.51535999999999</v>
      </c>
      <c r="CV79" s="13">
        <f t="shared" si="95"/>
        <v>36.87264058911223</v>
      </c>
      <c r="CW79" s="20">
        <f t="shared" si="67"/>
        <v>312.43410102603713</v>
      </c>
      <c r="CX79" s="59">
        <f t="shared" si="68"/>
        <v>605.76743435937044</v>
      </c>
      <c r="CY79" s="59">
        <f ca="1">AVERAGE(OFFSET($CX$3,0,0,'Données projet'!$E$13+1,1))-AVERAGE(OFFSET($H$3,0,0,'Données projet'!$E$13+1,1))</f>
        <v>158.74837032815333</v>
      </c>
      <c r="CZ79" s="59">
        <f t="shared" si="96"/>
        <v>92.286636088270086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8.7010113187069411</v>
      </c>
      <c r="DG79" s="21">
        <f>EXP(-LN(2)/25)*DG78+(1-EXP(-LN(2)/25))/(LN(2)/25)*Calculateur!DB79*Calculateur!DD79*VLOOKUP('Données projet'!$B$13,Paramètres!$A$1:$I$89,3,0)*0.475*44/12</f>
        <v>4.9451139253015937</v>
      </c>
      <c r="DH79" s="21">
        <f>EXP(-LN(2)/2)*DH78+(1-EXP(-LN(2)/2))/(LN(2)/2)*DB79*DE79*VLOOKUP('Données projet'!$B$13,Paramètres!$A$1:$I$89,3,0)*0.475*44/12</f>
        <v>0.87401905231004606</v>
      </c>
      <c r="DI79" s="22">
        <f t="shared" si="69"/>
        <v>14.520144296318581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6.1</v>
      </c>
      <c r="N80" s="13">
        <f>IF('Données projet'!$A$36&gt;35,N79+M80-V79,IF(A80&lt;'Données projet'!$A$36,$K$205^A80,IF(A80='Données projet'!$A$36,'Données projet'!$B$36,N79+M80-V79)))</f>
        <v>263.70000000000027</v>
      </c>
      <c r="O80" s="13">
        <f>N80*VLOOKUP('Données projet'!$B$9,Paramètres!$A$1:$I$89,3,0)*VLOOKUP('Données projet'!$B$9,Paramètres!$A$1:$I$89,5,0)</f>
        <v>222.14088000000027</v>
      </c>
      <c r="P80" s="13">
        <f t="shared" si="87"/>
        <v>54.579932827549101</v>
      </c>
      <c r="Q80" s="20">
        <f t="shared" si="54"/>
        <v>481.95541567464835</v>
      </c>
      <c r="R80" s="59">
        <f t="shared" si="55"/>
        <v>775.28874900798166</v>
      </c>
      <c r="S80" s="59">
        <f ca="1">AVERAGE(OFFSET($R$3,0,0,'Données projet'!$E$9+1,1))-AVERAGE(OFFSET($H$3,0,0,'Données projet'!$E$9+1,1))</f>
        <v>231.91408074258248</v>
      </c>
      <c r="T80" s="59">
        <f t="shared" si="88"/>
        <v>143.57726487417773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3.6619306513982486E-5</v>
      </c>
      <c r="AC80" s="22">
        <f t="shared" si="57"/>
        <v>3.6619306513982486E-5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6.1</v>
      </c>
      <c r="AI80" s="13">
        <f>IF('Données projet'!$A$62&gt;35,AI79+AH80-AQ79,IF(A80&lt;'Données projet'!$A$62,$AF$205^A80,IF(A80='Données projet'!$A$62,'Données projet'!$B$62,AI79+AH80-AQ79)))</f>
        <v>263.70000000000027</v>
      </c>
      <c r="AJ80" s="13">
        <f>AI80*VLOOKUP('Données projet'!$B$10,Paramètres!$A$1:$I$89,3,0)*VLOOKUP('Données projet'!$B$10,Paramètres!$A$1:$I$89,5,0)</f>
        <v>238.59576000000024</v>
      </c>
      <c r="AK80" s="13">
        <f t="shared" si="89"/>
        <v>58.137298297430824</v>
      </c>
      <c r="AL80" s="20">
        <f t="shared" si="58"/>
        <v>516.81007653469237</v>
      </c>
      <c r="AM80" s="59">
        <f t="shared" si="59"/>
        <v>810.14340986802563</v>
      </c>
      <c r="AN80" s="59">
        <f ca="1">AVERAGE(OFFSET($AM$3,0,0,'Données projet'!$E$10+1,1))-AVERAGE(OFFSET($H$3,0,0,'Données projet'!$E$10+1,1))</f>
        <v>253.16772905022714</v>
      </c>
      <c r="AO80" s="59">
        <f t="shared" si="90"/>
        <v>156.67965022779907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3.9331847737240452E-5</v>
      </c>
      <c r="AX80" s="21">
        <f t="shared" si="60"/>
        <v>3.9331847737240452E-5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-2.8421709430404007E-14</v>
      </c>
      <c r="BE80" s="13">
        <f>BD80*VLOOKUP('Données projet'!$B$11,Paramètres!$A$1:$I$89,3,0)*VLOOKUP('Données projet'!$B$11,Paramètres!$A$1:$I$89,5,0)</f>
        <v>-1.6996182239381599E-14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119.24399403036387</v>
      </c>
      <c r="BJ80" s="59">
        <f t="shared" si="92"/>
        <v>119.60076838354843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8.4272069584477139E-8</v>
      </c>
      <c r="BS80" s="22">
        <f t="shared" si="63"/>
        <v>8.4272069584477139E-8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3.4</v>
      </c>
      <c r="BY80" s="12">
        <f>IF('Données projet'!$A$114&gt;35,BY79+BX80-CG79,IF(A80&lt;'Données projet'!$A$114,$BV$205^A80,IF(A80='Données projet'!$A$114,'Données projet'!$B$114,BY79+BX80-CG79)))</f>
        <v>135.79999999999998</v>
      </c>
      <c r="BZ80" s="13">
        <f>BY80*VLOOKUP('Données projet'!$B$12,Paramètres!$A$1:$I$89,3,0)*VLOOKUP('Données projet'!$B$12,Paramètres!$A$1:$I$89,5,0)</f>
        <v>131.34575999999998</v>
      </c>
      <c r="CA80" s="13">
        <f t="shared" si="93"/>
        <v>34.30713832111968</v>
      </c>
      <c r="CB80" s="20">
        <f t="shared" si="64"/>
        <v>288.5121312426167</v>
      </c>
      <c r="CC80" s="59">
        <f t="shared" si="65"/>
        <v>581.84546457595002</v>
      </c>
      <c r="CD80" s="59">
        <f ca="1">AVERAGE(OFFSET($CC$3,0,0,'Données projet'!$E$12+1,1))-AVERAGE(OFFSET($H$3,0,0,'Données projet'!$E$12+1,1))</f>
        <v>135.95692658150551</v>
      </c>
      <c r="CE80" s="59">
        <f t="shared" si="94"/>
        <v>79.394119001888612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7.664987930696789</v>
      </c>
      <c r="CL80" s="21">
        <f>EXP(-LN(2)/25)*CL79+(1-EXP(-LN(2)/25))/(LN(2)/25)*Calculateur!CG80*Calculateur!CI80*VLOOKUP('Données projet'!$B$12,Paramètres!$A$1:$I$89,3,0)*0.475*44/12</f>
        <v>4.3219297180817842</v>
      </c>
      <c r="CM80" s="21">
        <f>EXP(-LN(2)/2)*CM79+(1-EXP(-LN(2)/2))/(LN(2)/2)*CG80*CJ80*VLOOKUP('Données projet'!$B$12,Paramètres!$A$1:$I$89,3,0)*0.475*44/12</f>
        <v>0.5553266307830399</v>
      </c>
      <c r="CN80" s="22">
        <f t="shared" si="66"/>
        <v>12.542244279561611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3.4</v>
      </c>
      <c r="CT80" s="12">
        <f>IF('Données projet'!$A$140&gt;35,CT79+CS80-DB79,IF(A80&lt;'Données projet'!$A$140,$CQ$205^A80,IF(A80='Données projet'!$A$140,'Données projet'!$B$140,CT79+CS80-DB79)))</f>
        <v>135.79999999999998</v>
      </c>
      <c r="CU80" s="17">
        <f>CT80*VLOOKUP('Données projet'!$B$13,Paramètres!$A$1:$I$89,3,0)*VLOOKUP('Données projet'!$B$13,Paramètres!$A$1:$I$89,5,0)</f>
        <v>146.17511999999999</v>
      </c>
      <c r="CV80" s="13">
        <f t="shared" si="95"/>
        <v>37.708065541834948</v>
      </c>
      <c r="CW80" s="20">
        <f t="shared" si="67"/>
        <v>320.26321481869581</v>
      </c>
      <c r="CX80" s="59">
        <f t="shared" si="68"/>
        <v>613.59654815202907</v>
      </c>
      <c r="CY80" s="59">
        <f ca="1">AVERAGE(OFFSET($CX$3,0,0,'Données projet'!$E$13+1,1))-AVERAGE(OFFSET($H$3,0,0,'Données projet'!$E$13+1,1))</f>
        <v>158.74837032815333</v>
      </c>
      <c r="CZ80" s="59">
        <f t="shared" si="96"/>
        <v>92.286636088270086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8.5303897938399711</v>
      </c>
      <c r="DG80" s="21">
        <f>EXP(-LN(2)/25)*DG79+(1-EXP(-LN(2)/25))/(LN(2)/25)*Calculateur!DB80*Calculateur!DD80*VLOOKUP('Données projet'!$B$13,Paramètres!$A$1:$I$89,3,0)*0.475*44/12</f>
        <v>4.8098895249619824</v>
      </c>
      <c r="DH80" s="21">
        <f>EXP(-LN(2)/2)*DH79+(1-EXP(-LN(2)/2))/(LN(2)/2)*DB80*DE80*VLOOKUP('Données projet'!$B$13,Paramètres!$A$1:$I$89,3,0)*0.475*44/12</f>
        <v>0.61802479877467342</v>
      </c>
      <c r="DI80" s="22">
        <f t="shared" si="69"/>
        <v>13.958304117576628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6.1</v>
      </c>
      <c r="N81" s="13">
        <f>IF('Données projet'!$A$36&gt;35,N80+M81-V80,IF(A81&lt;'Données projet'!$A$36,$K$205^A81,IF(A81='Données projet'!$A$36,'Données projet'!$B$36,N80+M81-V80)))</f>
        <v>269.8000000000003</v>
      </c>
      <c r="O81" s="13">
        <f>N81*VLOOKUP('Données projet'!$B$9,Paramètres!$A$1:$I$89,3,0)*VLOOKUP('Données projet'!$B$9,Paramètres!$A$1:$I$89,5,0)</f>
        <v>227.27952000000028</v>
      </c>
      <c r="P81" s="13">
        <f t="shared" si="87"/>
        <v>55.694043418351349</v>
      </c>
      <c r="Q81" s="20">
        <f t="shared" si="54"/>
        <v>492.84562295362895</v>
      </c>
      <c r="R81" s="59">
        <f t="shared" si="55"/>
        <v>786.17895628696226</v>
      </c>
      <c r="S81" s="59">
        <f ca="1">AVERAGE(OFFSET($R$3,0,0,'Données projet'!$E$9+1,1))-AVERAGE(OFFSET($H$3,0,0,'Données projet'!$E$9+1,1))</f>
        <v>231.91408074258248</v>
      </c>
      <c r="T81" s="59">
        <f t="shared" si="88"/>
        <v>143.57726487417773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2.5893759958385729E-5</v>
      </c>
      <c r="AC81" s="22">
        <f t="shared" si="57"/>
        <v>2.5893759958385729E-5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6.1</v>
      </c>
      <c r="AI81" s="13">
        <f>IF('Données projet'!$A$62&gt;35,AI80+AH81-AQ80,IF(A81&lt;'Données projet'!$A$62,$AF$205^A81,IF(A81='Données projet'!$A$62,'Données projet'!$B$62,AI80+AH81-AQ80)))</f>
        <v>269.8000000000003</v>
      </c>
      <c r="AJ81" s="13">
        <f>AI81*VLOOKUP('Données projet'!$B$10,Paramètres!$A$1:$I$89,3,0)*VLOOKUP('Données projet'!$B$10,Paramètres!$A$1:$I$89,5,0)</f>
        <v>244.11504000000025</v>
      </c>
      <c r="AK81" s="13">
        <f t="shared" si="89"/>
        <v>59.324023461759118</v>
      </c>
      <c r="AL81" s="20">
        <f t="shared" si="58"/>
        <v>528.48970219589762</v>
      </c>
      <c r="AM81" s="59">
        <f t="shared" si="59"/>
        <v>821.82303552923099</v>
      </c>
      <c r="AN81" s="59">
        <f ca="1">AVERAGE(OFFSET($AM$3,0,0,'Données projet'!$E$10+1,1))-AVERAGE(OFFSET($H$3,0,0,'Données projet'!$E$10+1,1))</f>
        <v>253.16772905022714</v>
      </c>
      <c r="AO81" s="59">
        <f t="shared" si="90"/>
        <v>156.67965022779907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2.7811816251599489E-5</v>
      </c>
      <c r="AX81" s="21">
        <f t="shared" si="60"/>
        <v>2.7811816251599489E-5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-2.8421709430404007E-14</v>
      </c>
      <c r="BE81" s="13">
        <f>BD81*VLOOKUP('Données projet'!$B$11,Paramètres!$A$1:$I$89,3,0)*VLOOKUP('Données projet'!$B$11,Paramètres!$A$1:$I$89,5,0)</f>
        <v>-1.6996182239381599E-14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119.24399403036387</v>
      </c>
      <c r="BJ81" s="59">
        <f t="shared" si="92"/>
        <v>119.60076838354843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5.958935186780839E-8</v>
      </c>
      <c r="BS81" s="22">
        <f t="shared" si="63"/>
        <v>5.958935186780839E-8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3.4</v>
      </c>
      <c r="BY81" s="12">
        <f>IF('Données projet'!$A$114&gt;35,BY80+BX81-CG80,IF(A81&lt;'Données projet'!$A$114,$BV$205^A81,IF(A81='Données projet'!$A$114,'Données projet'!$B$114,BY80+BX81-CG80)))</f>
        <v>139.19999999999999</v>
      </c>
      <c r="BZ81" s="13">
        <f>BY81*VLOOKUP('Données projet'!$B$12,Paramètres!$A$1:$I$89,3,0)*VLOOKUP('Données projet'!$B$12,Paramètres!$A$1:$I$89,5,0)</f>
        <v>134.63423999999998</v>
      </c>
      <c r="CA81" s="13">
        <f t="shared" si="93"/>
        <v>35.065003380589694</v>
      </c>
      <c r="CB81" s="20">
        <f t="shared" si="64"/>
        <v>295.55951555452697</v>
      </c>
      <c r="CC81" s="59">
        <f t="shared" si="65"/>
        <v>588.89284888786028</v>
      </c>
      <c r="CD81" s="59">
        <f ca="1">AVERAGE(OFFSET($CC$3,0,0,'Données projet'!$E$12+1,1))-AVERAGE(OFFSET($H$3,0,0,'Données projet'!$E$12+1,1))</f>
        <v>135.95692658150551</v>
      </c>
      <c r="CE81" s="59">
        <f t="shared" si="94"/>
        <v>79.394119001888612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7.514682192556827</v>
      </c>
      <c r="CL81" s="21">
        <f>EXP(-LN(2)/25)*CL80+(1-EXP(-LN(2)/25))/(LN(2)/25)*Calculateur!CG81*Calculateur!CI81*VLOOKUP('Données projet'!$B$12,Paramètres!$A$1:$I$89,3,0)*0.475*44/12</f>
        <v>4.2037463226604315</v>
      </c>
      <c r="CM81" s="21">
        <f>EXP(-LN(2)/2)*CM80+(1-EXP(-LN(2)/2))/(LN(2)/2)*CG81*CJ81*VLOOKUP('Données projet'!$B$12,Paramètres!$A$1:$I$89,3,0)*0.475*44/12</f>
        <v>0.39267522640016567</v>
      </c>
      <c r="CN81" s="22">
        <f t="shared" si="66"/>
        <v>12.111103741617423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3.4</v>
      </c>
      <c r="CT81" s="12">
        <f>IF('Données projet'!$A$140&gt;35,CT80+CS81-DB80,IF(A81&lt;'Données projet'!$A$140,$CQ$205^A81,IF(A81='Données projet'!$A$140,'Données projet'!$B$140,CT80+CS81-DB80)))</f>
        <v>139.19999999999999</v>
      </c>
      <c r="CU81" s="17">
        <f>CT81*VLOOKUP('Données projet'!$B$13,Paramètres!$A$1:$I$89,3,0)*VLOOKUP('Données projet'!$B$13,Paramètres!$A$1:$I$89,5,0)</f>
        <v>149.83488</v>
      </c>
      <c r="CV81" s="13">
        <f t="shared" si="95"/>
        <v>38.541059103316854</v>
      </c>
      <c r="CW81" s="20">
        <f t="shared" si="67"/>
        <v>328.08809393827681</v>
      </c>
      <c r="CX81" s="59">
        <f t="shared" si="68"/>
        <v>621.42142727161013</v>
      </c>
      <c r="CY81" s="59">
        <f ca="1">AVERAGE(OFFSET($CX$3,0,0,'Données projet'!$E$13+1,1))-AVERAGE(OFFSET($H$3,0,0,'Données projet'!$E$13+1,1))</f>
        <v>158.74837032815333</v>
      </c>
      <c r="CZ81" s="59">
        <f t="shared" si="96"/>
        <v>92.286636088270086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8.3631140530067878</v>
      </c>
      <c r="DG81" s="21">
        <f>EXP(-LN(2)/25)*DG80+(1-EXP(-LN(2)/25))/(LN(2)/25)*Calculateur!DB81*Calculateur!DD81*VLOOKUP('Données projet'!$B$13,Paramètres!$A$1:$I$89,3,0)*0.475*44/12</f>
        <v>4.6783628429607997</v>
      </c>
      <c r="DH81" s="21">
        <f>EXP(-LN(2)/2)*DH80+(1-EXP(-LN(2)/2))/(LN(2)/2)*DB81*DE81*VLOOKUP('Données projet'!$B$13,Paramètres!$A$1:$I$89,3,0)*0.475*44/12</f>
        <v>0.43700952615502309</v>
      </c>
      <c r="DI81" s="22">
        <f t="shared" si="69"/>
        <v>13.478486422122611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6.1</v>
      </c>
      <c r="N82" s="13">
        <f>IF('Données projet'!$A$36&gt;35,N81+M82-V81,IF(A82&lt;'Données projet'!$A$36,$K$205^A82,IF(A82='Données projet'!$A$36,'Données projet'!$B$36,N81+M82-V81)))</f>
        <v>275.90000000000032</v>
      </c>
      <c r="O82" s="13">
        <f>N82*VLOOKUP('Données projet'!$B$9,Paramètres!$A$1:$I$89,3,0)*VLOOKUP('Données projet'!$B$9,Paramètres!$A$1:$I$89,5,0)</f>
        <v>232.41816000000031</v>
      </c>
      <c r="P82" s="13">
        <f t="shared" si="87"/>
        <v>56.805225565077308</v>
      </c>
      <c r="Q82" s="20">
        <f t="shared" si="54"/>
        <v>503.73072985917673</v>
      </c>
      <c r="R82" s="59">
        <f t="shared" si="55"/>
        <v>797.06406319251005</v>
      </c>
      <c r="S82" s="59">
        <f ca="1">AVERAGE(OFFSET($R$3,0,0,'Données projet'!$E$9+1,1))-AVERAGE(OFFSET($H$3,0,0,'Données projet'!$E$9+1,1))</f>
        <v>231.91408074258248</v>
      </c>
      <c r="T82" s="59">
        <f t="shared" si="88"/>
        <v>143.57726487417773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1.8309653256991243E-5</v>
      </c>
      <c r="AC82" s="22">
        <f t="shared" si="57"/>
        <v>1.8309653256991243E-5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6.1</v>
      </c>
      <c r="AI82" s="13">
        <f>IF('Données projet'!$A$62&gt;35,AI81+AH82-AQ81,IF(A82&lt;'Données projet'!$A$62,$AF$205^A82,IF(A82='Données projet'!$A$62,'Données projet'!$B$62,AI81+AH82-AQ81)))</f>
        <v>275.90000000000032</v>
      </c>
      <c r="AJ82" s="13">
        <f>AI82*VLOOKUP('Données projet'!$B$10,Paramètres!$A$1:$I$89,3,0)*VLOOKUP('Données projet'!$B$10,Paramètres!$A$1:$I$89,5,0)</f>
        <v>249.63432000000026</v>
      </c>
      <c r="AK82" s="13">
        <f t="shared" si="89"/>
        <v>60.507629314318471</v>
      </c>
      <c r="AL82" s="20">
        <f t="shared" si="58"/>
        <v>540.16389505577172</v>
      </c>
      <c r="AM82" s="59">
        <f t="shared" si="59"/>
        <v>833.49722838910498</v>
      </c>
      <c r="AN82" s="59">
        <f ca="1">AVERAGE(OFFSET($AM$3,0,0,'Données projet'!$E$10+1,1))-AVERAGE(OFFSET($H$3,0,0,'Données projet'!$E$10+1,1))</f>
        <v>253.16772905022714</v>
      </c>
      <c r="AO82" s="59">
        <f t="shared" si="90"/>
        <v>156.67965022779907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1.9665923868620226E-5</v>
      </c>
      <c r="AX82" s="21">
        <f t="shared" si="60"/>
        <v>1.9665923868620226E-5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-2.8421709430404007E-14</v>
      </c>
      <c r="BE82" s="13">
        <f>BD82*VLOOKUP('Données projet'!$B$11,Paramètres!$A$1:$I$89,3,0)*VLOOKUP('Données projet'!$B$11,Paramètres!$A$1:$I$89,5,0)</f>
        <v>-1.6996182239381599E-14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119.24399403036387</v>
      </c>
      <c r="BJ82" s="59">
        <f t="shared" si="92"/>
        <v>119.60076838354843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4.2136034792238576E-8</v>
      </c>
      <c r="BS82" s="22">
        <f t="shared" si="63"/>
        <v>4.2136034792238576E-8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3.4</v>
      </c>
      <c r="BY82" s="12">
        <f>IF('Données projet'!$A$114&gt;35,BY81+BX82-CG81,IF(A82&lt;'Données projet'!$A$114,$BV$205^A82,IF(A82='Données projet'!$A$114,'Données projet'!$B$114,BY81+BX82-CG81)))</f>
        <v>142.6</v>
      </c>
      <c r="BZ82" s="13">
        <f>BY82*VLOOKUP('Données projet'!$B$12,Paramètres!$A$1:$I$89,3,0)*VLOOKUP('Données projet'!$B$12,Paramètres!$A$1:$I$89,5,0)</f>
        <v>137.92272</v>
      </c>
      <c r="CA82" s="13">
        <f t="shared" si="93"/>
        <v>35.82071658526872</v>
      </c>
      <c r="CB82" s="20">
        <f t="shared" si="64"/>
        <v>302.60315205267631</v>
      </c>
      <c r="CC82" s="59">
        <f t="shared" si="65"/>
        <v>595.93648538600962</v>
      </c>
      <c r="CD82" s="59">
        <f ca="1">AVERAGE(OFFSET($CC$3,0,0,'Données projet'!$E$12+1,1))-AVERAGE(OFFSET($H$3,0,0,'Données projet'!$E$12+1,1))</f>
        <v>135.95692658150551</v>
      </c>
      <c r="CE82" s="59">
        <f t="shared" si="94"/>
        <v>79.394119001888612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7.3673238582643421</v>
      </c>
      <c r="CL82" s="21">
        <f>EXP(-LN(2)/25)*CL81+(1-EXP(-LN(2)/25))/(LN(2)/25)*Calculateur!CG82*Calculateur!CI82*VLOOKUP('Données projet'!$B$12,Paramètres!$A$1:$I$89,3,0)*0.475*44/12</f>
        <v>4.0887946584018708</v>
      </c>
      <c r="CM82" s="21">
        <f>EXP(-LN(2)/2)*CM81+(1-EXP(-LN(2)/2))/(LN(2)/2)*CG82*CJ82*VLOOKUP('Données projet'!$B$12,Paramètres!$A$1:$I$89,3,0)*0.475*44/12</f>
        <v>0.27766331539151995</v>
      </c>
      <c r="CN82" s="22">
        <f t="shared" si="66"/>
        <v>11.733781832057732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3.4</v>
      </c>
      <c r="CT82" s="12">
        <f>IF('Données projet'!$A$140&gt;35,CT81+CS82-DB81,IF(A82&lt;'Données projet'!$A$140,$CQ$205^A82,IF(A82='Données projet'!$A$140,'Données projet'!$B$140,CT81+CS82-DB81)))</f>
        <v>142.6</v>
      </c>
      <c r="CU82" s="17">
        <f>CT82*VLOOKUP('Données projet'!$B$13,Paramètres!$A$1:$I$89,3,0)*VLOOKUP('Données projet'!$B$13,Paramètres!$A$1:$I$89,5,0)</f>
        <v>153.49464</v>
      </c>
      <c r="CV82" s="13">
        <f t="shared" si="95"/>
        <v>39.371687492841382</v>
      </c>
      <c r="CW82" s="20">
        <f t="shared" si="67"/>
        <v>335.90885371669873</v>
      </c>
      <c r="CX82" s="59">
        <f t="shared" si="68"/>
        <v>629.24218705003204</v>
      </c>
      <c r="CY82" s="59">
        <f ca="1">AVERAGE(OFFSET($CX$3,0,0,'Données projet'!$E$13+1,1))-AVERAGE(OFFSET($H$3,0,0,'Données projet'!$E$13+1,1))</f>
        <v>158.74837032815333</v>
      </c>
      <c r="CZ82" s="59">
        <f t="shared" si="96"/>
        <v>92.286636088270086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8.199118487423215</v>
      </c>
      <c r="DG82" s="21">
        <f>EXP(-LN(2)/25)*DG81+(1-EXP(-LN(2)/25))/(LN(2)/25)*Calculateur!DB82*Calculateur!DD82*VLOOKUP('Données projet'!$B$13,Paramètres!$A$1:$I$89,3,0)*0.475*44/12</f>
        <v>4.5504327649956275</v>
      </c>
      <c r="DH82" s="21">
        <f>EXP(-LN(2)/2)*DH81+(1-EXP(-LN(2)/2))/(LN(2)/2)*DB82*DE82*VLOOKUP('Données projet'!$B$13,Paramètres!$A$1:$I$89,3,0)*0.475*44/12</f>
        <v>0.30901239938733677</v>
      </c>
      <c r="DI82" s="22">
        <f t="shared" si="69"/>
        <v>13.05856365180618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282</v>
      </c>
      <c r="L83" s="12">
        <f>VLOOKUP(A83,'Données projet'!$A$35:$I$55,9,0)</f>
        <v>6.1</v>
      </c>
      <c r="M83" s="12">
        <f t="array" ref="M83">INDEX(L:L,MIN(IF(ISNUMBER(L83:L279),ROW(L83:L279),"")))</f>
        <v>6.1</v>
      </c>
      <c r="N83" s="13">
        <f>IF('Données projet'!$A$36&gt;35,N82+M83-V82,IF(A83&lt;'Données projet'!$A$36,$K$205^A83,IF(A83='Données projet'!$A$36,'Données projet'!$B$36,N82+M83-V82)))</f>
        <v>282.00000000000034</v>
      </c>
      <c r="O83" s="13">
        <f>N83*VLOOKUP('Données projet'!$B$9,Paramètres!$A$1:$I$89,3,0)*VLOOKUP('Données projet'!$B$9,Paramètres!$A$1:$I$89,5,0)</f>
        <v>237.55680000000032</v>
      </c>
      <c r="P83" s="13">
        <f t="shared" si="87"/>
        <v>57.913551469467414</v>
      </c>
      <c r="Q83" s="20">
        <f t="shared" si="54"/>
        <v>514.6108621426564</v>
      </c>
      <c r="R83" s="59">
        <f t="shared" si="55"/>
        <v>807.94419547598977</v>
      </c>
      <c r="S83" s="59">
        <f ca="1">AVERAGE(OFFSET($R$3,0,0,'Données projet'!$E$9+1,1))-AVERAGE(OFFSET($H$3,0,0,'Données projet'!$E$9+1,1))</f>
        <v>231.91408074258248</v>
      </c>
      <c r="T83" s="59">
        <f t="shared" si="88"/>
        <v>143.57726487417773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42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1.2946879979192864E-5</v>
      </c>
      <c r="AC83" s="22">
        <f t="shared" si="57"/>
        <v>1.2946879979192864E-5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282</v>
      </c>
      <c r="AG83" s="12">
        <f>VLOOKUP(A83,'Données projet'!$A$61:$I$81,9,0)</f>
        <v>6.1</v>
      </c>
      <c r="AH83" s="12">
        <f t="array" ref="AH83">INDEX(AG:AG,MIN(IF(ISNUMBER(AG83:AG279),ROW(AG83:AG279),"")))</f>
        <v>6.1</v>
      </c>
      <c r="AI83" s="13">
        <f>IF('Données projet'!$A$62&gt;35,AI82+AH83-AQ82,IF(A83&lt;'Données projet'!$A$62,$AF$205^A83,IF(A83='Données projet'!$A$62,'Données projet'!$B$62,AI82+AH83-AQ82)))</f>
        <v>282.00000000000034</v>
      </c>
      <c r="AJ83" s="13">
        <f>AI83*VLOOKUP('Données projet'!$B$10,Paramètres!$A$1:$I$89,3,0)*VLOOKUP('Données projet'!$B$10,Paramètres!$A$1:$I$89,5,0)</f>
        <v>255.15360000000027</v>
      </c>
      <c r="AK83" s="13">
        <f t="shared" si="89"/>
        <v>61.688192762754483</v>
      </c>
      <c r="AL83" s="20">
        <f t="shared" si="58"/>
        <v>551.83278906179783</v>
      </c>
      <c r="AM83" s="59">
        <f t="shared" si="59"/>
        <v>845.1661223951312</v>
      </c>
      <c r="AN83" s="59">
        <f ca="1">AVERAGE(OFFSET($AM$3,0,0,'Données projet'!$E$10+1,1))-AVERAGE(OFFSET($H$3,0,0,'Données projet'!$E$10+1,1))</f>
        <v>253.16772905022714</v>
      </c>
      <c r="AO83" s="59">
        <f t="shared" si="90"/>
        <v>156.67965022779907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42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1.3905908125799745E-5</v>
      </c>
      <c r="AX83" s="21">
        <f t="shared" si="60"/>
        <v>1.3905908125799745E-5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-2.8421709430404007E-14</v>
      </c>
      <c r="BE83" s="13">
        <f>BD83*VLOOKUP('Données projet'!$B$11,Paramètres!$A$1:$I$89,3,0)*VLOOKUP('Données projet'!$B$11,Paramètres!$A$1:$I$89,5,0)</f>
        <v>-1.6996182239381599E-14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119.24399403036387</v>
      </c>
      <c r="BJ83" s="59">
        <f t="shared" si="92"/>
        <v>119.60076838354843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2.9794675933904198E-8</v>
      </c>
      <c r="BS83" s="22">
        <f t="shared" si="63"/>
        <v>2.9794675933904198E-8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146</v>
      </c>
      <c r="BW83" s="12">
        <f>VLOOKUP(A83,'Données projet'!$A$113:$I$133,9,0)</f>
        <v>3.4</v>
      </c>
      <c r="BX83" s="12">
        <f t="array" ref="BX83">INDEX(BW:BW,MIN(IF(ISNUMBER(BW83:BW279),ROW(BW83:BW279),"")))</f>
        <v>3.4</v>
      </c>
      <c r="BY83" s="12">
        <f>IF('Données projet'!$A$114&gt;35,BY82+BX83-CG82,IF(A83&lt;'Données projet'!$A$114,$BV$205^A83,IF(A83='Données projet'!$A$114,'Données projet'!$B$114,BY82+BX83-CG82)))</f>
        <v>146</v>
      </c>
      <c r="BZ83" s="13">
        <f>BY83*VLOOKUP('Données projet'!$B$12,Paramètres!$A$1:$I$89,3,0)*VLOOKUP('Données projet'!$B$12,Paramètres!$A$1:$I$89,5,0)</f>
        <v>141.21119999999999</v>
      </c>
      <c r="CA83" s="13">
        <f t="shared" si="93"/>
        <v>36.574335145278738</v>
      </c>
      <c r="CB83" s="20">
        <f t="shared" si="64"/>
        <v>309.64314037802711</v>
      </c>
      <c r="CC83" s="59">
        <f t="shared" si="65"/>
        <v>602.97647371136043</v>
      </c>
      <c r="CD83" s="59">
        <f ca="1">AVERAGE(OFFSET($CC$3,0,0,'Données projet'!$E$12+1,1))-AVERAGE(OFFSET($H$3,0,0,'Données projet'!$E$12+1,1))</f>
        <v>135.95692658150551</v>
      </c>
      <c r="CE83" s="59">
        <f t="shared" si="94"/>
        <v>79.394119001888612</v>
      </c>
      <c r="CF83" s="15">
        <f>IF(ISNA(VLOOKUP(A83,'Données projet'!$A$113:$I$133,3,0)),0,VLOOKUP(A83,'Données projet'!$A$113:$I$133,3,0))</f>
        <v>11</v>
      </c>
      <c r="CG83" s="15">
        <f>IF(ISNA(VLOOKUP(A83,'Données projet'!$A$113:$I$133,4,0)),0,VLOOKUP(A83,'Données projet'!$A$113:$I$133,4,0))</f>
        <v>9</v>
      </c>
      <c r="CH83" s="16">
        <f>IF(ISNA(VLOOKUP(A83,'Données projet'!$A$113:$I$133,5,0)),0%,VLOOKUP(A83,'Données projet'!$A$113:$I$133,5,0)*VLOOKUP('Données projet'!$B$12,Paramètres!$A$1:$I$89,7,0))</f>
        <v>0.25800000000000001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0.1</v>
      </c>
      <c r="CK83" s="21">
        <f>EXP(-LN(2)/35)*CK82+(1-EXP(-LN(2)/35))/(LN(2)/35)*CG83*CH83*VLOOKUP('Données projet'!$B$12,Paramètres!$A$1:$I$89,3,0)*0.475*44/12</f>
        <v>9.705562959445297</v>
      </c>
      <c r="CL83" s="21">
        <f>EXP(-LN(2)/25)*CL82+(1-EXP(-LN(2)/25))/(LN(2)/25)*Calculateur!CG83*Calculateur!CI83*VLOOKUP('Données projet'!$B$12,Paramètres!$A$1:$I$89,3,0)*0.475*44/12</f>
        <v>3.9769863534475056</v>
      </c>
      <c r="CM83" s="21">
        <f>EXP(-LN(2)/2)*CM82+(1-EXP(-LN(2)/2))/(LN(2)/2)*CG83*CJ83*VLOOKUP('Données projet'!$B$12,Paramètres!$A$1:$I$89,3,0)*0.475*44/12</f>
        <v>1.0176589218257812</v>
      </c>
      <c r="CN83" s="22">
        <f t="shared" si="66"/>
        <v>14.700208234718584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146</v>
      </c>
      <c r="CR83" s="12">
        <f>VLOOKUP(A83,'Données projet'!$A$139:$I$159,9,0)</f>
        <v>3.4</v>
      </c>
      <c r="CS83" s="12">
        <f t="array" ref="CS83">INDEX(CR:CR,MIN(IF(ISNUMBER(CR83:CR279),ROW(CR83:CR279),"")))</f>
        <v>3.4</v>
      </c>
      <c r="CT83" s="12">
        <f>IF('Données projet'!$A$140&gt;35,CT82+CS83-DB82,IF(A83&lt;'Données projet'!$A$140,$CQ$205^A83,IF(A83='Données projet'!$A$140,'Données projet'!$B$140,CT82+CS83-DB82)))</f>
        <v>146</v>
      </c>
      <c r="CU83" s="17">
        <f>CT83*VLOOKUP('Données projet'!$B$13,Paramètres!$A$1:$I$89,3,0)*VLOOKUP('Données projet'!$B$13,Paramètres!$A$1:$I$89,5,0)</f>
        <v>157.15440000000001</v>
      </c>
      <c r="CV83" s="13">
        <f t="shared" si="95"/>
        <v>40.200013591870956</v>
      </c>
      <c r="CW83" s="20">
        <f t="shared" si="67"/>
        <v>343.72560367250861</v>
      </c>
      <c r="CX83" s="59">
        <f t="shared" si="68"/>
        <v>637.05893700584193</v>
      </c>
      <c r="CY83" s="59">
        <f ca="1">AVERAGE(OFFSET($CX$3,0,0,'Données projet'!$E$13+1,1))-AVERAGE(OFFSET($H$3,0,0,'Données projet'!$E$13+1,1))</f>
        <v>158.74837032815333</v>
      </c>
      <c r="CZ83" s="59">
        <f t="shared" si="96"/>
        <v>92.286636088270086</v>
      </c>
      <c r="DA83" s="15">
        <f>IF(ISNA(VLOOKUP(A83,'Données projet'!$A$139:$I$159,3,0)),0,VLOOKUP(A83,'Données projet'!$A$139:$I$159,3,0))</f>
        <v>11</v>
      </c>
      <c r="DB83" s="15">
        <f>IF(ISNA(VLOOKUP(A83,'Données projet'!$A$139:$I$159,4,0)),0,VLOOKUP(A83,'Données projet'!$A$139:$I$159,4,0))</f>
        <v>9</v>
      </c>
      <c r="DC83" s="16">
        <f>IF(ISNA(VLOOKUP(A83,'Données projet'!$A$139:$I$159,5,0)),0%,VLOOKUP(A83,'Données projet'!$A$139:$I$159,5,0)*VLOOKUP('Données projet'!$B$13,Paramètres!$A$1:$I$89,7,0))</f>
        <v>0.25800000000000001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0.1</v>
      </c>
      <c r="DF83" s="21">
        <f>EXP(-LN(2)/35)*DF82+(1-EXP(-LN(2)/35))/(LN(2)/35)*DB83*DC83*VLOOKUP('Données projet'!$B$13,Paramètres!$A$1:$I$89,3,0)*0.475*44/12</f>
        <v>10.801352325834278</v>
      </c>
      <c r="DG83" s="21">
        <f>EXP(-LN(2)/25)*DG82+(1-EXP(-LN(2)/25))/(LN(2)/25)*Calculateur!DB83*Calculateur!DD83*VLOOKUP('Données projet'!$B$13,Paramètres!$A$1:$I$89,3,0)*0.475*44/12</f>
        <v>4.4260009417399635</v>
      </c>
      <c r="DH83" s="21">
        <f>EXP(-LN(2)/2)*DH82+(1-EXP(-LN(2)/2))/(LN(2)/2)*DB83*DE83*VLOOKUP('Données projet'!$B$13,Paramètres!$A$1:$I$89,3,0)*0.475*44/12</f>
        <v>1.1325558968706275</v>
      </c>
      <c r="DI83" s="22">
        <f t="shared" si="69"/>
        <v>16.359909164444868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5.6</v>
      </c>
      <c r="N84" s="13">
        <f>IF('Données projet'!$A$36&gt;35,N83+M84-V83,IF(A84&lt;'Données projet'!$A$36,$K$205^A84,IF(A84='Données projet'!$A$36,'Données projet'!$B$36,N83+M84-V83)))</f>
        <v>245.60000000000036</v>
      </c>
      <c r="O84" s="13">
        <f>N84*VLOOKUP('Données projet'!$B$9,Paramètres!$A$1:$I$89,3,0)*VLOOKUP('Données projet'!$B$9,Paramètres!$A$1:$I$89,5,0)</f>
        <v>206.89344000000031</v>
      </c>
      <c r="P84" s="13">
        <f t="shared" si="87"/>
        <v>51.256136462199194</v>
      </c>
      <c r="Q84" s="20">
        <f t="shared" si="54"/>
        <v>449.61051233833081</v>
      </c>
      <c r="R84" s="59">
        <f t="shared" si="55"/>
        <v>742.94384567166412</v>
      </c>
      <c r="S84" s="59">
        <f ca="1">AVERAGE(OFFSET($R$3,0,0,'Données projet'!$E$9+1,1))-AVERAGE(OFFSET($H$3,0,0,'Données projet'!$E$9+1,1))</f>
        <v>231.91408074258248</v>
      </c>
      <c r="T84" s="59">
        <f t="shared" si="88"/>
        <v>143.57726487417773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9.1548266284956215E-6</v>
      </c>
      <c r="AC84" s="22">
        <f t="shared" si="57"/>
        <v>9.1548266284956215E-6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5.6</v>
      </c>
      <c r="AI84" s="13">
        <f>IF('Données projet'!$A$62&gt;35,AI83+AH84-AQ83,IF(A84&lt;'Données projet'!$A$62,$AF$205^A84,IF(A84='Données projet'!$A$62,'Données projet'!$B$62,AI83+AH84-AQ83)))</f>
        <v>245.60000000000036</v>
      </c>
      <c r="AJ84" s="13">
        <f>AI84*VLOOKUP('Données projet'!$B$10,Paramètres!$A$1:$I$89,3,0)*VLOOKUP('Données projet'!$B$10,Paramètres!$A$1:$I$89,5,0)</f>
        <v>222.21888000000033</v>
      </c>
      <c r="AK84" s="13">
        <f t="shared" si="89"/>
        <v>54.596866296848951</v>
      </c>
      <c r="AL84" s="20">
        <f t="shared" si="58"/>
        <v>482.12075813367915</v>
      </c>
      <c r="AM84" s="59">
        <f t="shared" si="59"/>
        <v>775.4540914670124</v>
      </c>
      <c r="AN84" s="59">
        <f ca="1">AVERAGE(OFFSET($AM$3,0,0,'Données projet'!$E$10+1,1))-AVERAGE(OFFSET($H$3,0,0,'Données projet'!$E$10+1,1))</f>
        <v>253.16772905022714</v>
      </c>
      <c r="AO84" s="59">
        <f t="shared" si="90"/>
        <v>156.67965022779907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9.8329619343101131E-6</v>
      </c>
      <c r="AX84" s="21">
        <f t="shared" si="60"/>
        <v>9.8329619343101131E-6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-2.8421709430404007E-14</v>
      </c>
      <c r="BE84" s="13">
        <f>BD84*VLOOKUP('Données projet'!$B$11,Paramètres!$A$1:$I$89,3,0)*VLOOKUP('Données projet'!$B$11,Paramètres!$A$1:$I$89,5,0)</f>
        <v>-1.6996182239381599E-14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119.24399403036387</v>
      </c>
      <c r="BJ84" s="59">
        <f t="shared" si="92"/>
        <v>119.60076838354843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2.1068017396119291E-8</v>
      </c>
      <c r="BS84" s="22">
        <f t="shared" si="63"/>
        <v>2.1068017396119291E-8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3</v>
      </c>
      <c r="BY84" s="12">
        <f>IF('Données projet'!$A$114&gt;35,BY83+BX84-CG83,IF(A84&lt;'Données projet'!$A$114,$BV$205^A84,IF(A84='Données projet'!$A$114,'Données projet'!$B$114,BY83+BX84-CG83)))</f>
        <v>140</v>
      </c>
      <c r="BZ84" s="13">
        <f>BY84*VLOOKUP('Données projet'!$B$12,Paramètres!$A$1:$I$89,3,0)*VLOOKUP('Données projet'!$B$12,Paramètres!$A$1:$I$89,5,0)</f>
        <v>135.40799999999999</v>
      </c>
      <c r="CA84" s="13">
        <f t="shared" si="93"/>
        <v>35.243009677478732</v>
      </c>
      <c r="CB84" s="20">
        <f t="shared" si="64"/>
        <v>297.21717518827546</v>
      </c>
      <c r="CC84" s="59">
        <f t="shared" si="65"/>
        <v>590.55050852160878</v>
      </c>
      <c r="CD84" s="59">
        <f ca="1">AVERAGE(OFFSET($CC$3,0,0,'Données projet'!$E$12+1,1))-AVERAGE(OFFSET($H$3,0,0,'Données projet'!$E$12+1,1))</f>
        <v>135.95692658150551</v>
      </c>
      <c r="CE84" s="59">
        <f t="shared" si="94"/>
        <v>79.394119001888612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9.5152427896194478</v>
      </c>
      <c r="CL84" s="21">
        <f>EXP(-LN(2)/25)*CL83+(1-EXP(-LN(2)/25))/(LN(2)/25)*Calculateur!CG84*Calculateur!CI84*VLOOKUP('Données projet'!$B$12,Paramètres!$A$1:$I$89,3,0)*0.475*44/12</f>
        <v>3.8682354524718607</v>
      </c>
      <c r="CM84" s="21">
        <f>EXP(-LN(2)/2)*CM83+(1-EXP(-LN(2)/2))/(LN(2)/2)*CG84*CJ84*VLOOKUP('Données projet'!$B$12,Paramètres!$A$1:$I$89,3,0)*0.475*44/12</f>
        <v>0.71959352455800063</v>
      </c>
      <c r="CN84" s="22">
        <f t="shared" si="66"/>
        <v>14.103071766649309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3</v>
      </c>
      <c r="CT84" s="12">
        <f>IF('Données projet'!$A$140&gt;35,CT83+CS84-DB83,IF(A84&lt;'Données projet'!$A$140,$CQ$205^A84,IF(A84='Données projet'!$A$140,'Données projet'!$B$140,CT83+CS84-DB83)))</f>
        <v>140</v>
      </c>
      <c r="CU84" s="17">
        <f>CT84*VLOOKUP('Données projet'!$B$13,Paramètres!$A$1:$I$89,3,0)*VLOOKUP('Données projet'!$B$13,Paramètres!$A$1:$I$89,5,0)</f>
        <v>150.696</v>
      </c>
      <c r="CV84" s="13">
        <f t="shared" si="95"/>
        <v>38.736711478840633</v>
      </c>
      <c r="CW84" s="20">
        <f t="shared" si="67"/>
        <v>329.92863915898073</v>
      </c>
      <c r="CX84" s="59">
        <f t="shared" si="68"/>
        <v>623.26197249231404</v>
      </c>
      <c r="CY84" s="59">
        <f ca="1">AVERAGE(OFFSET($CX$3,0,0,'Données projet'!$E$13+1,1))-AVERAGE(OFFSET($H$3,0,0,'Données projet'!$E$13+1,1))</f>
        <v>158.74837032815333</v>
      </c>
      <c r="CZ84" s="59">
        <f t="shared" si="96"/>
        <v>92.286636088270086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10.589544394899059</v>
      </c>
      <c r="DG84" s="21">
        <f>EXP(-LN(2)/25)*DG83+(1-EXP(-LN(2)/25))/(LN(2)/25)*Calculateur!DB84*Calculateur!DD84*VLOOKUP('Données projet'!$B$13,Paramètres!$A$1:$I$89,3,0)*0.475*44/12</f>
        <v>4.3049717132348109</v>
      </c>
      <c r="DH84" s="21">
        <f>EXP(-LN(2)/2)*DH83+(1-EXP(-LN(2)/2))/(LN(2)/2)*DB84*DE84*VLOOKUP('Données projet'!$B$13,Paramètres!$A$1:$I$89,3,0)*0.475*44/12</f>
        <v>0.80083795475003294</v>
      </c>
      <c r="DI84" s="22">
        <f t="shared" si="69"/>
        <v>15.695354062883904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5.6</v>
      </c>
      <c r="N85" s="13">
        <f>IF('Données projet'!$A$36&gt;35,N84+M85-V84,IF(A85&lt;'Données projet'!$A$36,$K$205^A85,IF(A85='Données projet'!$A$36,'Données projet'!$B$36,N84+M85-V84)))</f>
        <v>251.20000000000036</v>
      </c>
      <c r="O85" s="13">
        <f>N85*VLOOKUP('Données projet'!$B$9,Paramètres!$A$1:$I$89,3,0)*VLOOKUP('Données projet'!$B$9,Paramètres!$A$1:$I$89,5,0)</f>
        <v>211.61088000000032</v>
      </c>
      <c r="P85" s="13">
        <f t="shared" si="87"/>
        <v>52.287446798055853</v>
      </c>
      <c r="Q85" s="20">
        <f t="shared" si="54"/>
        <v>459.62291917328116</v>
      </c>
      <c r="R85" s="59">
        <f t="shared" si="55"/>
        <v>752.95625250661442</v>
      </c>
      <c r="S85" s="59">
        <f ca="1">AVERAGE(OFFSET($R$3,0,0,'Données projet'!$E$9+1,1))-AVERAGE(OFFSET($H$3,0,0,'Données projet'!$E$9+1,1))</f>
        <v>231.91408074258248</v>
      </c>
      <c r="T85" s="59">
        <f t="shared" si="88"/>
        <v>143.57726487417773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6.4734399895964322E-6</v>
      </c>
      <c r="AC85" s="22">
        <f t="shared" si="57"/>
        <v>6.4734399895964322E-6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5.6</v>
      </c>
      <c r="AI85" s="13">
        <f>IF('Données projet'!$A$62&gt;35,AI84+AH85-AQ84,IF(A85&lt;'Données projet'!$A$62,$AF$205^A85,IF(A85='Données projet'!$A$62,'Données projet'!$B$62,AI84+AH85-AQ84)))</f>
        <v>251.20000000000036</v>
      </c>
      <c r="AJ85" s="13">
        <f>AI85*VLOOKUP('Données projet'!$B$10,Paramètres!$A$1:$I$89,3,0)*VLOOKUP('Données projet'!$B$10,Paramètres!$A$1:$I$89,5,0)</f>
        <v>227.28576000000032</v>
      </c>
      <c r="AK85" s="13">
        <f t="shared" si="89"/>
        <v>55.695394520076427</v>
      </c>
      <c r="AL85" s="20">
        <f t="shared" si="58"/>
        <v>492.85884412246702</v>
      </c>
      <c r="AM85" s="59">
        <f t="shared" si="59"/>
        <v>786.19217745580033</v>
      </c>
      <c r="AN85" s="59">
        <f ca="1">AVERAGE(OFFSET($AM$3,0,0,'Données projet'!$E$10+1,1))-AVERAGE(OFFSET($H$3,0,0,'Données projet'!$E$10+1,1))</f>
        <v>253.16772905022714</v>
      </c>
      <c r="AO85" s="59">
        <f t="shared" si="90"/>
        <v>156.67965022779907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6.9529540628998723E-6</v>
      </c>
      <c r="AX85" s="21">
        <f t="shared" si="60"/>
        <v>6.9529540628998723E-6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-2.8421709430404007E-14</v>
      </c>
      <c r="BE85" s="13">
        <f>BD85*VLOOKUP('Données projet'!$B$11,Paramètres!$A$1:$I$89,3,0)*VLOOKUP('Données projet'!$B$11,Paramètres!$A$1:$I$89,5,0)</f>
        <v>-1.6996182239381599E-14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119.24399403036387</v>
      </c>
      <c r="BJ85" s="59">
        <f t="shared" si="92"/>
        <v>119.60076838354843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1.4897337966952101E-8</v>
      </c>
      <c r="BS85" s="22">
        <f t="shared" si="63"/>
        <v>1.4897337966952101E-8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3</v>
      </c>
      <c r="BY85" s="12">
        <f>IF('Données projet'!$A$114&gt;35,BY84+BX85-CG84,IF(A85&lt;'Données projet'!$A$114,$BV$205^A85,IF(A85='Données projet'!$A$114,'Données projet'!$B$114,BY84+BX85-CG84)))</f>
        <v>143</v>
      </c>
      <c r="BZ85" s="13">
        <f>BY85*VLOOKUP('Données projet'!$B$12,Paramètres!$A$1:$I$89,3,0)*VLOOKUP('Données projet'!$B$12,Paramètres!$A$1:$I$89,5,0)</f>
        <v>138.30959999999999</v>
      </c>
      <c r="CA85" s="13">
        <f t="shared" si="93"/>
        <v>35.909485234307901</v>
      </c>
      <c r="CB85" s="20">
        <f t="shared" si="64"/>
        <v>303.43157344975288</v>
      </c>
      <c r="CC85" s="59">
        <f t="shared" si="65"/>
        <v>596.76490678308619</v>
      </c>
      <c r="CD85" s="59">
        <f ca="1">AVERAGE(OFFSET($CC$3,0,0,'Données projet'!$E$12+1,1))-AVERAGE(OFFSET($H$3,0,0,'Données projet'!$E$12+1,1))</f>
        <v>135.95692658150551</v>
      </c>
      <c r="CE85" s="59">
        <f t="shared" si="94"/>
        <v>79.394119001888612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9.3286546822400425</v>
      </c>
      <c r="CL85" s="21">
        <f>EXP(-LN(2)/25)*CL84+(1-EXP(-LN(2)/25))/(LN(2)/25)*Calculateur!CG85*Calculateur!CI85*VLOOKUP('Données projet'!$B$12,Paramètres!$A$1:$I$89,3,0)*0.475*44/12</f>
        <v>3.7624583506023561</v>
      </c>
      <c r="CM85" s="21">
        <f>EXP(-LN(2)/2)*CM84+(1-EXP(-LN(2)/2))/(LN(2)/2)*CG85*CJ85*VLOOKUP('Données projet'!$B$12,Paramètres!$A$1:$I$89,3,0)*0.475*44/12</f>
        <v>0.50882946091289072</v>
      </c>
      <c r="CN85" s="22">
        <f t="shared" si="66"/>
        <v>13.59994249375529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3</v>
      </c>
      <c r="CT85" s="12">
        <f>IF('Données projet'!$A$140&gt;35,CT84+CS85-DB84,IF(A85&lt;'Données projet'!$A$140,$CQ$205^A85,IF(A85='Données projet'!$A$140,'Données projet'!$B$140,CT84+CS85-DB84)))</f>
        <v>143</v>
      </c>
      <c r="CU85" s="17">
        <f>CT85*VLOOKUP('Données projet'!$B$13,Paramètres!$A$1:$I$89,3,0)*VLOOKUP('Données projet'!$B$13,Paramètres!$A$1:$I$89,5,0)</f>
        <v>153.92519999999999</v>
      </c>
      <c r="CV85" s="13">
        <f t="shared" si="95"/>
        <v>39.469255934857685</v>
      </c>
      <c r="CW85" s="20">
        <f t="shared" si="67"/>
        <v>336.82867741987707</v>
      </c>
      <c r="CX85" s="59">
        <f t="shared" si="68"/>
        <v>630.16201075321032</v>
      </c>
      <c r="CY85" s="59">
        <f ca="1">AVERAGE(OFFSET($CX$3,0,0,'Données projet'!$E$13+1,1))-AVERAGE(OFFSET($H$3,0,0,'Données projet'!$E$13+1,1))</f>
        <v>158.74837032815333</v>
      </c>
      <c r="CZ85" s="59">
        <f t="shared" si="96"/>
        <v>92.286636088270086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10.381889888299398</v>
      </c>
      <c r="DG85" s="21">
        <f>EXP(-LN(2)/25)*DG84+(1-EXP(-LN(2)/25))/(LN(2)/25)*Calculateur!DB85*Calculateur!DD85*VLOOKUP('Données projet'!$B$13,Paramètres!$A$1:$I$89,3,0)*0.475*44/12</f>
        <v>4.1872520353477816</v>
      </c>
      <c r="DH85" s="21">
        <f>EXP(-LN(2)/2)*DH84+(1-EXP(-LN(2)/2))/(LN(2)/2)*DB85*DE85*VLOOKUP('Données projet'!$B$13,Paramètres!$A$1:$I$89,3,0)*0.475*44/12</f>
        <v>0.56627794843531387</v>
      </c>
      <c r="DI85" s="22">
        <f t="shared" si="69"/>
        <v>15.135419872082494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5.6</v>
      </c>
      <c r="N86" s="13">
        <f>IF('Données projet'!$A$36&gt;35,N85+M86-V85,IF(A86&lt;'Données projet'!$A$36,$K$205^A86,IF(A86='Données projet'!$A$36,'Données projet'!$B$36,N85+M86-V85)))</f>
        <v>256.80000000000035</v>
      </c>
      <c r="O86" s="13">
        <f>N86*VLOOKUP('Données projet'!$B$9,Paramètres!$A$1:$I$89,3,0)*VLOOKUP('Données projet'!$B$9,Paramètres!$A$1:$I$89,5,0)</f>
        <v>216.3283200000003</v>
      </c>
      <c r="P86" s="13">
        <f t="shared" si="87"/>
        <v>53.316084217295248</v>
      </c>
      <c r="Q86" s="20">
        <f t="shared" si="54"/>
        <v>469.63067067845645</v>
      </c>
      <c r="R86" s="59">
        <f t="shared" si="55"/>
        <v>762.96400401178971</v>
      </c>
      <c r="S86" s="59">
        <f ca="1">AVERAGE(OFFSET($R$3,0,0,'Données projet'!$E$9+1,1))-AVERAGE(OFFSET($H$3,0,0,'Données projet'!$E$9+1,1))</f>
        <v>231.91408074258248</v>
      </c>
      <c r="T86" s="59">
        <f t="shared" si="88"/>
        <v>143.57726487417773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4.5774133142478107E-6</v>
      </c>
      <c r="AC86" s="22">
        <f t="shared" si="57"/>
        <v>4.5774133142478107E-6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5.6</v>
      </c>
      <c r="AI86" s="13">
        <f>IF('Données projet'!$A$62&gt;35,AI85+AH86-AQ85,IF(A86&lt;'Données projet'!$A$62,$AF$205^A86,IF(A86='Données projet'!$A$62,'Données projet'!$B$62,AI85+AH86-AQ85)))</f>
        <v>256.80000000000035</v>
      </c>
      <c r="AJ86" s="13">
        <f>AI86*VLOOKUP('Données projet'!$B$10,Paramètres!$A$1:$I$89,3,0)*VLOOKUP('Données projet'!$B$10,Paramètres!$A$1:$I$89,5,0)</f>
        <v>232.35264000000029</v>
      </c>
      <c r="AK86" s="13">
        <f t="shared" si="89"/>
        <v>56.791075613550355</v>
      </c>
      <c r="AL86" s="20">
        <f t="shared" si="58"/>
        <v>503.59197136026728</v>
      </c>
      <c r="AM86" s="59">
        <f t="shared" si="59"/>
        <v>796.92530469360054</v>
      </c>
      <c r="AN86" s="59">
        <f ca="1">AVERAGE(OFFSET($AM$3,0,0,'Données projet'!$E$10+1,1))-AVERAGE(OFFSET($H$3,0,0,'Données projet'!$E$10+1,1))</f>
        <v>253.16772905022714</v>
      </c>
      <c r="AO86" s="59">
        <f t="shared" si="90"/>
        <v>156.67965022779907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4.9164809671550565E-6</v>
      </c>
      <c r="AX86" s="21">
        <f t="shared" si="60"/>
        <v>4.9164809671550565E-6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-2.8421709430404007E-14</v>
      </c>
      <c r="BE86" s="13">
        <f>BD86*VLOOKUP('Données projet'!$B$11,Paramètres!$A$1:$I$89,3,0)*VLOOKUP('Données projet'!$B$11,Paramètres!$A$1:$I$89,5,0)</f>
        <v>-1.6996182239381599E-14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119.24399403036387</v>
      </c>
      <c r="BJ86" s="59">
        <f t="shared" si="92"/>
        <v>119.60076838354843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1.0534008698059647E-8</v>
      </c>
      <c r="BS86" s="22">
        <f t="shared" si="63"/>
        <v>1.0534008698059647E-8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3</v>
      </c>
      <c r="BY86" s="12">
        <f>IF('Données projet'!$A$114&gt;35,BY85+BX86-CG85,IF(A86&lt;'Données projet'!$A$114,$BV$205^A86,IF(A86='Données projet'!$A$114,'Données projet'!$B$114,BY85+BX86-CG85)))</f>
        <v>146</v>
      </c>
      <c r="BZ86" s="13">
        <f>BY86*VLOOKUP('Données projet'!$B$12,Paramètres!$A$1:$I$89,3,0)*VLOOKUP('Données projet'!$B$12,Paramètres!$A$1:$I$89,5,0)</f>
        <v>141.21119999999999</v>
      </c>
      <c r="CA86" s="13">
        <f t="shared" si="93"/>
        <v>36.574335145278738</v>
      </c>
      <c r="CB86" s="20">
        <f t="shared" si="64"/>
        <v>309.64314037802711</v>
      </c>
      <c r="CC86" s="59">
        <f t="shared" si="65"/>
        <v>602.97647371136043</v>
      </c>
      <c r="CD86" s="59">
        <f ca="1">AVERAGE(OFFSET($CC$3,0,0,'Données projet'!$E$12+1,1))-AVERAGE(OFFSET($H$3,0,0,'Données projet'!$E$12+1,1))</f>
        <v>135.95692658150551</v>
      </c>
      <c r="CE86" s="59">
        <f t="shared" si="94"/>
        <v>79.394119001888612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9.1457254538388391</v>
      </c>
      <c r="CL86" s="21">
        <f>EXP(-LN(2)/25)*CL85+(1-EXP(-LN(2)/25))/(LN(2)/25)*Calculateur!CG86*Calculateur!CI86*VLOOKUP('Données projet'!$B$12,Paramètres!$A$1:$I$89,3,0)*0.475*44/12</f>
        <v>3.6595737291460493</v>
      </c>
      <c r="CM86" s="21">
        <f>EXP(-LN(2)/2)*CM85+(1-EXP(-LN(2)/2))/(LN(2)/2)*CG86*CJ86*VLOOKUP('Données projet'!$B$12,Paramètres!$A$1:$I$89,3,0)*0.475*44/12</f>
        <v>0.35979676227900037</v>
      </c>
      <c r="CN86" s="22">
        <f t="shared" si="66"/>
        <v>13.165095945263889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3</v>
      </c>
      <c r="CT86" s="12">
        <f>IF('Données projet'!$A$140&gt;35,CT85+CS86-DB85,IF(A86&lt;'Données projet'!$A$140,$CQ$205^A86,IF(A86='Données projet'!$A$140,'Données projet'!$B$140,CT85+CS86-DB85)))</f>
        <v>146</v>
      </c>
      <c r="CU86" s="17">
        <f>CT86*VLOOKUP('Données projet'!$B$13,Paramètres!$A$1:$I$89,3,0)*VLOOKUP('Données projet'!$B$13,Paramètres!$A$1:$I$89,5,0)</f>
        <v>157.15440000000001</v>
      </c>
      <c r="CV86" s="13">
        <f t="shared" si="95"/>
        <v>40.200013591870956</v>
      </c>
      <c r="CW86" s="20">
        <f t="shared" si="67"/>
        <v>343.72560367250861</v>
      </c>
      <c r="CX86" s="59">
        <f t="shared" si="68"/>
        <v>637.05893700584193</v>
      </c>
      <c r="CY86" s="59">
        <f ca="1">AVERAGE(OFFSET($CX$3,0,0,'Données projet'!$E$13+1,1))-AVERAGE(OFFSET($H$3,0,0,'Données projet'!$E$13+1,1))</f>
        <v>158.74837032815333</v>
      </c>
      <c r="CZ86" s="59">
        <f t="shared" si="96"/>
        <v>92.286636088270086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10.178307359917413</v>
      </c>
      <c r="DG86" s="21">
        <f>EXP(-LN(2)/25)*DG85+(1-EXP(-LN(2)/25))/(LN(2)/25)*Calculateur!DB86*Calculateur!DD86*VLOOKUP('Données projet'!$B$13,Paramètres!$A$1:$I$89,3,0)*0.475*44/12</f>
        <v>4.0727514082431817</v>
      </c>
      <c r="DH86" s="21">
        <f>EXP(-LN(2)/2)*DH85+(1-EXP(-LN(2)/2))/(LN(2)/2)*DB86*DE86*VLOOKUP('Données projet'!$B$13,Paramètres!$A$1:$I$89,3,0)*0.475*44/12</f>
        <v>0.40041897737501658</v>
      </c>
      <c r="DI86" s="22">
        <f t="shared" si="69"/>
        <v>14.651477745535612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5.6</v>
      </c>
      <c r="N87" s="13">
        <f>IF('Données projet'!$A$36&gt;35,N86+M87-V86,IF(A87&lt;'Données projet'!$A$36,$K$205^A87,IF(A87='Données projet'!$A$36,'Données projet'!$B$36,N86+M87-V86)))</f>
        <v>262.40000000000038</v>
      </c>
      <c r="O87" s="13">
        <f>N87*VLOOKUP('Données projet'!$B$9,Paramètres!$A$1:$I$89,3,0)*VLOOKUP('Données projet'!$B$9,Paramètres!$A$1:$I$89,5,0)</f>
        <v>221.04576000000037</v>
      </c>
      <c r="P87" s="13">
        <f t="shared" si="87"/>
        <v>54.3421137204191</v>
      </c>
      <c r="Q87" s="20">
        <f t="shared" si="54"/>
        <v>479.63388006306394</v>
      </c>
      <c r="R87" s="59">
        <f t="shared" si="55"/>
        <v>772.96721339639726</v>
      </c>
      <c r="S87" s="59">
        <f ca="1">AVERAGE(OFFSET($R$3,0,0,'Données projet'!$E$9+1,1))-AVERAGE(OFFSET($H$3,0,0,'Données projet'!$E$9+1,1))</f>
        <v>231.91408074258248</v>
      </c>
      <c r="T87" s="59">
        <f t="shared" si="88"/>
        <v>143.57726487417773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3.2367199947982161E-6</v>
      </c>
      <c r="AC87" s="22">
        <f t="shared" si="57"/>
        <v>3.2367199947982161E-6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5.6</v>
      </c>
      <c r="AI87" s="13">
        <f>IF('Données projet'!$A$62&gt;35,AI86+AH87-AQ86,IF(A87&lt;'Données projet'!$A$62,$AF$205^A87,IF(A87='Données projet'!$A$62,'Données projet'!$B$62,AI86+AH87-AQ86)))</f>
        <v>262.40000000000038</v>
      </c>
      <c r="AJ87" s="13">
        <f>AI87*VLOOKUP('Données projet'!$B$10,Paramètres!$A$1:$I$89,3,0)*VLOOKUP('Données projet'!$B$10,Paramètres!$A$1:$I$89,5,0)</f>
        <v>237.41952000000032</v>
      </c>
      <c r="AK87" s="13">
        <f t="shared" si="89"/>
        <v>57.883978814320969</v>
      </c>
      <c r="AL87" s="20">
        <f t="shared" si="58"/>
        <v>514.32026043494295</v>
      </c>
      <c r="AM87" s="59">
        <f t="shared" si="59"/>
        <v>807.65359376827632</v>
      </c>
      <c r="AN87" s="59">
        <f ca="1">AVERAGE(OFFSET($AM$3,0,0,'Données projet'!$E$10+1,1))-AVERAGE(OFFSET($H$3,0,0,'Données projet'!$E$10+1,1))</f>
        <v>253.16772905022714</v>
      </c>
      <c r="AO87" s="59">
        <f t="shared" si="90"/>
        <v>156.67965022779907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3.4764770314499362E-6</v>
      </c>
      <c r="AX87" s="21">
        <f t="shared" si="60"/>
        <v>3.4764770314499362E-6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-2.8421709430404007E-14</v>
      </c>
      <c r="BE87" s="13">
        <f>BD87*VLOOKUP('Données projet'!$B$11,Paramètres!$A$1:$I$89,3,0)*VLOOKUP('Données projet'!$B$11,Paramètres!$A$1:$I$89,5,0)</f>
        <v>-1.6996182239381599E-14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119.24399403036387</v>
      </c>
      <c r="BJ87" s="59">
        <f t="shared" si="92"/>
        <v>119.60076838354843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7.4486689834760521E-9</v>
      </c>
      <c r="BS87" s="22">
        <f t="shared" si="63"/>
        <v>7.4486689834760521E-9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3</v>
      </c>
      <c r="BY87" s="12">
        <f>IF('Données projet'!$A$114&gt;35,BY86+BX87-CG86,IF(A87&lt;'Données projet'!$A$114,$BV$205^A87,IF(A87='Données projet'!$A$114,'Données projet'!$B$114,BY86+BX87-CG86)))</f>
        <v>149</v>
      </c>
      <c r="BZ87" s="13">
        <f>BY87*VLOOKUP('Données projet'!$B$12,Paramètres!$A$1:$I$89,3,0)*VLOOKUP('Données projet'!$B$12,Paramètres!$A$1:$I$89,5,0)</f>
        <v>144.11279999999999</v>
      </c>
      <c r="CA87" s="13">
        <f t="shared" si="93"/>
        <v>37.237596662992502</v>
      </c>
      <c r="CB87" s="20">
        <f t="shared" si="64"/>
        <v>315.85194085471193</v>
      </c>
      <c r="CC87" s="59">
        <f t="shared" si="65"/>
        <v>609.18527418804524</v>
      </c>
      <c r="CD87" s="59">
        <f ca="1">AVERAGE(OFFSET($CC$3,0,0,'Données projet'!$E$12+1,1))-AVERAGE(OFFSET($H$3,0,0,'Données projet'!$E$12+1,1))</f>
        <v>135.95692658150551</v>
      </c>
      <c r="CE87" s="59">
        <f t="shared" si="94"/>
        <v>79.394119001888612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8.9663833560307715</v>
      </c>
      <c r="CL87" s="21">
        <f>EXP(-LN(2)/25)*CL86+(1-EXP(-LN(2)/25))/(LN(2)/25)*Calculateur!CG87*Calculateur!CI87*VLOOKUP('Données projet'!$B$12,Paramètres!$A$1:$I$89,3,0)*0.475*44/12</f>
        <v>3.5595024930739321</v>
      </c>
      <c r="CM87" s="21">
        <f>EXP(-LN(2)/2)*CM86+(1-EXP(-LN(2)/2))/(LN(2)/2)*CG87*CJ87*VLOOKUP('Données projet'!$B$12,Paramètres!$A$1:$I$89,3,0)*0.475*44/12</f>
        <v>0.25441473045644541</v>
      </c>
      <c r="CN87" s="22">
        <f t="shared" si="66"/>
        <v>12.78030057956115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3</v>
      </c>
      <c r="CT87" s="12">
        <f>IF('Données projet'!$A$140&gt;35,CT86+CS87-DB86,IF(A87&lt;'Données projet'!$A$140,$CQ$205^A87,IF(A87='Données projet'!$A$140,'Données projet'!$B$140,CT86+CS87-DB86)))</f>
        <v>149</v>
      </c>
      <c r="CU87" s="17">
        <f>CT87*VLOOKUP('Données projet'!$B$13,Paramètres!$A$1:$I$89,3,0)*VLOOKUP('Données projet'!$B$13,Paramètres!$A$1:$I$89,5,0)</f>
        <v>160.38359999999997</v>
      </c>
      <c r="CV87" s="13">
        <f t="shared" si="95"/>
        <v>40.929025395397851</v>
      </c>
      <c r="CW87" s="20">
        <f t="shared" si="67"/>
        <v>350.61948923031787</v>
      </c>
      <c r="CX87" s="59">
        <f t="shared" si="68"/>
        <v>643.95282256365113</v>
      </c>
      <c r="CY87" s="59">
        <f ca="1">AVERAGE(OFFSET($CX$3,0,0,'Données projet'!$E$13+1,1))-AVERAGE(OFFSET($H$3,0,0,'Données projet'!$E$13+1,1))</f>
        <v>158.74837032815333</v>
      </c>
      <c r="CZ87" s="59">
        <f t="shared" si="96"/>
        <v>92.286636088270086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9.9787169607439186</v>
      </c>
      <c r="DG87" s="21">
        <f>EXP(-LN(2)/25)*DG86+(1-EXP(-LN(2)/25))/(LN(2)/25)*Calculateur!DB87*Calculateur!DD87*VLOOKUP('Données projet'!$B$13,Paramètres!$A$1:$I$89,3,0)*0.475*44/12</f>
        <v>3.9613818068080837</v>
      </c>
      <c r="DH87" s="21">
        <f>EXP(-LN(2)/2)*DH86+(1-EXP(-LN(2)/2))/(LN(2)/2)*DB87*DE87*VLOOKUP('Données projet'!$B$13,Paramètres!$A$1:$I$89,3,0)*0.475*44/12</f>
        <v>0.28313897421765699</v>
      </c>
      <c r="DI87" s="22">
        <f t="shared" si="69"/>
        <v>14.223237741769658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5.6</v>
      </c>
      <c r="N88" s="13">
        <f>IF('Données projet'!$A$36&gt;35,N87+M88-V87,IF(A88&lt;'Données projet'!$A$36,$K$205^A88,IF(A88='Données projet'!$A$36,'Données projet'!$B$36,N87+M88-V87)))</f>
        <v>268.0000000000004</v>
      </c>
      <c r="O88" s="13">
        <f>N88*VLOOKUP('Données projet'!$B$9,Paramètres!$A$1:$I$89,3,0)*VLOOKUP('Données projet'!$B$9,Paramètres!$A$1:$I$89,5,0)</f>
        <v>225.76320000000035</v>
      </c>
      <c r="P88" s="13">
        <f t="shared" si="87"/>
        <v>55.365597375021501</v>
      </c>
      <c r="Q88" s="20">
        <f t="shared" si="54"/>
        <v>489.63265542816299</v>
      </c>
      <c r="R88" s="59">
        <f t="shared" si="55"/>
        <v>782.96598876149631</v>
      </c>
      <c r="S88" s="59">
        <f ca="1">AVERAGE(OFFSET($R$3,0,0,'Données projet'!$E$9+1,1))-AVERAGE(OFFSET($H$3,0,0,'Données projet'!$E$9+1,1))</f>
        <v>231.91408074258248</v>
      </c>
      <c r="T88" s="59">
        <f t="shared" si="88"/>
        <v>143.57726487417773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2.2887066571239054E-6</v>
      </c>
      <c r="AC88" s="22">
        <f t="shared" si="57"/>
        <v>2.2887066571239054E-6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5.6</v>
      </c>
      <c r="AI88" s="13">
        <f>IF('Données projet'!$A$62&gt;35,AI87+AH88-AQ87,IF(A88&lt;'Données projet'!$A$62,$AF$205^A88,IF(A88='Données projet'!$A$62,'Données projet'!$B$62,AI87+AH88-AQ87)))</f>
        <v>268.0000000000004</v>
      </c>
      <c r="AJ88" s="13">
        <f>AI88*VLOOKUP('Données projet'!$B$10,Paramètres!$A$1:$I$89,3,0)*VLOOKUP('Données projet'!$B$10,Paramètres!$A$1:$I$89,5,0)</f>
        <v>242.48640000000037</v>
      </c>
      <c r="AK88" s="13">
        <f t="shared" si="89"/>
        <v>58.974170235372526</v>
      </c>
      <c r="AL88" s="20">
        <f t="shared" si="58"/>
        <v>525.04382649327442</v>
      </c>
      <c r="AM88" s="59">
        <f t="shared" si="59"/>
        <v>818.37715982660779</v>
      </c>
      <c r="AN88" s="59">
        <f ca="1">AVERAGE(OFFSET($AM$3,0,0,'Données projet'!$E$10+1,1))-AVERAGE(OFFSET($H$3,0,0,'Données projet'!$E$10+1,1))</f>
        <v>253.16772905022714</v>
      </c>
      <c r="AO88" s="59">
        <f t="shared" si="90"/>
        <v>156.67965022779907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2.4582404835775283E-6</v>
      </c>
      <c r="AX88" s="21">
        <f t="shared" si="60"/>
        <v>2.4582404835775283E-6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-2.8421709430404007E-14</v>
      </c>
      <c r="BE88" s="13">
        <f>BD88*VLOOKUP('Données projet'!$B$11,Paramètres!$A$1:$I$89,3,0)*VLOOKUP('Données projet'!$B$11,Paramètres!$A$1:$I$89,5,0)</f>
        <v>-1.6996182239381599E-14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119.24399403036387</v>
      </c>
      <c r="BJ88" s="59">
        <f t="shared" si="92"/>
        <v>119.60076838354843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5.2670043490298245E-9</v>
      </c>
      <c r="BS88" s="22">
        <f t="shared" si="63"/>
        <v>5.2670043490298245E-9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152</v>
      </c>
      <c r="BW88" s="12">
        <f>VLOOKUP(A88,'Données projet'!$A$113:$I$133,9,0)</f>
        <v>3</v>
      </c>
      <c r="BX88" s="12">
        <f t="array" ref="BX88">INDEX(BW:BW,MIN(IF(ISNUMBER(BW88:BW284),ROW(BW88:BW284),"")))</f>
        <v>3</v>
      </c>
      <c r="BY88" s="12">
        <f>IF('Données projet'!$A$114&gt;35,BY87+BX88-CG87,IF(A88&lt;'Données projet'!$A$114,$BV$205^A88,IF(A88='Données projet'!$A$114,'Données projet'!$B$114,BY87+BX88-CG87)))</f>
        <v>152</v>
      </c>
      <c r="BZ88" s="13">
        <f>BY88*VLOOKUP('Données projet'!$B$12,Paramètres!$A$1:$I$89,3,0)*VLOOKUP('Données projet'!$B$12,Paramètres!$A$1:$I$89,5,0)</f>
        <v>147.01439999999999</v>
      </c>
      <c r="CA88" s="13">
        <f t="shared" si="93"/>
        <v>37.899305454176826</v>
      </c>
      <c r="CB88" s="20">
        <f t="shared" si="64"/>
        <v>322.05803699935797</v>
      </c>
      <c r="CC88" s="59">
        <f t="shared" si="65"/>
        <v>615.39137033269128</v>
      </c>
      <c r="CD88" s="59">
        <f ca="1">AVERAGE(OFFSET($CC$3,0,0,'Données projet'!$E$12+1,1))-AVERAGE(OFFSET($H$3,0,0,'Données projet'!$E$12+1,1))</f>
        <v>135.95692658150551</v>
      </c>
      <c r="CE88" s="59">
        <f t="shared" si="94"/>
        <v>79.394119001888612</v>
      </c>
      <c r="CF88" s="15">
        <f>IF(ISNA(VLOOKUP(A88,'Données projet'!$A$113:$I$133,3,0)),0,VLOOKUP(A88,'Données projet'!$A$113:$I$133,3,0))</f>
        <v>12</v>
      </c>
      <c r="CG88" s="15">
        <f>IF(ISNA(VLOOKUP(A88,'Données projet'!$A$113:$I$133,4,0)),0,VLOOKUP(A88,'Données projet'!$A$113:$I$133,4,0))</f>
        <v>9</v>
      </c>
      <c r="CH88" s="16">
        <f>IF(ISNA(VLOOKUP(A88,'Données projet'!$A$113:$I$133,5,0)),0%,VLOOKUP(A88,'Données projet'!$A$113:$I$133,5,0)*VLOOKUP('Données projet'!$B$12,Paramètres!$A$1:$I$89,7,0))</f>
        <v>0.25800000000000001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0.1</v>
      </c>
      <c r="CK88" s="21">
        <f>EXP(-LN(2)/35)*CK87+(1-EXP(-LN(2)/35))/(LN(2)/35)*CG88*CH88*VLOOKUP('Données projet'!$B$12,Paramètres!$A$1:$I$89,3,0)*0.475*44/12</f>
        <v>11.273265875790514</v>
      </c>
      <c r="CL88" s="21">
        <f>EXP(-LN(2)/25)*CL87+(1-EXP(-LN(2)/25))/(LN(2)/25)*Calculateur!CG88*Calculateur!CI88*VLOOKUP('Données projet'!$B$12,Paramètres!$A$1:$I$89,3,0)*0.475*44/12</f>
        <v>3.4621677102147248</v>
      </c>
      <c r="CM88" s="21">
        <f>EXP(-LN(2)/2)*CM87+(1-EXP(-LN(2)/2))/(LN(2)/2)*CG88*CJ88*VLOOKUP('Données projet'!$B$12,Paramètres!$A$1:$I$89,3,0)*0.475*44/12</f>
        <v>1.0012196897651986</v>
      </c>
      <c r="CN88" s="22">
        <f t="shared" si="66"/>
        <v>15.736653275770438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>
        <f>VLOOKUP(A88,'Données projet'!$A$139:$I$159,2,0)</f>
        <v>152</v>
      </c>
      <c r="CR88" s="12">
        <f>VLOOKUP(A88,'Données projet'!$A$139:$I$159,9,0)</f>
        <v>3</v>
      </c>
      <c r="CS88" s="12">
        <f t="array" ref="CS88">INDEX(CR:CR,MIN(IF(ISNUMBER(CR88:CR284),ROW(CR88:CR284),"")))</f>
        <v>3</v>
      </c>
      <c r="CT88" s="12">
        <f>IF('Données projet'!$A$140&gt;35,CT87+CS88-DB87,IF(A88&lt;'Données projet'!$A$140,$CQ$205^A88,IF(A88='Données projet'!$A$140,'Données projet'!$B$140,CT87+CS88-DB87)))</f>
        <v>152</v>
      </c>
      <c r="CU88" s="17">
        <f>CT88*VLOOKUP('Données projet'!$B$13,Paramètres!$A$1:$I$89,3,0)*VLOOKUP('Données projet'!$B$13,Paramètres!$A$1:$I$89,5,0)</f>
        <v>163.61279999999999</v>
      </c>
      <c r="CV88" s="13">
        <f t="shared" si="95"/>
        <v>41.656330547871804</v>
      </c>
      <c r="CW88" s="20">
        <f t="shared" si="67"/>
        <v>357.51040237087665</v>
      </c>
      <c r="CX88" s="59">
        <f t="shared" si="68"/>
        <v>650.84373570420996</v>
      </c>
      <c r="CY88" s="59">
        <f ca="1">AVERAGE(OFFSET($CX$3,0,0,'Données projet'!$E$13+1,1))-AVERAGE(OFFSET($H$3,0,0,'Données projet'!$E$13+1,1))</f>
        <v>158.74837032815333</v>
      </c>
      <c r="CZ88" s="59">
        <f t="shared" si="96"/>
        <v>92.286636088270086</v>
      </c>
      <c r="DA88" s="15">
        <f>IF(ISNA(VLOOKUP(A88,'Données projet'!$A$139:$I$159,3,0)),0,VLOOKUP(A88,'Données projet'!$A$139:$I$159,3,0))</f>
        <v>12</v>
      </c>
      <c r="DB88" s="15">
        <f>IF(ISNA(VLOOKUP(A88,'Données projet'!$A$139:$I$159,4,0)),0,VLOOKUP(A88,'Données projet'!$A$139:$I$159,4,0))</f>
        <v>9</v>
      </c>
      <c r="DC88" s="16">
        <f>IF(ISNA(VLOOKUP(A88,'Données projet'!$A$139:$I$159,5,0)),0%,VLOOKUP(A88,'Données projet'!$A$139:$I$159,5,0)*VLOOKUP('Données projet'!$B$13,Paramètres!$A$1:$I$89,7,0))</f>
        <v>0.25800000000000001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0.1</v>
      </c>
      <c r="DF88" s="21">
        <f>EXP(-LN(2)/35)*DF87+(1-EXP(-LN(2)/35))/(LN(2)/35)*DB88*DC88*VLOOKUP('Données projet'!$B$13,Paramètres!$A$1:$I$89,3,0)*0.475*44/12</f>
        <v>12.546053958541052</v>
      </c>
      <c r="DG88" s="21">
        <f>EXP(-LN(2)/25)*DG87+(1-EXP(-LN(2)/25))/(LN(2)/25)*Calculateur!DB88*Calculateur!DD88*VLOOKUP('Données projet'!$B$13,Paramètres!$A$1:$I$89,3,0)*0.475*44/12</f>
        <v>3.8530576129809013</v>
      </c>
      <c r="DH88" s="21">
        <f>EXP(-LN(2)/2)*DH87+(1-EXP(-LN(2)/2))/(LN(2)/2)*DB88*DE88*VLOOKUP('Données projet'!$B$13,Paramètres!$A$1:$I$89,3,0)*0.475*44/12</f>
        <v>1.1142606224806242</v>
      </c>
      <c r="DI88" s="22">
        <f t="shared" si="69"/>
        <v>17.513372194002578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5.6</v>
      </c>
      <c r="N89" s="13">
        <f>IF('Données projet'!$A$36&gt;35,N88+M89-V88,IF(A89&lt;'Données projet'!$A$36,$K$205^A89,IF(A89='Données projet'!$A$36,'Données projet'!$B$36,N88+M89-V88)))</f>
        <v>273.60000000000042</v>
      </c>
      <c r="O89" s="13">
        <f>N89*VLOOKUP('Données projet'!$B$9,Paramètres!$A$1:$I$89,3,0)*VLOOKUP('Données projet'!$B$9,Paramètres!$A$1:$I$89,5,0)</f>
        <v>230.48064000000036</v>
      </c>
      <c r="P89" s="13">
        <f t="shared" si="87"/>
        <v>56.386594506599842</v>
      </c>
      <c r="Q89" s="20">
        <f t="shared" si="54"/>
        <v>499.62710009899541</v>
      </c>
      <c r="R89" s="59">
        <f t="shared" si="55"/>
        <v>792.96043343232873</v>
      </c>
      <c r="S89" s="59">
        <f ca="1">AVERAGE(OFFSET($R$3,0,0,'Données projet'!$E$9+1,1))-AVERAGE(OFFSET($H$3,0,0,'Données projet'!$E$9+1,1))</f>
        <v>231.91408074258248</v>
      </c>
      <c r="T89" s="59">
        <f t="shared" si="88"/>
        <v>143.57726487417773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1.618359997399108E-6</v>
      </c>
      <c r="AC89" s="22">
        <f t="shared" si="57"/>
        <v>1.618359997399108E-6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5.6</v>
      </c>
      <c r="AI89" s="13">
        <f>IF('Données projet'!$A$62&gt;35,AI88+AH89-AQ88,IF(A89&lt;'Données projet'!$A$62,$AF$205^A89,IF(A89='Données projet'!$A$62,'Données projet'!$B$62,AI88+AH89-AQ88)))</f>
        <v>273.60000000000042</v>
      </c>
      <c r="AJ89" s="13">
        <f>AI89*VLOOKUP('Données projet'!$B$10,Paramètres!$A$1:$I$89,3,0)*VLOOKUP('Données projet'!$B$10,Paramètres!$A$1:$I$89,5,0)</f>
        <v>247.5532800000004</v>
      </c>
      <c r="AK89" s="13">
        <f t="shared" si="89"/>
        <v>60.061713068870304</v>
      </c>
      <c r="AL89" s="20">
        <f t="shared" si="58"/>
        <v>535.76277959494985</v>
      </c>
      <c r="AM89" s="59">
        <f t="shared" si="59"/>
        <v>829.09611292828322</v>
      </c>
      <c r="AN89" s="59">
        <f ca="1">AVERAGE(OFFSET($AM$3,0,0,'Données projet'!$E$10+1,1))-AVERAGE(OFFSET($H$3,0,0,'Données projet'!$E$10+1,1))</f>
        <v>253.16772905022714</v>
      </c>
      <c r="AO89" s="59">
        <f t="shared" si="90"/>
        <v>156.67965022779907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1.7382385157249681E-6</v>
      </c>
      <c r="AX89" s="21">
        <f t="shared" si="60"/>
        <v>1.7382385157249681E-6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-2.8421709430404007E-14</v>
      </c>
      <c r="BE89" s="13">
        <f>BD89*VLOOKUP('Données projet'!$B$11,Paramètres!$A$1:$I$89,3,0)*VLOOKUP('Données projet'!$B$11,Paramètres!$A$1:$I$89,5,0)</f>
        <v>-1.6996182239381599E-14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119.24399403036387</v>
      </c>
      <c r="BJ89" s="59">
        <f t="shared" si="92"/>
        <v>119.60076838354843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3.7243344917380265E-9</v>
      </c>
      <c r="BS89" s="22">
        <f t="shared" si="63"/>
        <v>3.7243344917380265E-9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3.2</v>
      </c>
      <c r="BY89" s="12">
        <f>IF('Données projet'!$A$114&gt;35,BY88+BX89-CG88,IF(A89&lt;'Données projet'!$A$114,$BV$205^A89,IF(A89='Données projet'!$A$114,'Données projet'!$B$114,BY88+BX89-CG88)))</f>
        <v>146.19999999999999</v>
      </c>
      <c r="BZ89" s="13">
        <f>BY89*VLOOKUP('Données projet'!$B$12,Paramètres!$A$1:$I$89,3,0)*VLOOKUP('Données projet'!$B$12,Paramètres!$A$1:$I$89,5,0)</f>
        <v>141.40464</v>
      </c>
      <c r="CA89" s="13">
        <f t="shared" si="93"/>
        <v>36.618601593681802</v>
      </c>
      <c r="CB89" s="20">
        <f t="shared" si="64"/>
        <v>310.05714577566249</v>
      </c>
      <c r="CC89" s="59">
        <f t="shared" si="65"/>
        <v>603.39047910899581</v>
      </c>
      <c r="CD89" s="59">
        <f ca="1">AVERAGE(OFFSET($CC$3,0,0,'Données projet'!$E$12+1,1))-AVERAGE(OFFSET($H$3,0,0,'Données projet'!$E$12+1,1))</f>
        <v>135.95692658150551</v>
      </c>
      <c r="CE89" s="59">
        <f t="shared" si="94"/>
        <v>79.394119001888612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11.052204007979496</v>
      </c>
      <c r="CL89" s="21">
        <f>EXP(-LN(2)/25)*CL88+(1-EXP(-LN(2)/25))/(LN(2)/25)*Calculateur!CG89*Calculateur!CI89*VLOOKUP('Données projet'!$B$12,Paramètres!$A$1:$I$89,3,0)*0.475*44/12</f>
        <v>3.3674945521114164</v>
      </c>
      <c r="CM89" s="21">
        <f>EXP(-LN(2)/2)*CM88+(1-EXP(-LN(2)/2))/(LN(2)/2)*CG89*CJ89*VLOOKUP('Données projet'!$B$12,Paramètres!$A$1:$I$89,3,0)*0.475*44/12</f>
        <v>0.70796923209046336</v>
      </c>
      <c r="CN89" s="22">
        <f t="shared" si="66"/>
        <v>15.127667792181375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3.2</v>
      </c>
      <c r="CT89" s="12">
        <f>IF('Données projet'!$A$140&gt;35,CT88+CS89-DB88,IF(A89&lt;'Données projet'!$A$140,$CQ$205^A89,IF(A89='Données projet'!$A$140,'Données projet'!$B$140,CT88+CS89-DB88)))</f>
        <v>146.19999999999999</v>
      </c>
      <c r="CU89" s="17">
        <f>CT89*VLOOKUP('Données projet'!$B$13,Paramètres!$A$1:$I$89,3,0)*VLOOKUP('Données projet'!$B$13,Paramètres!$A$1:$I$89,5,0)</f>
        <v>157.36967999999999</v>
      </c>
      <c r="CV89" s="13">
        <f t="shared" si="95"/>
        <v>40.248668251494934</v>
      </c>
      <c r="CW89" s="20">
        <f t="shared" si="67"/>
        <v>344.18528987135369</v>
      </c>
      <c r="CX89" s="59">
        <f t="shared" si="68"/>
        <v>637.51862320468695</v>
      </c>
      <c r="CY89" s="59">
        <f ca="1">AVERAGE(OFFSET($CX$3,0,0,'Données projet'!$E$13+1,1))-AVERAGE(OFFSET($H$3,0,0,'Données projet'!$E$13+1,1))</f>
        <v>158.74837032815333</v>
      </c>
      <c r="CZ89" s="59">
        <f t="shared" si="96"/>
        <v>92.286636088270086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12.300033492751371</v>
      </c>
      <c r="DG89" s="21">
        <f>EXP(-LN(2)/25)*DG88+(1-EXP(-LN(2)/25))/(LN(2)/25)*Calculateur!DB89*Calculateur!DD89*VLOOKUP('Données projet'!$B$13,Paramètres!$A$1:$I$89,3,0)*0.475*44/12</f>
        <v>3.747695549930445</v>
      </c>
      <c r="DH89" s="21">
        <f>EXP(-LN(2)/2)*DH88+(1-EXP(-LN(2)/2))/(LN(2)/2)*DB89*DE89*VLOOKUP('Données projet'!$B$13,Paramètres!$A$1:$I$89,3,0)*0.475*44/12</f>
        <v>0.78790124216519297</v>
      </c>
      <c r="DI89" s="22">
        <f t="shared" si="69"/>
        <v>16.83563028484701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5.6</v>
      </c>
      <c r="N90" s="13">
        <f>IF('Données projet'!$A$36&gt;35,N89+M90-V89,IF(A90&lt;'Données projet'!$A$36,$K$205^A90,IF(A90='Données projet'!$A$36,'Données projet'!$B$36,N89+M90-V89)))</f>
        <v>279.20000000000044</v>
      </c>
      <c r="O90" s="13">
        <f>N90*VLOOKUP('Données projet'!$B$9,Paramètres!$A$1:$I$89,3,0)*VLOOKUP('Données projet'!$B$9,Paramètres!$A$1:$I$89,5,0)</f>
        <v>235.1980800000004</v>
      </c>
      <c r="P90" s="13">
        <f t="shared" si="87"/>
        <v>57.405161873303257</v>
      </c>
      <c r="Q90" s="20">
        <f t="shared" si="54"/>
        <v>509.61731292933717</v>
      </c>
      <c r="R90" s="59">
        <f t="shared" si="55"/>
        <v>802.95064626267049</v>
      </c>
      <c r="S90" s="59">
        <f ca="1">AVERAGE(OFFSET($R$3,0,0,'Données projet'!$E$9+1,1))-AVERAGE(OFFSET($H$3,0,0,'Données projet'!$E$9+1,1))</f>
        <v>231.91408074258248</v>
      </c>
      <c r="T90" s="59">
        <f t="shared" si="88"/>
        <v>143.57726487417773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1.1443533285619527E-6</v>
      </c>
      <c r="AC90" s="22">
        <f t="shared" si="57"/>
        <v>1.1443533285619527E-6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5.6</v>
      </c>
      <c r="AI90" s="13">
        <f>IF('Données projet'!$A$62&gt;35,AI89+AH90-AQ89,IF(A90&lt;'Données projet'!$A$62,$AF$205^A90,IF(A90='Données projet'!$A$62,'Données projet'!$B$62,AI89+AH90-AQ89)))</f>
        <v>279.20000000000044</v>
      </c>
      <c r="AJ90" s="13">
        <f>AI90*VLOOKUP('Données projet'!$B$10,Paramètres!$A$1:$I$89,3,0)*VLOOKUP('Données projet'!$B$10,Paramètres!$A$1:$I$89,5,0)</f>
        <v>252.62016000000037</v>
      </c>
      <c r="AK90" s="13">
        <f t="shared" si="89"/>
        <v>61.146667772298876</v>
      </c>
      <c r="AL90" s="20">
        <f t="shared" si="58"/>
        <v>546.47722503675448</v>
      </c>
      <c r="AM90" s="59">
        <f t="shared" si="59"/>
        <v>839.81055837008785</v>
      </c>
      <c r="AN90" s="59">
        <f ca="1">AVERAGE(OFFSET($AM$3,0,0,'Données projet'!$E$10+1,1))-AVERAGE(OFFSET($H$3,0,0,'Données projet'!$E$10+1,1))</f>
        <v>253.16772905022714</v>
      </c>
      <c r="AO90" s="59">
        <f t="shared" si="90"/>
        <v>156.67965022779907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1.2291202417887641E-6</v>
      </c>
      <c r="AX90" s="21">
        <f t="shared" si="60"/>
        <v>1.2291202417887641E-6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-2.8421709430404007E-14</v>
      </c>
      <c r="BE90" s="13">
        <f>BD90*VLOOKUP('Données projet'!$B$11,Paramètres!$A$1:$I$89,3,0)*VLOOKUP('Données projet'!$B$11,Paramètres!$A$1:$I$89,5,0)</f>
        <v>-1.6996182239381599E-14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119.24399403036387</v>
      </c>
      <c r="BJ90" s="59">
        <f t="shared" si="92"/>
        <v>119.60076838354843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2.6335021745149127E-9</v>
      </c>
      <c r="BS90" s="22">
        <f t="shared" si="63"/>
        <v>2.6335021745149127E-9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3.2</v>
      </c>
      <c r="BY90" s="12">
        <f>IF('Données projet'!$A$114&gt;35,BY89+BX90-CG89,IF(A90&lt;'Données projet'!$A$114,$BV$205^A90,IF(A90='Données projet'!$A$114,'Données projet'!$B$114,BY89+BX90-CG89)))</f>
        <v>149.39999999999998</v>
      </c>
      <c r="BZ90" s="13">
        <f>BY90*VLOOKUP('Données projet'!$B$12,Paramètres!$A$1:$I$89,3,0)*VLOOKUP('Données projet'!$B$12,Paramètres!$A$1:$I$89,5,0)</f>
        <v>144.49967999999998</v>
      </c>
      <c r="CA90" s="13">
        <f t="shared" si="93"/>
        <v>37.325913454134138</v>
      </c>
      <c r="CB90" s="20">
        <f t="shared" si="64"/>
        <v>316.67957526595023</v>
      </c>
      <c r="CC90" s="59">
        <f t="shared" si="65"/>
        <v>610.01290859928349</v>
      </c>
      <c r="CD90" s="59">
        <f ca="1">AVERAGE(OFFSET($CC$3,0,0,'Données projet'!$E$12+1,1))-AVERAGE(OFFSET($H$3,0,0,'Données projet'!$E$12+1,1))</f>
        <v>135.95692658150551</v>
      </c>
      <c r="CE90" s="59">
        <f t="shared" si="94"/>
        <v>79.394119001888612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10.835477028561826</v>
      </c>
      <c r="CL90" s="21">
        <f>EXP(-LN(2)/25)*CL89+(1-EXP(-LN(2)/25))/(LN(2)/25)*Calculateur!CG90*Calculateur!CI90*VLOOKUP('Données projet'!$B$12,Paramètres!$A$1:$I$89,3,0)*0.475*44/12</f>
        <v>3.2754102364950879</v>
      </c>
      <c r="CM90" s="21">
        <f>EXP(-LN(2)/2)*CM89+(1-EXP(-LN(2)/2))/(LN(2)/2)*CG90*CJ90*VLOOKUP('Données projet'!$B$12,Paramètres!$A$1:$I$89,3,0)*0.475*44/12</f>
        <v>0.50060984488259941</v>
      </c>
      <c r="CN90" s="22">
        <f t="shared" si="66"/>
        <v>14.611497109939513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3.2</v>
      </c>
      <c r="CT90" s="12">
        <f>IF('Données projet'!$A$140&gt;35,CT89+CS90-DB89,IF(A90&lt;'Données projet'!$A$140,$CQ$205^A90,IF(A90='Données projet'!$A$140,'Données projet'!$B$140,CT89+CS90-DB89)))</f>
        <v>149.39999999999998</v>
      </c>
      <c r="CU90" s="17">
        <f>CT90*VLOOKUP('Données projet'!$B$13,Paramètres!$A$1:$I$89,3,0)*VLOOKUP('Données projet'!$B$13,Paramètres!$A$1:$I$89,5,0)</f>
        <v>160.81415999999996</v>
      </c>
      <c r="CV90" s="13">
        <f t="shared" si="95"/>
        <v>41.026097186045085</v>
      </c>
      <c r="CW90" s="20">
        <f t="shared" si="67"/>
        <v>351.53844793236181</v>
      </c>
      <c r="CX90" s="59">
        <f t="shared" si="68"/>
        <v>644.87178126569506</v>
      </c>
      <c r="CY90" s="59">
        <f ca="1">AVERAGE(OFFSET($CX$3,0,0,'Données projet'!$E$13+1,1))-AVERAGE(OFFSET($H$3,0,0,'Données projet'!$E$13+1,1))</f>
        <v>158.74837032815333</v>
      </c>
      <c r="CZ90" s="59">
        <f t="shared" si="96"/>
        <v>92.286636088270086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12.05883733823816</v>
      </c>
      <c r="DG90" s="21">
        <f>EXP(-LN(2)/25)*DG89+(1-EXP(-LN(2)/25))/(LN(2)/25)*Calculateur!DB90*Calculateur!DD90*VLOOKUP('Données projet'!$B$13,Paramètres!$A$1:$I$89,3,0)*0.475*44/12</f>
        <v>3.6452146180348532</v>
      </c>
      <c r="DH90" s="21">
        <f>EXP(-LN(2)/2)*DH89+(1-EXP(-LN(2)/2))/(LN(2)/2)*DB90*DE90*VLOOKUP('Données projet'!$B$13,Paramètres!$A$1:$I$89,3,0)*0.475*44/12</f>
        <v>0.55713031124031209</v>
      </c>
      <c r="DI90" s="22">
        <f t="shared" si="69"/>
        <v>16.261182267513323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5.6</v>
      </c>
      <c r="N91" s="13">
        <f>IF('Données projet'!$A$36&gt;35,N90+M91-V90,IF(A91&lt;'Données projet'!$A$36,$K$205^A91,IF(A91='Données projet'!$A$36,'Données projet'!$B$36,N90+M91-V90)))</f>
        <v>284.80000000000047</v>
      </c>
      <c r="O91" s="13">
        <f>N91*VLOOKUP('Données projet'!$B$9,Paramètres!$A$1:$I$89,3,0)*VLOOKUP('Données projet'!$B$9,Paramètres!$A$1:$I$89,5,0)</f>
        <v>239.91552000000041</v>
      </c>
      <c r="P91" s="13">
        <f t="shared" si="87"/>
        <v>58.421353826264053</v>
      </c>
      <c r="Q91" s="20">
        <f t="shared" si="54"/>
        <v>519.60338858074385</v>
      </c>
      <c r="R91" s="59">
        <f t="shared" si="55"/>
        <v>812.93672191407722</v>
      </c>
      <c r="S91" s="59">
        <f ca="1">AVERAGE(OFFSET($R$3,0,0,'Données projet'!$E$9+1,1))-AVERAGE(OFFSET($H$3,0,0,'Données projet'!$E$9+1,1))</f>
        <v>231.91408074258248</v>
      </c>
      <c r="T91" s="59">
        <f t="shared" si="88"/>
        <v>143.57726487417773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8.0917999869955402E-7</v>
      </c>
      <c r="AC91" s="22">
        <f t="shared" si="57"/>
        <v>8.0917999869955402E-7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5.6</v>
      </c>
      <c r="AI91" s="13">
        <f>IF('Données projet'!$A$62&gt;35,AI90+AH91-AQ90,IF(A91&lt;'Données projet'!$A$62,$AF$205^A91,IF(A91='Données projet'!$A$62,'Données projet'!$B$62,AI90+AH91-AQ90)))</f>
        <v>284.80000000000047</v>
      </c>
      <c r="AJ91" s="13">
        <f>AI91*VLOOKUP('Données projet'!$B$10,Paramètres!$A$1:$I$89,3,0)*VLOOKUP('Données projet'!$B$10,Paramètres!$A$1:$I$89,5,0)</f>
        <v>257.68704000000042</v>
      </c>
      <c r="AK91" s="13">
        <f t="shared" si="89"/>
        <v>62.229092239243457</v>
      </c>
      <c r="AL91" s="20">
        <f t="shared" si="58"/>
        <v>557.18726365001646</v>
      </c>
      <c r="AM91" s="59">
        <f t="shared" si="59"/>
        <v>850.52059698334983</v>
      </c>
      <c r="AN91" s="59">
        <f ca="1">AVERAGE(OFFSET($AM$3,0,0,'Données projet'!$E$10+1,1))-AVERAGE(OFFSET($H$3,0,0,'Données projet'!$E$10+1,1))</f>
        <v>253.16772905022714</v>
      </c>
      <c r="AO91" s="59">
        <f t="shared" si="90"/>
        <v>156.67965022779907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8.6911925786248404E-7</v>
      </c>
      <c r="AX91" s="21">
        <f t="shared" si="60"/>
        <v>8.6911925786248404E-7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-2.8421709430404007E-14</v>
      </c>
      <c r="BE91" s="13">
        <f>BD91*VLOOKUP('Données projet'!$B$11,Paramètres!$A$1:$I$89,3,0)*VLOOKUP('Données projet'!$B$11,Paramètres!$A$1:$I$89,5,0)</f>
        <v>-1.6996182239381599E-14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119.24399403036387</v>
      </c>
      <c r="BJ91" s="59">
        <f t="shared" si="92"/>
        <v>119.60076838354843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1.8621672458690136E-9</v>
      </c>
      <c r="BS91" s="22">
        <f t="shared" si="63"/>
        <v>1.8621672458690136E-9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3.2</v>
      </c>
      <c r="BY91" s="12">
        <f>IF('Données projet'!$A$114&gt;35,BY90+BX91-CG90,IF(A91&lt;'Données projet'!$A$114,$BV$205^A91,IF(A91='Données projet'!$A$114,'Données projet'!$B$114,BY90+BX91-CG90)))</f>
        <v>152.59999999999997</v>
      </c>
      <c r="BZ91" s="13">
        <f>BY91*VLOOKUP('Données projet'!$B$12,Paramètres!$A$1:$I$89,3,0)*VLOOKUP('Données projet'!$B$12,Paramètres!$A$1:$I$89,5,0)</f>
        <v>147.59471999999997</v>
      </c>
      <c r="CA91" s="13">
        <f t="shared" si="93"/>
        <v>38.031463918082679</v>
      </c>
      <c r="CB91" s="20">
        <f t="shared" si="64"/>
        <v>323.29893699066059</v>
      </c>
      <c r="CC91" s="59">
        <f t="shared" si="65"/>
        <v>616.63227032399391</v>
      </c>
      <c r="CD91" s="59">
        <f ca="1">AVERAGE(OFFSET($CC$3,0,0,'Données projet'!$E$12+1,1))-AVERAGE(OFFSET($H$3,0,0,'Données projet'!$E$12+1,1))</f>
        <v>135.95692658150551</v>
      </c>
      <c r="CE91" s="59">
        <f t="shared" si="94"/>
        <v>79.394119001888612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10.622999933020132</v>
      </c>
      <c r="CL91" s="21">
        <f>EXP(-LN(2)/25)*CL90+(1-EXP(-LN(2)/25))/(LN(2)/25)*Calculateur!CG91*Calculateur!CI91*VLOOKUP('Données projet'!$B$12,Paramètres!$A$1:$I$89,3,0)*0.475*44/12</f>
        <v>3.1858439713317916</v>
      </c>
      <c r="CM91" s="21">
        <f>EXP(-LN(2)/2)*CM90+(1-EXP(-LN(2)/2))/(LN(2)/2)*CG91*CJ91*VLOOKUP('Données projet'!$B$12,Paramètres!$A$1:$I$89,3,0)*0.475*44/12</f>
        <v>0.35398461604523174</v>
      </c>
      <c r="CN91" s="22">
        <f t="shared" si="66"/>
        <v>14.162828520397156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3.2</v>
      </c>
      <c r="CT91" s="12">
        <f>IF('Données projet'!$A$140&gt;35,CT90+CS91-DB90,IF(A91&lt;'Données projet'!$A$140,$CQ$205^A91,IF(A91='Données projet'!$A$140,'Données projet'!$B$140,CT90+CS91-DB90)))</f>
        <v>152.59999999999997</v>
      </c>
      <c r="CU91" s="17">
        <f>CT91*VLOOKUP('Données projet'!$B$13,Paramètres!$A$1:$I$89,3,0)*VLOOKUP('Données projet'!$B$13,Paramètres!$A$1:$I$89,5,0)</f>
        <v>164.25863999999996</v>
      </c>
      <c r="CV91" s="13">
        <f t="shared" si="95"/>
        <v>41.80159011374478</v>
      </c>
      <c r="CW91" s="20">
        <f t="shared" si="67"/>
        <v>358.8882341147721</v>
      </c>
      <c r="CX91" s="59">
        <f t="shared" si="68"/>
        <v>652.22156744810536</v>
      </c>
      <c r="CY91" s="59">
        <f ca="1">AVERAGE(OFFSET($CX$3,0,0,'Données projet'!$E$13+1,1))-AVERAGE(OFFSET($H$3,0,0,'Données projet'!$E$13+1,1))</f>
        <v>158.74837032815333</v>
      </c>
      <c r="CZ91" s="59">
        <f t="shared" si="96"/>
        <v>92.286636088270086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11.822370893199823</v>
      </c>
      <c r="DG91" s="21">
        <f>EXP(-LN(2)/25)*DG90+(1-EXP(-LN(2)/25))/(LN(2)/25)*Calculateur!DB91*Calculateur!DD91*VLOOKUP('Données projet'!$B$13,Paramètres!$A$1:$I$89,3,0)*0.475*44/12</f>
        <v>3.5455360326111847</v>
      </c>
      <c r="DH91" s="21">
        <f>EXP(-LN(2)/2)*DH90+(1-EXP(-LN(2)/2))/(LN(2)/2)*DB91*DE91*VLOOKUP('Données projet'!$B$13,Paramètres!$A$1:$I$89,3,0)*0.475*44/12</f>
        <v>0.39395062108259649</v>
      </c>
      <c r="DI91" s="22">
        <f t="shared" si="69"/>
        <v>15.761857546893605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5.6</v>
      </c>
      <c r="N92" s="13">
        <f>IF('Données projet'!$A$36&gt;35,N91+M92-V91,IF(A92&lt;'Données projet'!$A$36,$K$205^A92,IF(A92='Données projet'!$A$36,'Données projet'!$B$36,N91+M92-V91)))</f>
        <v>290.40000000000049</v>
      </c>
      <c r="O92" s="13">
        <f>N92*VLOOKUP('Données projet'!$B$9,Paramètres!$A$1:$I$89,3,0)*VLOOKUP('Données projet'!$B$9,Paramètres!$A$1:$I$89,5,0)</f>
        <v>244.63296000000045</v>
      </c>
      <c r="P92" s="13">
        <f t="shared" si="87"/>
        <v>59.435222456963338</v>
      </c>
      <c r="Q92" s="20">
        <f t="shared" si="54"/>
        <v>529.58541777921187</v>
      </c>
      <c r="R92" s="59">
        <f t="shared" si="55"/>
        <v>822.91875111254512</v>
      </c>
      <c r="S92" s="59">
        <f ca="1">AVERAGE(OFFSET($R$3,0,0,'Données projet'!$E$9+1,1))-AVERAGE(OFFSET($H$3,0,0,'Données projet'!$E$9+1,1))</f>
        <v>231.91408074258248</v>
      </c>
      <c r="T92" s="59">
        <f t="shared" si="88"/>
        <v>143.57726487417773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5.7217666428097634E-7</v>
      </c>
      <c r="AC92" s="22">
        <f t="shared" si="57"/>
        <v>5.7217666428097634E-7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5.6</v>
      </c>
      <c r="AI92" s="13">
        <f>IF('Données projet'!$A$62&gt;35,AI91+AH92-AQ91,IF(A92&lt;'Données projet'!$A$62,$AF$205^A92,IF(A92='Données projet'!$A$62,'Données projet'!$B$62,AI91+AH92-AQ91)))</f>
        <v>290.40000000000049</v>
      </c>
      <c r="AJ92" s="13">
        <f>AI92*VLOOKUP('Données projet'!$B$10,Paramètres!$A$1:$I$89,3,0)*VLOOKUP('Données projet'!$B$10,Paramètres!$A$1:$I$89,5,0)</f>
        <v>262.75392000000045</v>
      </c>
      <c r="AK92" s="13">
        <f t="shared" si="89"/>
        <v>63.309041956360382</v>
      </c>
      <c r="AL92" s="20">
        <f t="shared" si="58"/>
        <v>567.89299207399506</v>
      </c>
      <c r="AM92" s="59">
        <f t="shared" si="59"/>
        <v>861.22632540732843</v>
      </c>
      <c r="AN92" s="59">
        <f ca="1">AVERAGE(OFFSET($AM$3,0,0,'Données projet'!$E$10+1,1))-AVERAGE(OFFSET($H$3,0,0,'Données projet'!$E$10+1,1))</f>
        <v>253.16772905022714</v>
      </c>
      <c r="AO92" s="59">
        <f t="shared" si="90"/>
        <v>156.67965022779907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6.1456012089438207E-7</v>
      </c>
      <c r="AX92" s="21">
        <f t="shared" si="60"/>
        <v>6.1456012089438207E-7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-2.8421709430404007E-14</v>
      </c>
      <c r="BE92" s="13">
        <f>BD92*VLOOKUP('Données projet'!$B$11,Paramètres!$A$1:$I$89,3,0)*VLOOKUP('Données projet'!$B$11,Paramètres!$A$1:$I$89,5,0)</f>
        <v>-1.6996182239381599E-14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119.24399403036387</v>
      </c>
      <c r="BJ92" s="59">
        <f t="shared" si="92"/>
        <v>119.60076838354843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1.3167510872574565E-9</v>
      </c>
      <c r="BS92" s="22">
        <f t="shared" si="63"/>
        <v>1.3167510872574565E-9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3.2</v>
      </c>
      <c r="BY92" s="12">
        <f>IF('Données projet'!$A$114&gt;35,BY91+BX92-CG91,IF(A92&lt;'Données projet'!$A$114,$BV$205^A92,IF(A92='Données projet'!$A$114,'Données projet'!$B$114,BY91+BX92-CG91)))</f>
        <v>155.79999999999995</v>
      </c>
      <c r="BZ92" s="13">
        <f>BY92*VLOOKUP('Données projet'!$B$12,Paramètres!$A$1:$I$89,3,0)*VLOOKUP('Données projet'!$B$12,Paramètres!$A$1:$I$89,5,0)</f>
        <v>150.68975999999998</v>
      </c>
      <c r="CA92" s="13">
        <f t="shared" si="93"/>
        <v>38.735294176946205</v>
      </c>
      <c r="CB92" s="20">
        <f t="shared" si="64"/>
        <v>329.91530269151457</v>
      </c>
      <c r="CC92" s="59">
        <f t="shared" si="65"/>
        <v>623.24863602484788</v>
      </c>
      <c r="CD92" s="59">
        <f ca="1">AVERAGE(OFFSET($CC$3,0,0,'Données projet'!$E$12+1,1))-AVERAGE(OFFSET($H$3,0,0,'Données projet'!$E$12+1,1))</f>
        <v>135.95692658150551</v>
      </c>
      <c r="CE92" s="59">
        <f t="shared" si="94"/>
        <v>79.394119001888612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10.414689383723781</v>
      </c>
      <c r="CL92" s="21">
        <f>EXP(-LN(2)/25)*CL91+(1-EXP(-LN(2)/25))/(LN(2)/25)*Calculateur!CG92*Calculateur!CI92*VLOOKUP('Données projet'!$B$12,Paramètres!$A$1:$I$89,3,0)*0.475*44/12</f>
        <v>3.0987269003994706</v>
      </c>
      <c r="CM92" s="21">
        <f>EXP(-LN(2)/2)*CM91+(1-EXP(-LN(2)/2))/(LN(2)/2)*CG92*CJ92*VLOOKUP('Données projet'!$B$12,Paramètres!$A$1:$I$89,3,0)*0.475*44/12</f>
        <v>0.25030492244129976</v>
      </c>
      <c r="CN92" s="22">
        <f t="shared" si="66"/>
        <v>13.763721206564552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3.2</v>
      </c>
      <c r="CT92" s="12">
        <f>IF('Données projet'!$A$140&gt;35,CT91+CS92-DB91,IF(A92&lt;'Données projet'!$A$140,$CQ$205^A92,IF(A92='Données projet'!$A$140,'Données projet'!$B$140,CT91+CS92-DB91)))</f>
        <v>155.79999999999995</v>
      </c>
      <c r="CU92" s="17">
        <f>CT92*VLOOKUP('Données projet'!$B$13,Paramètres!$A$1:$I$89,3,0)*VLOOKUP('Données projet'!$B$13,Paramètres!$A$1:$I$89,5,0)</f>
        <v>167.70311999999996</v>
      </c>
      <c r="CV92" s="13">
        <f t="shared" si="95"/>
        <v>42.575192309390843</v>
      </c>
      <c r="CW92" s="20">
        <f t="shared" si="67"/>
        <v>366.23472727218899</v>
      </c>
      <c r="CX92" s="59">
        <f t="shared" si="68"/>
        <v>659.56806060552231</v>
      </c>
      <c r="CY92" s="59">
        <f ca="1">AVERAGE(OFFSET($CX$3,0,0,'Données projet'!$E$13+1,1))-AVERAGE(OFFSET($H$3,0,0,'Données projet'!$E$13+1,1))</f>
        <v>158.74837032815333</v>
      </c>
      <c r="CZ92" s="59">
        <f t="shared" si="96"/>
        <v>92.286636088270086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11.590541410918398</v>
      </c>
      <c r="DG92" s="21">
        <f>EXP(-LN(2)/25)*DG91+(1-EXP(-LN(2)/25))/(LN(2)/25)*Calculateur!DB92*Calculateur!DD92*VLOOKUP('Données projet'!$B$13,Paramètres!$A$1:$I$89,3,0)*0.475*44/12</f>
        <v>3.4485831633477955</v>
      </c>
      <c r="DH92" s="21">
        <f>EXP(-LN(2)/2)*DH91+(1-EXP(-LN(2)/2))/(LN(2)/2)*DB92*DE92*VLOOKUP('Données projet'!$B$13,Paramètres!$A$1:$I$89,3,0)*0.475*44/12</f>
        <v>0.27856515562015605</v>
      </c>
      <c r="DI92" s="22">
        <f t="shared" si="69"/>
        <v>15.317689729886348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296</v>
      </c>
      <c r="L93" s="12">
        <f>VLOOKUP(A93,'Données projet'!$A$35:$I$55,9,0)</f>
        <v>5.6</v>
      </c>
      <c r="M93" s="12">
        <f t="array" ref="M93">INDEX(L:L,MIN(IF(ISNUMBER(L93:L289),ROW(L93:L289),"")))</f>
        <v>5.6</v>
      </c>
      <c r="N93" s="13">
        <f>IF('Données projet'!$A$36&gt;35,N92+M93-V92,IF(A93&lt;'Données projet'!$A$36,$K$205^A93,IF(A93='Données projet'!$A$36,'Données projet'!$B$36,N92+M93-V92)))</f>
        <v>296.00000000000051</v>
      </c>
      <c r="O93" s="13">
        <f>N93*VLOOKUP('Données projet'!$B$9,Paramètres!$A$1:$I$89,3,0)*VLOOKUP('Données projet'!$B$9,Paramètres!$A$1:$I$89,5,0)</f>
        <v>249.35040000000046</v>
      </c>
      <c r="P93" s="13">
        <f t="shared" si="87"/>
        <v>60.446817732908272</v>
      </c>
      <c r="Q93" s="20">
        <f t="shared" si="54"/>
        <v>539.56348755148269</v>
      </c>
      <c r="R93" s="59">
        <f t="shared" si="55"/>
        <v>832.89682088481595</v>
      </c>
      <c r="S93" s="59">
        <f ca="1">AVERAGE(OFFSET($R$3,0,0,'Données projet'!$E$9+1,1))-AVERAGE(OFFSET($H$3,0,0,'Données projet'!$E$9+1,1))</f>
        <v>231.91408074258248</v>
      </c>
      <c r="T93" s="59">
        <f t="shared" si="88"/>
        <v>143.57726487417773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42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4.0458999934977701E-7</v>
      </c>
      <c r="AC93" s="22">
        <f t="shared" si="57"/>
        <v>4.0458999934977701E-7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296</v>
      </c>
      <c r="AG93" s="12">
        <f>VLOOKUP(A93,'Données projet'!$A$61:$I$81,9,0)</f>
        <v>5.6</v>
      </c>
      <c r="AH93" s="12">
        <f t="array" ref="AH93">INDEX(AG:AG,MIN(IF(ISNUMBER(AG93:AG289),ROW(AG93:AG289),"")))</f>
        <v>5.6</v>
      </c>
      <c r="AI93" s="13">
        <f>IF('Données projet'!$A$62&gt;35,AI92+AH93-AQ92,IF(A93&lt;'Données projet'!$A$62,$AF$205^A93,IF(A93='Données projet'!$A$62,'Données projet'!$B$62,AI92+AH93-AQ92)))</f>
        <v>296.00000000000051</v>
      </c>
      <c r="AJ93" s="13">
        <f>AI93*VLOOKUP('Données projet'!$B$10,Paramètres!$A$1:$I$89,3,0)*VLOOKUP('Données projet'!$B$10,Paramètres!$A$1:$I$89,5,0)</f>
        <v>267.82080000000047</v>
      </c>
      <c r="AK93" s="13">
        <f t="shared" si="89"/>
        <v>64.386570147897487</v>
      </c>
      <c r="AL93" s="20">
        <f t="shared" si="58"/>
        <v>578.59450300758897</v>
      </c>
      <c r="AM93" s="59">
        <f t="shared" si="59"/>
        <v>871.92783634092234</v>
      </c>
      <c r="AN93" s="59">
        <f ca="1">AVERAGE(OFFSET($AM$3,0,0,'Données projet'!$E$10+1,1))-AVERAGE(OFFSET($H$3,0,0,'Données projet'!$E$10+1,1))</f>
        <v>253.16772905022714</v>
      </c>
      <c r="AO93" s="59">
        <f t="shared" si="90"/>
        <v>156.67965022779907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42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4.3455962893124202E-7</v>
      </c>
      <c r="AX93" s="21">
        <f t="shared" si="60"/>
        <v>4.3455962893124202E-7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-2.8421709430404007E-14</v>
      </c>
      <c r="BE93" s="13">
        <f>BD93*VLOOKUP('Données projet'!$B$11,Paramètres!$A$1:$I$89,3,0)*VLOOKUP('Données projet'!$B$11,Paramètres!$A$1:$I$89,5,0)</f>
        <v>-1.6996182239381599E-14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119.24399403036387</v>
      </c>
      <c r="BJ93" s="59">
        <f t="shared" si="92"/>
        <v>119.60076838354843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9.3108362293450692E-10</v>
      </c>
      <c r="BS93" s="22">
        <f t="shared" si="63"/>
        <v>9.3108362293450692E-10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159</v>
      </c>
      <c r="BW93" s="12">
        <f>VLOOKUP(A93,'Données projet'!$A$113:$I$133,9,0)</f>
        <v>3.2</v>
      </c>
      <c r="BX93" s="12">
        <f t="array" ref="BX93">INDEX(BW:BW,MIN(IF(ISNUMBER(BW93:BW289),ROW(BW93:BW289),"")))</f>
        <v>3.2</v>
      </c>
      <c r="BY93" s="12">
        <f>IF('Données projet'!$A$114&gt;35,BY92+BX93-CG92,IF(A93&lt;'Données projet'!$A$114,$BV$205^A93,IF(A93='Données projet'!$A$114,'Données projet'!$B$114,BY92+BX93-CG92)))</f>
        <v>158.99999999999994</v>
      </c>
      <c r="BZ93" s="13">
        <f>BY93*VLOOKUP('Données projet'!$B$12,Paramètres!$A$1:$I$89,3,0)*VLOOKUP('Données projet'!$B$12,Paramètres!$A$1:$I$89,5,0)</f>
        <v>153.78479999999996</v>
      </c>
      <c r="CA93" s="13">
        <f t="shared" si="93"/>
        <v>39.437443633352295</v>
      </c>
      <c r="CB93" s="20">
        <f t="shared" si="64"/>
        <v>336.5287409947552</v>
      </c>
      <c r="CC93" s="59">
        <f t="shared" si="65"/>
        <v>629.86207432808851</v>
      </c>
      <c r="CD93" s="59">
        <f ca="1">AVERAGE(OFFSET($CC$3,0,0,'Données projet'!$E$12+1,1))-AVERAGE(OFFSET($H$3,0,0,'Données projet'!$E$12+1,1))</f>
        <v>135.95692658150551</v>
      </c>
      <c r="CE93" s="59">
        <f t="shared" si="94"/>
        <v>79.394119001888612</v>
      </c>
      <c r="CF93" s="15">
        <f>IF(ISNA(VLOOKUP(A93,'Données projet'!$A$113:$I$133,3,0)),0,VLOOKUP(A93,'Données projet'!$A$113:$I$133,3,0))</f>
        <v>13</v>
      </c>
      <c r="CG93" s="15">
        <f>IF(ISNA(VLOOKUP(A93,'Données projet'!$A$113:$I$133,4,0)),0,VLOOKUP(A93,'Données projet'!$A$113:$I$133,4,0))</f>
        <v>9</v>
      </c>
      <c r="CH93" s="16">
        <f>IF(ISNA(VLOOKUP(A93,'Données projet'!$A$113:$I$133,5,0)),0%,VLOOKUP(A93,'Données projet'!$A$113:$I$133,5,0)*VLOOKUP('Données projet'!$B$12,Paramètres!$A$1:$I$89,7,0))</f>
        <v>0.25800000000000001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0.1</v>
      </c>
      <c r="CK93" s="21">
        <f>EXP(-LN(2)/35)*CK92+(1-EXP(-LN(2)/35))/(LN(2)/35)*CG93*CH93*VLOOKUP('Données projet'!$B$12,Paramètres!$A$1:$I$89,3,0)*0.475*44/12</f>
        <v>12.693171505659913</v>
      </c>
      <c r="CL93" s="21">
        <f>EXP(-LN(2)/25)*CL92+(1-EXP(-LN(2)/25))/(LN(2)/25)*Calculateur!CG93*Calculateur!CI93*VLOOKUP('Données projet'!$B$12,Paramètres!$A$1:$I$89,3,0)*0.475*44/12</f>
        <v>3.0139920503530817</v>
      </c>
      <c r="CM93" s="21">
        <f>EXP(-LN(2)/2)*CM92+(1-EXP(-LN(2)/2))/(LN(2)/2)*CG93*CJ93*VLOOKUP('Données projet'!$B$12,Paramètres!$A$1:$I$89,3,0)*0.475*44/12</f>
        <v>0.99831361664831431</v>
      </c>
      <c r="CN93" s="22">
        <f t="shared" si="66"/>
        <v>16.705477172661311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159</v>
      </c>
      <c r="CR93" s="12">
        <f>VLOOKUP(A93,'Données projet'!$A$139:$I$159,9,0)</f>
        <v>3.2</v>
      </c>
      <c r="CS93" s="12">
        <f t="array" ref="CS93">INDEX(CR:CR,MIN(IF(ISNUMBER(CR93:CR289),ROW(CR93:CR289),"")))</f>
        <v>3.2</v>
      </c>
      <c r="CT93" s="12">
        <f>IF('Données projet'!$A$140&gt;35,CT92+CS93-DB92,IF(A93&lt;'Données projet'!$A$140,$CQ$205^A93,IF(A93='Données projet'!$A$140,'Données projet'!$B$140,CT92+CS93-DB92)))</f>
        <v>158.99999999999994</v>
      </c>
      <c r="CU93" s="17">
        <f>CT93*VLOOKUP('Données projet'!$B$13,Paramètres!$A$1:$I$89,3,0)*VLOOKUP('Données projet'!$B$13,Paramètres!$A$1:$I$89,5,0)</f>
        <v>171.14759999999993</v>
      </c>
      <c r="CV93" s="13">
        <f t="shared" si="95"/>
        <v>43.346947081663025</v>
      </c>
      <c r="CW93" s="20">
        <f t="shared" si="67"/>
        <v>373.57800283389633</v>
      </c>
      <c r="CX93" s="59">
        <f t="shared" si="68"/>
        <v>666.91133616722959</v>
      </c>
      <c r="CY93" s="59">
        <f ca="1">AVERAGE(OFFSET($CX$3,0,0,'Données projet'!$E$13+1,1))-AVERAGE(OFFSET($H$3,0,0,'Données projet'!$E$13+1,1))</f>
        <v>158.74837032815333</v>
      </c>
      <c r="CZ93" s="59">
        <f t="shared" si="96"/>
        <v>92.286636088270086</v>
      </c>
      <c r="DA93" s="15">
        <f>IF(ISNA(VLOOKUP(A93,'Données projet'!$A$139:$I$159,3,0)),0,VLOOKUP(A93,'Données projet'!$A$139:$I$159,3,0))</f>
        <v>13</v>
      </c>
      <c r="DB93" s="15">
        <f>IF(ISNA(VLOOKUP(A93,'Données projet'!$A$139:$I$159,4,0)),0,VLOOKUP(A93,'Données projet'!$A$139:$I$159,4,0))</f>
        <v>9</v>
      </c>
      <c r="DC93" s="16">
        <f>IF(ISNA(VLOOKUP(A93,'Données projet'!$A$139:$I$159,5,0)),0%,VLOOKUP(A93,'Données projet'!$A$139:$I$159,5,0)*VLOOKUP('Données projet'!$B$13,Paramètres!$A$1:$I$89,7,0))</f>
        <v>0.25800000000000001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0.1</v>
      </c>
      <c r="DF93" s="21">
        <f>EXP(-LN(2)/35)*DF92+(1-EXP(-LN(2)/35))/(LN(2)/35)*DB93*DC93*VLOOKUP('Données projet'!$B$13,Paramètres!$A$1:$I$89,3,0)*0.475*44/12</f>
        <v>14.126271514363451</v>
      </c>
      <c r="DG93" s="21">
        <f>EXP(-LN(2)/25)*DG92+(1-EXP(-LN(2)/25))/(LN(2)/25)*Calculateur!DB93*Calculateur!DD93*VLOOKUP('Données projet'!$B$13,Paramètres!$A$1:$I$89,3,0)*0.475*44/12</f>
        <v>3.3542814753929431</v>
      </c>
      <c r="DH93" s="21">
        <f>EXP(-LN(2)/2)*DH92+(1-EXP(-LN(2)/2))/(LN(2)/2)*DB93*DE93*VLOOKUP('Données projet'!$B$13,Paramètres!$A$1:$I$89,3,0)*0.475*44/12</f>
        <v>1.111026444334414</v>
      </c>
      <c r="DI93" s="22">
        <f t="shared" si="69"/>
        <v>18.591579434090807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4.9000000000000004</v>
      </c>
      <c r="N94" s="13">
        <f>IF('Données projet'!$A$36&gt;35,N93+M94-V93,IF(A94&lt;'Données projet'!$A$36,$K$205^A94,IF(A94='Données projet'!$A$36,'Données projet'!$B$36,N93+M94-V93)))</f>
        <v>258.90000000000049</v>
      </c>
      <c r="O94" s="13">
        <f>N94*VLOOKUP('Données projet'!$B$9,Paramètres!$A$1:$I$89,3,0)*VLOOKUP('Données projet'!$B$9,Paramètres!$A$1:$I$89,5,0)</f>
        <v>218.09736000000044</v>
      </c>
      <c r="P94" s="13">
        <f t="shared" si="87"/>
        <v>53.701147500486286</v>
      </c>
      <c r="Q94" s="20">
        <f t="shared" si="54"/>
        <v>473.38240056334774</v>
      </c>
      <c r="R94" s="59">
        <f t="shared" si="55"/>
        <v>766.71573389668106</v>
      </c>
      <c r="S94" s="59">
        <f ca="1">AVERAGE(OFFSET($R$3,0,0,'Données projet'!$E$9+1,1))-AVERAGE(OFFSET($H$3,0,0,'Données projet'!$E$9+1,1))</f>
        <v>231.91408074258248</v>
      </c>
      <c r="T94" s="59">
        <f t="shared" si="88"/>
        <v>143.57726487417773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2.8608833214048817E-7</v>
      </c>
      <c r="AC94" s="22">
        <f t="shared" si="57"/>
        <v>2.8608833214048817E-7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4.9000000000000004</v>
      </c>
      <c r="AI94" s="13">
        <f>IF('Données projet'!$A$62&gt;35,AI93+AH94-AQ93,IF(A94&lt;'Données projet'!$A$62,$AF$205^A94,IF(A94='Données projet'!$A$62,'Données projet'!$B$62,AI93+AH94-AQ93)))</f>
        <v>258.90000000000049</v>
      </c>
      <c r="AJ94" s="13">
        <f>AI94*VLOOKUP('Données projet'!$B$10,Paramètres!$A$1:$I$89,3,0)*VLOOKUP('Données projet'!$B$10,Paramètres!$A$1:$I$89,5,0)</f>
        <v>234.25272000000041</v>
      </c>
      <c r="AK94" s="13">
        <f t="shared" si="89"/>
        <v>57.2012362311714</v>
      </c>
      <c r="AL94" s="20">
        <f t="shared" si="58"/>
        <v>507.61564043595746</v>
      </c>
      <c r="AM94" s="59">
        <f t="shared" si="59"/>
        <v>800.94897376929077</v>
      </c>
      <c r="AN94" s="59">
        <f ca="1">AVERAGE(OFFSET($AM$3,0,0,'Données projet'!$E$10+1,1))-AVERAGE(OFFSET($H$3,0,0,'Données projet'!$E$10+1,1))</f>
        <v>253.16772905022714</v>
      </c>
      <c r="AO94" s="59">
        <f t="shared" si="90"/>
        <v>156.67965022779907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3.0728006044719103E-7</v>
      </c>
      <c r="AX94" s="21">
        <f t="shared" si="60"/>
        <v>3.0728006044719103E-7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-2.8421709430404007E-14</v>
      </c>
      <c r="BE94" s="13">
        <f>BD94*VLOOKUP('Données projet'!$B$11,Paramètres!$A$1:$I$89,3,0)*VLOOKUP('Données projet'!$B$11,Paramètres!$A$1:$I$89,5,0)</f>
        <v>-1.6996182239381599E-14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119.24399403036387</v>
      </c>
      <c r="BJ94" s="59">
        <f t="shared" si="92"/>
        <v>119.60076838354843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6.5837554362872838E-10</v>
      </c>
      <c r="BS94" s="22">
        <f t="shared" si="63"/>
        <v>6.5837554362872838E-10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2.8</v>
      </c>
      <c r="BY94" s="12">
        <f>IF('Données projet'!$A$114&gt;35,BY93+BX94-CG93,IF(A94&lt;'Données projet'!$A$114,$BV$205^A94,IF(A94='Données projet'!$A$114,'Données projet'!$B$114,BY93+BX94-CG93)))</f>
        <v>152.79999999999995</v>
      </c>
      <c r="BZ94" s="13">
        <f>BY94*VLOOKUP('Données projet'!$B$12,Paramètres!$A$1:$I$89,3,0)*VLOOKUP('Données projet'!$B$12,Paramètres!$A$1:$I$89,5,0)</f>
        <v>147.78815999999998</v>
      </c>
      <c r="CA94" s="13">
        <f t="shared" si="93"/>
        <v>38.075503288306201</v>
      </c>
      <c r="CB94" s="20">
        <f t="shared" si="64"/>
        <v>323.71254689379992</v>
      </c>
      <c r="CC94" s="59">
        <f t="shared" si="65"/>
        <v>617.04588022713324</v>
      </c>
      <c r="CD94" s="59">
        <f ca="1">AVERAGE(OFFSET($CC$3,0,0,'Données projet'!$E$12+1,1))-AVERAGE(OFFSET($H$3,0,0,'Données projet'!$E$12+1,1))</f>
        <v>135.95692658150551</v>
      </c>
      <c r="CE94" s="59">
        <f t="shared" si="94"/>
        <v>79.394119001888612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12.444266154504074</v>
      </c>
      <c r="CL94" s="21">
        <f>EXP(-LN(2)/25)*CL93+(1-EXP(-LN(2)/25))/(LN(2)/25)*Calculateur!CG94*Calculateur!CI94*VLOOKUP('Données projet'!$B$12,Paramètres!$A$1:$I$89,3,0)*0.475*44/12</f>
        <v>2.9315742792372235</v>
      </c>
      <c r="CM94" s="21">
        <f>EXP(-LN(2)/2)*CM93+(1-EXP(-LN(2)/2))/(LN(2)/2)*CG94*CJ94*VLOOKUP('Données projet'!$B$12,Paramètres!$A$1:$I$89,3,0)*0.475*44/12</f>
        <v>0.70591432808289056</v>
      </c>
      <c r="CN94" s="22">
        <f t="shared" si="66"/>
        <v>16.081754761824186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2.8</v>
      </c>
      <c r="CT94" s="12">
        <f>IF('Données projet'!$A$140&gt;35,CT93+CS94-DB93,IF(A94&lt;'Données projet'!$A$140,$CQ$205^A94,IF(A94='Données projet'!$A$140,'Données projet'!$B$140,CT93+CS94-DB93)))</f>
        <v>152.79999999999995</v>
      </c>
      <c r="CU94" s="17">
        <f>CT94*VLOOKUP('Données projet'!$B$13,Paramètres!$A$1:$I$89,3,0)*VLOOKUP('Données projet'!$B$13,Paramètres!$A$1:$I$89,5,0)</f>
        <v>164.47391999999994</v>
      </c>
      <c r="CV94" s="13">
        <f t="shared" si="95"/>
        <v>41.84999518452819</v>
      </c>
      <c r="CW94" s="20">
        <f t="shared" si="67"/>
        <v>359.3474856130531</v>
      </c>
      <c r="CX94" s="59">
        <f t="shared" si="68"/>
        <v>652.68081894638635</v>
      </c>
      <c r="CY94" s="59">
        <f ca="1">AVERAGE(OFFSET($CX$3,0,0,'Données projet'!$E$13+1,1))-AVERAGE(OFFSET($H$3,0,0,'Données projet'!$E$13+1,1))</f>
        <v>158.74837032815333</v>
      </c>
      <c r="CZ94" s="59">
        <f t="shared" si="96"/>
        <v>92.286636088270086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13.84926394614163</v>
      </c>
      <c r="DG94" s="21">
        <f>EXP(-LN(2)/25)*DG93+(1-EXP(-LN(2)/25))/(LN(2)/25)*Calculateur!DB94*Calculateur!DD94*VLOOKUP('Données projet'!$B$13,Paramètres!$A$1:$I$89,3,0)*0.475*44/12</f>
        <v>3.2625584720543266</v>
      </c>
      <c r="DH94" s="21">
        <f>EXP(-LN(2)/2)*DH93+(1-EXP(-LN(2)/2))/(LN(2)/2)*DB94*DE94*VLOOKUP('Données projet'!$B$13,Paramètres!$A$1:$I$89,3,0)*0.475*44/12</f>
        <v>0.78561433286644244</v>
      </c>
      <c r="DI94" s="22">
        <f t="shared" si="69"/>
        <v>17.897436751062397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4.9000000000000004</v>
      </c>
      <c r="N95" s="13">
        <f>IF('Données projet'!$A$36&gt;35,N94+M95-V94,IF(A95&lt;'Données projet'!$A$36,$K$205^A95,IF(A95='Données projet'!$A$36,'Données projet'!$B$36,N94+M95-V94)))</f>
        <v>263.80000000000047</v>
      </c>
      <c r="O95" s="13">
        <f>N95*VLOOKUP('Données projet'!$B$9,Paramètres!$A$1:$I$89,3,0)*VLOOKUP('Données projet'!$B$9,Paramètres!$A$1:$I$89,5,0)</f>
        <v>222.2251200000004</v>
      </c>
      <c r="P95" s="13">
        <f t="shared" si="87"/>
        <v>54.598220944501996</v>
      </c>
      <c r="Q95" s="20">
        <f t="shared" si="54"/>
        <v>482.13398547834157</v>
      </c>
      <c r="R95" s="59">
        <f t="shared" si="55"/>
        <v>775.46731881167489</v>
      </c>
      <c r="S95" s="59">
        <f ca="1">AVERAGE(OFFSET($R$3,0,0,'Données projet'!$E$9+1,1))-AVERAGE(OFFSET($H$3,0,0,'Données projet'!$E$9+1,1))</f>
        <v>231.91408074258248</v>
      </c>
      <c r="T95" s="59">
        <f t="shared" si="88"/>
        <v>143.57726487417773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2.022949996748885E-7</v>
      </c>
      <c r="AC95" s="22">
        <f t="shared" si="57"/>
        <v>2.022949996748885E-7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4.9000000000000004</v>
      </c>
      <c r="AI95" s="13">
        <f>IF('Données projet'!$A$62&gt;35,AI94+AH95-AQ94,IF(A95&lt;'Données projet'!$A$62,$AF$205^A95,IF(A95='Données projet'!$A$62,'Données projet'!$B$62,AI94+AH95-AQ94)))</f>
        <v>263.80000000000047</v>
      </c>
      <c r="AJ95" s="13">
        <f>AI95*VLOOKUP('Données projet'!$B$10,Paramètres!$A$1:$I$89,3,0)*VLOOKUP('Données projet'!$B$10,Paramètres!$A$1:$I$89,5,0)</f>
        <v>238.6862400000004</v>
      </c>
      <c r="AK95" s="13">
        <f t="shared" si="89"/>
        <v>58.156778382060978</v>
      </c>
      <c r="AL95" s="20">
        <f t="shared" si="58"/>
        <v>517.00159034875685</v>
      </c>
      <c r="AM95" s="59">
        <f t="shared" si="59"/>
        <v>810.33492368209022</v>
      </c>
      <c r="AN95" s="59">
        <f ca="1">AVERAGE(OFFSET($AM$3,0,0,'Données projet'!$E$10+1,1))-AVERAGE(OFFSET($H$3,0,0,'Données projet'!$E$10+1,1))</f>
        <v>253.16772905022714</v>
      </c>
      <c r="AO95" s="59">
        <f t="shared" si="90"/>
        <v>156.67965022779907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2.1727981446562101E-7</v>
      </c>
      <c r="AX95" s="21">
        <f t="shared" si="60"/>
        <v>2.1727981446562101E-7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-2.8421709430404007E-14</v>
      </c>
      <c r="BE95" s="13">
        <f>BD95*VLOOKUP('Données projet'!$B$11,Paramètres!$A$1:$I$89,3,0)*VLOOKUP('Données projet'!$B$11,Paramètres!$A$1:$I$89,5,0)</f>
        <v>-1.6996182239381599E-14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119.24399403036387</v>
      </c>
      <c r="BJ95" s="59">
        <f t="shared" si="92"/>
        <v>119.60076838354843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4.6554181146725357E-10</v>
      </c>
      <c r="BS95" s="22">
        <f t="shared" si="63"/>
        <v>4.6554181146725357E-10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2.8</v>
      </c>
      <c r="BY95" s="12">
        <f>IF('Données projet'!$A$114&gt;35,BY94+BX95-CG94,IF(A95&lt;'Données projet'!$A$114,$BV$205^A95,IF(A95='Données projet'!$A$114,'Données projet'!$B$114,BY94+BX95-CG94)))</f>
        <v>155.59999999999997</v>
      </c>
      <c r="BZ95" s="13">
        <f>BY95*VLOOKUP('Données projet'!$B$12,Paramètres!$A$1:$I$89,3,0)*VLOOKUP('Données projet'!$B$12,Paramètres!$A$1:$I$89,5,0)</f>
        <v>150.49631999999997</v>
      </c>
      <c r="CA95" s="13">
        <f t="shared" si="93"/>
        <v>38.691354428217871</v>
      </c>
      <c r="CB95" s="20">
        <f t="shared" si="64"/>
        <v>329.5018662958127</v>
      </c>
      <c r="CC95" s="59">
        <f t="shared" si="65"/>
        <v>622.83519962914602</v>
      </c>
      <c r="CD95" s="59">
        <f ca="1">AVERAGE(OFFSET($CC$3,0,0,'Données projet'!$E$12+1,1))-AVERAGE(OFFSET($H$3,0,0,'Données projet'!$E$12+1,1))</f>
        <v>135.95692658150551</v>
      </c>
      <c r="CE95" s="59">
        <f t="shared" si="94"/>
        <v>79.394119001888612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12.200241685467129</v>
      </c>
      <c r="CL95" s="21">
        <f>EXP(-LN(2)/25)*CL94+(1-EXP(-LN(2)/25))/(LN(2)/25)*Calculateur!CG95*Calculateur!CI95*VLOOKUP('Données projet'!$B$12,Paramètres!$A$1:$I$89,3,0)*0.475*44/12</f>
        <v>2.8514102264066903</v>
      </c>
      <c r="CM95" s="21">
        <f>EXP(-LN(2)/2)*CM94+(1-EXP(-LN(2)/2))/(LN(2)/2)*CG95*CJ95*VLOOKUP('Données projet'!$B$12,Paramètres!$A$1:$I$89,3,0)*0.475*44/12</f>
        <v>0.49915680832415726</v>
      </c>
      <c r="CN95" s="22">
        <f t="shared" si="66"/>
        <v>15.550808720197976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2.8</v>
      </c>
      <c r="CT95" s="12">
        <f>IF('Données projet'!$A$140&gt;35,CT94+CS95-DB94,IF(A95&lt;'Données projet'!$A$140,$CQ$205^A95,IF(A95='Données projet'!$A$140,'Données projet'!$B$140,CT94+CS95-DB94)))</f>
        <v>155.59999999999997</v>
      </c>
      <c r="CU95" s="17">
        <f>CT95*VLOOKUP('Données projet'!$B$13,Paramètres!$A$1:$I$89,3,0)*VLOOKUP('Données projet'!$B$13,Paramètres!$A$1:$I$89,5,0)</f>
        <v>167.48783999999995</v>
      </c>
      <c r="CV95" s="13">
        <f t="shared" si="95"/>
        <v>42.526896735757454</v>
      </c>
      <c r="CW95" s="20">
        <f t="shared" si="67"/>
        <v>365.77566648144415</v>
      </c>
      <c r="CX95" s="59">
        <f t="shared" si="68"/>
        <v>659.10899981477746</v>
      </c>
      <c r="CY95" s="59">
        <f ca="1">AVERAGE(OFFSET($CX$3,0,0,'Données projet'!$E$13+1,1))-AVERAGE(OFFSET($H$3,0,0,'Données projet'!$E$13+1,1))</f>
        <v>158.74837032815333</v>
      </c>
      <c r="CZ95" s="59">
        <f t="shared" si="96"/>
        <v>92.286636088270086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13.577688327374705</v>
      </c>
      <c r="DG95" s="21">
        <f>EXP(-LN(2)/25)*DG94+(1-EXP(-LN(2)/25))/(LN(2)/25)*Calculateur!DB95*Calculateur!DD95*VLOOKUP('Données projet'!$B$13,Paramètres!$A$1:$I$89,3,0)*0.475*44/12</f>
        <v>3.1733436390655076</v>
      </c>
      <c r="DH95" s="21">
        <f>EXP(-LN(2)/2)*DH94+(1-EXP(-LN(2)/2))/(LN(2)/2)*DB95*DE95*VLOOKUP('Données projet'!$B$13,Paramètres!$A$1:$I$89,3,0)*0.475*44/12</f>
        <v>0.55551322216720711</v>
      </c>
      <c r="DI95" s="22">
        <f t="shared" si="69"/>
        <v>17.306545188607419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4.9000000000000004</v>
      </c>
      <c r="N96" s="13">
        <f>IF('Données projet'!$A$36&gt;35,N95+M96-V95,IF(A96&lt;'Données projet'!$A$36,$K$205^A96,IF(A96='Données projet'!$A$36,'Données projet'!$B$36,N95+M96-V95)))</f>
        <v>268.70000000000044</v>
      </c>
      <c r="O96" s="13">
        <f>N96*VLOOKUP('Données projet'!$B$9,Paramètres!$A$1:$I$89,3,0)*VLOOKUP('Données projet'!$B$9,Paramètres!$A$1:$I$89,5,0)</f>
        <v>226.3528800000004</v>
      </c>
      <c r="P96" s="13">
        <f t="shared" si="87"/>
        <v>55.493356810213065</v>
      </c>
      <c r="Q96" s="20">
        <f t="shared" si="54"/>
        <v>490.88219577778841</v>
      </c>
      <c r="R96" s="59">
        <f t="shared" si="55"/>
        <v>784.21552911112167</v>
      </c>
      <c r="S96" s="59">
        <f ca="1">AVERAGE(OFFSET($R$3,0,0,'Données projet'!$E$9+1,1))-AVERAGE(OFFSET($H$3,0,0,'Données projet'!$E$9+1,1))</f>
        <v>231.91408074258248</v>
      </c>
      <c r="T96" s="59">
        <f t="shared" si="88"/>
        <v>143.57726487417773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1.4304416607024409E-7</v>
      </c>
      <c r="AC96" s="22">
        <f t="shared" si="57"/>
        <v>1.4304416607024409E-7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4.9000000000000004</v>
      </c>
      <c r="AI96" s="13">
        <f>IF('Données projet'!$A$62&gt;35,AI95+AH96-AQ95,IF(A96&lt;'Données projet'!$A$62,$AF$205^A96,IF(A96='Données projet'!$A$62,'Données projet'!$B$62,AI95+AH96-AQ95)))</f>
        <v>268.70000000000044</v>
      </c>
      <c r="AJ96" s="13">
        <f>AI96*VLOOKUP('Données projet'!$B$10,Paramètres!$A$1:$I$89,3,0)*VLOOKUP('Données projet'!$B$10,Paramètres!$A$1:$I$89,5,0)</f>
        <v>243.11976000000041</v>
      </c>
      <c r="AK96" s="13">
        <f t="shared" si="89"/>
        <v>59.110256668778582</v>
      </c>
      <c r="AL96" s="20">
        <f t="shared" si="58"/>
        <v>526.3839456981234</v>
      </c>
      <c r="AM96" s="59">
        <f t="shared" si="59"/>
        <v>819.71727903145666</v>
      </c>
      <c r="AN96" s="59">
        <f ca="1">AVERAGE(OFFSET($AM$3,0,0,'Données projet'!$E$10+1,1))-AVERAGE(OFFSET($H$3,0,0,'Données projet'!$E$10+1,1))</f>
        <v>253.16772905022714</v>
      </c>
      <c r="AO96" s="59">
        <f t="shared" si="90"/>
        <v>156.67965022779907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1.5364003022359552E-7</v>
      </c>
      <c r="AX96" s="21">
        <f t="shared" si="60"/>
        <v>1.5364003022359552E-7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-2.8421709430404007E-14</v>
      </c>
      <c r="BE96" s="13">
        <f>BD96*VLOOKUP('Données projet'!$B$11,Paramètres!$A$1:$I$89,3,0)*VLOOKUP('Données projet'!$B$11,Paramètres!$A$1:$I$89,5,0)</f>
        <v>-1.6996182239381599E-14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119.24399403036387</v>
      </c>
      <c r="BJ96" s="59">
        <f t="shared" si="92"/>
        <v>119.60076838354843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3.2918777181436424E-10</v>
      </c>
      <c r="BS96" s="22">
        <f t="shared" si="63"/>
        <v>3.2918777181436424E-10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2.8</v>
      </c>
      <c r="BY96" s="12">
        <f>IF('Données projet'!$A$114&gt;35,BY95+BX96-CG95,IF(A96&lt;'Données projet'!$A$114,$BV$205^A96,IF(A96='Données projet'!$A$114,'Données projet'!$B$114,BY95+BX96-CG95)))</f>
        <v>158.39999999999998</v>
      </c>
      <c r="BZ96" s="13">
        <f>BY96*VLOOKUP('Données projet'!$B$12,Paramètres!$A$1:$I$89,3,0)*VLOOKUP('Données projet'!$B$12,Paramètres!$A$1:$I$89,5,0)</f>
        <v>153.20447999999999</v>
      </c>
      <c r="CA96" s="13">
        <f t="shared" si="93"/>
        <v>39.305916881892401</v>
      </c>
      <c r="CB96" s="20">
        <f t="shared" si="64"/>
        <v>335.28894123596257</v>
      </c>
      <c r="CC96" s="59">
        <f t="shared" si="65"/>
        <v>628.62227456929588</v>
      </c>
      <c r="CD96" s="59">
        <f ca="1">AVERAGE(OFFSET($CC$3,0,0,'Données projet'!$E$12+1,1))-AVERAGE(OFFSET($H$3,0,0,'Données projet'!$E$12+1,1))</f>
        <v>135.95692658150551</v>
      </c>
      <c r="CE96" s="59">
        <f t="shared" si="94"/>
        <v>79.394119001888612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11.961002387427769</v>
      </c>
      <c r="CL96" s="21">
        <f>EXP(-LN(2)/25)*CL95+(1-EXP(-LN(2)/25))/(LN(2)/25)*Calculateur!CG96*Calculateur!CI96*VLOOKUP('Données projet'!$B$12,Paramètres!$A$1:$I$89,3,0)*0.475*44/12</f>
        <v>2.7734382638164523</v>
      </c>
      <c r="CM96" s="21">
        <f>EXP(-LN(2)/2)*CM95+(1-EXP(-LN(2)/2))/(LN(2)/2)*CG96*CJ96*VLOOKUP('Données projet'!$B$12,Paramètres!$A$1:$I$89,3,0)*0.475*44/12</f>
        <v>0.35295716404144534</v>
      </c>
      <c r="CN96" s="22">
        <f t="shared" si="66"/>
        <v>15.087397815285666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2.8</v>
      </c>
      <c r="CT96" s="12">
        <f>IF('Données projet'!$A$140&gt;35,CT95+CS96-DB95,IF(A96&lt;'Données projet'!$A$140,$CQ$205^A96,IF(A96='Données projet'!$A$140,'Données projet'!$B$140,CT95+CS96-DB95)))</f>
        <v>158.39999999999998</v>
      </c>
      <c r="CU96" s="17">
        <f>CT96*VLOOKUP('Données projet'!$B$13,Paramètres!$A$1:$I$89,3,0)*VLOOKUP('Données projet'!$B$13,Paramètres!$A$1:$I$89,5,0)</f>
        <v>170.50175999999996</v>
      </c>
      <c r="CV96" s="13">
        <f t="shared" si="95"/>
        <v>43.202381851006599</v>
      </c>
      <c r="CW96" s="20">
        <f t="shared" si="67"/>
        <v>372.20138039050306</v>
      </c>
      <c r="CX96" s="59">
        <f t="shared" si="68"/>
        <v>665.53471372383638</v>
      </c>
      <c r="CY96" s="59">
        <f ca="1">AVERAGE(OFFSET($CX$3,0,0,'Données projet'!$E$13+1,1))-AVERAGE(OFFSET($H$3,0,0,'Données projet'!$E$13+1,1))</f>
        <v>158.74837032815333</v>
      </c>
      <c r="CZ96" s="59">
        <f t="shared" si="96"/>
        <v>92.286636088270086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13.311438140847029</v>
      </c>
      <c r="DG96" s="21">
        <f>EXP(-LN(2)/25)*DG95+(1-EXP(-LN(2)/25))/(LN(2)/25)*Calculateur!DB96*Calculateur!DD96*VLOOKUP('Données projet'!$B$13,Paramètres!$A$1:$I$89,3,0)*0.475*44/12</f>
        <v>3.0865683903763723</v>
      </c>
      <c r="DH96" s="21">
        <f>EXP(-LN(2)/2)*DH95+(1-EXP(-LN(2)/2))/(LN(2)/2)*DB96*DE96*VLOOKUP('Données projet'!$B$13,Paramètres!$A$1:$I$89,3,0)*0.475*44/12</f>
        <v>0.39280716643322133</v>
      </c>
      <c r="DI96" s="22">
        <f t="shared" si="69"/>
        <v>16.790813697656624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4.9000000000000004</v>
      </c>
      <c r="N97" s="13">
        <f>IF('Données projet'!$A$36&gt;35,N96+M97-V96,IF(A97&lt;'Données projet'!$A$36,$K$205^A97,IF(A97='Données projet'!$A$36,'Données projet'!$B$36,N96+M97-V96)))</f>
        <v>273.60000000000042</v>
      </c>
      <c r="O97" s="13">
        <f>N97*VLOOKUP('Données projet'!$B$9,Paramètres!$A$1:$I$89,3,0)*VLOOKUP('Données projet'!$B$9,Paramètres!$A$1:$I$89,5,0)</f>
        <v>230.48064000000036</v>
      </c>
      <c r="P97" s="13">
        <f t="shared" si="87"/>
        <v>56.386594506599842</v>
      </c>
      <c r="Q97" s="20">
        <f t="shared" si="54"/>
        <v>499.62710009899541</v>
      </c>
      <c r="R97" s="59">
        <f t="shared" si="55"/>
        <v>792.96043343232873</v>
      </c>
      <c r="S97" s="59">
        <f ca="1">AVERAGE(OFFSET($R$3,0,0,'Données projet'!$E$9+1,1))-AVERAGE(OFFSET($H$3,0,0,'Données projet'!$E$9+1,1))</f>
        <v>231.91408074258248</v>
      </c>
      <c r="T97" s="59">
        <f t="shared" si="88"/>
        <v>143.57726487417773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1.0114749983744425E-7</v>
      </c>
      <c r="AC97" s="22">
        <f t="shared" si="57"/>
        <v>1.0114749983744425E-7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4.9000000000000004</v>
      </c>
      <c r="AI97" s="13">
        <f>IF('Données projet'!$A$62&gt;35,AI96+AH97-AQ96,IF(A97&lt;'Données projet'!$A$62,$AF$205^A97,IF(A97='Données projet'!$A$62,'Données projet'!$B$62,AI96+AH97-AQ96)))</f>
        <v>273.60000000000042</v>
      </c>
      <c r="AJ97" s="13">
        <f>AI97*VLOOKUP('Données projet'!$B$10,Paramètres!$A$1:$I$89,3,0)*VLOOKUP('Données projet'!$B$10,Paramètres!$A$1:$I$89,5,0)</f>
        <v>247.5532800000004</v>
      </c>
      <c r="AK97" s="13">
        <f t="shared" si="89"/>
        <v>60.061713068870304</v>
      </c>
      <c r="AL97" s="20">
        <f t="shared" si="58"/>
        <v>535.76277959494985</v>
      </c>
      <c r="AM97" s="59">
        <f t="shared" si="59"/>
        <v>829.09611292828322</v>
      </c>
      <c r="AN97" s="59">
        <f ca="1">AVERAGE(OFFSET($AM$3,0,0,'Données projet'!$E$10+1,1))-AVERAGE(OFFSET($H$3,0,0,'Données projet'!$E$10+1,1))</f>
        <v>253.16772905022714</v>
      </c>
      <c r="AO97" s="59">
        <f t="shared" si="90"/>
        <v>156.67965022779907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1.0863990723281051E-7</v>
      </c>
      <c r="AX97" s="21">
        <f t="shared" si="60"/>
        <v>1.0863990723281051E-7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-2.8421709430404007E-14</v>
      </c>
      <c r="BE97" s="13">
        <f>BD97*VLOOKUP('Données projet'!$B$11,Paramètres!$A$1:$I$89,3,0)*VLOOKUP('Données projet'!$B$11,Paramètres!$A$1:$I$89,5,0)</f>
        <v>-1.6996182239381599E-14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119.24399403036387</v>
      </c>
      <c r="BJ97" s="59">
        <f t="shared" si="92"/>
        <v>119.60076838354843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2.3277090573362681E-10</v>
      </c>
      <c r="BS97" s="22">
        <f t="shared" si="63"/>
        <v>2.3277090573362681E-10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2.8</v>
      </c>
      <c r="BY97" s="12">
        <f>IF('Données projet'!$A$114&gt;35,BY96+BX97-CG96,IF(A97&lt;'Données projet'!$A$114,$BV$205^A97,IF(A97='Données projet'!$A$114,'Données projet'!$B$114,BY96+BX97-CG96)))</f>
        <v>161.19999999999999</v>
      </c>
      <c r="BZ97" s="13">
        <f>BY97*VLOOKUP('Données projet'!$B$12,Paramètres!$A$1:$I$89,3,0)*VLOOKUP('Données projet'!$B$12,Paramètres!$A$1:$I$89,5,0)</f>
        <v>155.91263999999998</v>
      </c>
      <c r="CA97" s="13">
        <f t="shared" si="93"/>
        <v>39.919216057228653</v>
      </c>
      <c r="CB97" s="20">
        <f t="shared" si="64"/>
        <v>341.07381596633985</v>
      </c>
      <c r="CC97" s="59">
        <f t="shared" si="65"/>
        <v>634.40714929967316</v>
      </c>
      <c r="CD97" s="59">
        <f ca="1">AVERAGE(OFFSET($CC$3,0,0,'Données projet'!$E$12+1,1))-AVERAGE(OFFSET($H$3,0,0,'Données projet'!$E$12+1,1))</f>
        <v>135.95692658150551</v>
      </c>
      <c r="CE97" s="59">
        <f t="shared" si="94"/>
        <v>79.394119001888612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11.726454426101396</v>
      </c>
      <c r="CL97" s="21">
        <f>EXP(-LN(2)/25)*CL96+(1-EXP(-LN(2)/25))/(LN(2)/25)*Calculateur!CG97*Calculateur!CI97*VLOOKUP('Données projet'!$B$12,Paramètres!$A$1:$I$89,3,0)*0.475*44/12</f>
        <v>2.6975984486436118</v>
      </c>
      <c r="CM97" s="21">
        <f>EXP(-LN(2)/2)*CM96+(1-EXP(-LN(2)/2))/(LN(2)/2)*CG97*CJ97*VLOOKUP('Données projet'!$B$12,Paramètres!$A$1:$I$89,3,0)*0.475*44/12</f>
        <v>0.24957840416207866</v>
      </c>
      <c r="CN97" s="22">
        <f t="shared" si="66"/>
        <v>14.673631278907088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2.8</v>
      </c>
      <c r="CT97" s="12">
        <f>IF('Données projet'!$A$140&gt;35,CT96+CS97-DB96,IF(A97&lt;'Données projet'!$A$140,$CQ$205^A97,IF(A97='Données projet'!$A$140,'Données projet'!$B$140,CT96+CS97-DB96)))</f>
        <v>161.19999999999999</v>
      </c>
      <c r="CU97" s="17">
        <f>CT97*VLOOKUP('Données projet'!$B$13,Paramètres!$A$1:$I$89,3,0)*VLOOKUP('Données projet'!$B$13,Paramètres!$A$1:$I$89,5,0)</f>
        <v>173.51567999999997</v>
      </c>
      <c r="CV97" s="13">
        <f t="shared" si="95"/>
        <v>43.876478456904387</v>
      </c>
      <c r="CW97" s="20">
        <f t="shared" si="67"/>
        <v>378.62467597910836</v>
      </c>
      <c r="CX97" s="59">
        <f t="shared" si="68"/>
        <v>671.95800931244162</v>
      </c>
      <c r="CY97" s="59">
        <f ca="1">AVERAGE(OFFSET($CX$3,0,0,'Données projet'!$E$13+1,1))-AVERAGE(OFFSET($H$3,0,0,'Données projet'!$E$13+1,1))</f>
        <v>158.74837032815333</v>
      </c>
      <c r="CZ97" s="59">
        <f t="shared" si="96"/>
        <v>92.286636088270086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13.050408958080583</v>
      </c>
      <c r="DG97" s="21">
        <f>EXP(-LN(2)/25)*DG96+(1-EXP(-LN(2)/25))/(LN(2)/25)*Calculateur!DB97*Calculateur!DD97*VLOOKUP('Données projet'!$B$13,Paramètres!$A$1:$I$89,3,0)*0.475*44/12</f>
        <v>3.0021660154259533</v>
      </c>
      <c r="DH97" s="21">
        <f>EXP(-LN(2)/2)*DH96+(1-EXP(-LN(2)/2))/(LN(2)/2)*DB97*DE97*VLOOKUP('Données projet'!$B$13,Paramètres!$A$1:$I$89,3,0)*0.475*44/12</f>
        <v>0.27775661108360361</v>
      </c>
      <c r="DI97" s="22">
        <f t="shared" si="69"/>
        <v>16.330331584590141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4.9000000000000004</v>
      </c>
      <c r="N98" s="13">
        <f>IF('Données projet'!$A$36&gt;35,N97+M98-V97,IF(A98&lt;'Données projet'!$A$36,$K$205^A98,IF(A98='Données projet'!$A$36,'Données projet'!$B$36,N97+M98-V97)))</f>
        <v>278.5000000000004</v>
      </c>
      <c r="O98" s="13">
        <f>N98*VLOOKUP('Données projet'!$B$9,Paramètres!$A$1:$I$89,3,0)*VLOOKUP('Données projet'!$B$9,Paramètres!$A$1:$I$89,5,0)</f>
        <v>234.60840000000033</v>
      </c>
      <c r="P98" s="13">
        <f t="shared" si="87"/>
        <v>57.277971950226913</v>
      </c>
      <c r="Q98" s="20">
        <f t="shared" si="54"/>
        <v>508.36876447997906</v>
      </c>
      <c r="R98" s="59">
        <f t="shared" si="55"/>
        <v>801.70209781331232</v>
      </c>
      <c r="S98" s="59">
        <f ca="1">AVERAGE(OFFSET($R$3,0,0,'Données projet'!$E$9+1,1))-AVERAGE(OFFSET($H$3,0,0,'Données projet'!$E$9+1,1))</f>
        <v>231.91408074258248</v>
      </c>
      <c r="T98" s="59">
        <f t="shared" si="88"/>
        <v>143.57726487417773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7.1522083035122043E-8</v>
      </c>
      <c r="AC98" s="22">
        <f t="shared" si="57"/>
        <v>7.1522083035122043E-8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4.9000000000000004</v>
      </c>
      <c r="AI98" s="13">
        <f>IF('Données projet'!$A$62&gt;35,AI97+AH98-AQ97,IF(A98&lt;'Données projet'!$A$62,$AF$205^A98,IF(A98='Données projet'!$A$62,'Données projet'!$B$62,AI97+AH98-AQ97)))</f>
        <v>278.5000000000004</v>
      </c>
      <c r="AJ98" s="13">
        <f>AI98*VLOOKUP('Données projet'!$B$10,Paramètres!$A$1:$I$89,3,0)*VLOOKUP('Données projet'!$B$10,Paramètres!$A$1:$I$89,5,0)</f>
        <v>251.98680000000036</v>
      </c>
      <c r="AK98" s="13">
        <f t="shared" si="89"/>
        <v>61.011187970195103</v>
      </c>
      <c r="AL98" s="20">
        <f t="shared" si="58"/>
        <v>545.13816238142374</v>
      </c>
      <c r="AM98" s="59">
        <f t="shared" si="59"/>
        <v>838.47149571475711</v>
      </c>
      <c r="AN98" s="59">
        <f ca="1">AVERAGE(OFFSET($AM$3,0,0,'Données projet'!$E$10+1,1))-AVERAGE(OFFSET($H$3,0,0,'Données projet'!$E$10+1,1))</f>
        <v>253.16772905022714</v>
      </c>
      <c r="AO98" s="59">
        <f t="shared" si="90"/>
        <v>156.67965022779907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7.6820015111797758E-8</v>
      </c>
      <c r="AX98" s="21">
        <f t="shared" si="60"/>
        <v>7.6820015111797758E-8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-2.8421709430404007E-14</v>
      </c>
      <c r="BE98" s="13">
        <f>BD98*VLOOKUP('Données projet'!$B$11,Paramètres!$A$1:$I$89,3,0)*VLOOKUP('Données projet'!$B$11,Paramètres!$A$1:$I$89,5,0)</f>
        <v>-1.6996182239381599E-14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119.24399403036387</v>
      </c>
      <c r="BJ98" s="59">
        <f t="shared" si="92"/>
        <v>119.60076838354843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1.6459388590718215E-10</v>
      </c>
      <c r="BS98" s="22">
        <f t="shared" si="63"/>
        <v>1.6459388590718215E-10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164</v>
      </c>
      <c r="BW98" s="12">
        <f>VLOOKUP(A98,'Données projet'!$A$113:$I$133,9,0)</f>
        <v>2.8</v>
      </c>
      <c r="BX98" s="12">
        <f t="array" ref="BX98">INDEX(BW:BW,MIN(IF(ISNUMBER(BW98:BW294),ROW(BW98:BW294),"")))</f>
        <v>2.8</v>
      </c>
      <c r="BY98" s="12">
        <f>IF('Données projet'!$A$114&gt;35,BY97+BX98-CG97,IF(A98&lt;'Données projet'!$A$114,$BV$205^A98,IF(A98='Données projet'!$A$114,'Données projet'!$B$114,BY97+BX98-CG97)))</f>
        <v>164</v>
      </c>
      <c r="BZ98" s="13">
        <f>BY98*VLOOKUP('Données projet'!$B$12,Paramètres!$A$1:$I$89,3,0)*VLOOKUP('Données projet'!$B$12,Paramètres!$A$1:$I$89,5,0)</f>
        <v>158.6208</v>
      </c>
      <c r="CA98" s="13">
        <f t="shared" si="93"/>
        <v>40.531276428901542</v>
      </c>
      <c r="CB98" s="20">
        <f t="shared" si="64"/>
        <v>346.8565331136702</v>
      </c>
      <c r="CC98" s="59">
        <f t="shared" si="65"/>
        <v>640.18986644700351</v>
      </c>
      <c r="CD98" s="59">
        <f ca="1">AVERAGE(OFFSET($CC$3,0,0,'Données projet'!$E$12+1,1))-AVERAGE(OFFSET($H$3,0,0,'Données projet'!$E$12+1,1))</f>
        <v>135.95692658150551</v>
      </c>
      <c r="CE98" s="59">
        <f t="shared" si="94"/>
        <v>79.394119001888612</v>
      </c>
      <c r="CF98" s="15">
        <f>IF(ISNA(VLOOKUP(A98,'Données projet'!$A$113:$I$133,3,0)),0,VLOOKUP(A98,'Données projet'!$A$113:$I$133,3,0))</f>
        <v>14</v>
      </c>
      <c r="CG98" s="15">
        <f>IF(ISNA(VLOOKUP(A98,'Données projet'!$A$113:$I$133,4,0)),0,VLOOKUP(A98,'Données projet'!$A$113:$I$133,4,0))</f>
        <v>9</v>
      </c>
      <c r="CH98" s="16">
        <f>IF(ISNA(VLOOKUP(A98,'Données projet'!$A$113:$I$133,5,0)),0%,VLOOKUP(A98,'Données projet'!$A$113:$I$133,5,0)*VLOOKUP('Données projet'!$B$12,Paramètres!$A$1:$I$89,7,0))</f>
        <v>0.25800000000000001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0.1</v>
      </c>
      <c r="CK98" s="21">
        <f>EXP(-LN(2)/35)*CK97+(1-EXP(-LN(2)/35))/(LN(2)/35)*CG98*CH98*VLOOKUP('Données projet'!$B$12,Paramètres!$A$1:$I$89,3,0)*0.475*44/12</f>
        <v>13.979213635654178</v>
      </c>
      <c r="CL98" s="21">
        <f>EXP(-LN(2)/25)*CL97+(1-EXP(-LN(2)/25))/(LN(2)/25)*Calculateur!CG98*Calculateur!CI98*VLOOKUP('Données projet'!$B$12,Paramètres!$A$1:$I$89,3,0)*0.475*44/12</f>
        <v>2.6238324772049153</v>
      </c>
      <c r="CM98" s="21">
        <f>EXP(-LN(2)/2)*CM97+(1-EXP(-LN(2)/2))/(LN(2)/2)*CG98*CJ98*VLOOKUP('Données projet'!$B$12,Paramètres!$A$1:$I$89,3,0)*0.475*44/12</f>
        <v>0.99779989064642116</v>
      </c>
      <c r="CN98" s="22">
        <f t="shared" si="66"/>
        <v>17.600846003505517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>
        <f>VLOOKUP(A98,'Données projet'!$A$139:$I$159,2,0)</f>
        <v>164</v>
      </c>
      <c r="CR98" s="12">
        <f>VLOOKUP(A98,'Données projet'!$A$139:$I$159,9,0)</f>
        <v>2.8</v>
      </c>
      <c r="CS98" s="12">
        <f t="array" ref="CS98">INDEX(CR:CR,MIN(IF(ISNUMBER(CR98:CR294),ROW(CR98:CR294),"")))</f>
        <v>2.8</v>
      </c>
      <c r="CT98" s="12">
        <f>IF('Données projet'!$A$140&gt;35,CT97+CS98-DB97,IF(A98&lt;'Données projet'!$A$140,$CQ$205^A98,IF(A98='Données projet'!$A$140,'Données projet'!$B$140,CT97+CS98-DB97)))</f>
        <v>164</v>
      </c>
      <c r="CU98" s="17">
        <f>CT98*VLOOKUP('Données projet'!$B$13,Paramètres!$A$1:$I$89,3,0)*VLOOKUP('Données projet'!$B$13,Paramètres!$A$1:$I$89,5,0)</f>
        <v>176.52959999999999</v>
      </c>
      <c r="CV98" s="13">
        <f t="shared" si="95"/>
        <v>44.549213454343487</v>
      </c>
      <c r="CW98" s="20">
        <f t="shared" si="67"/>
        <v>385.04560009964825</v>
      </c>
      <c r="CX98" s="59">
        <f t="shared" si="68"/>
        <v>678.37893343298151</v>
      </c>
      <c r="CY98" s="59">
        <f ca="1">AVERAGE(OFFSET($CX$3,0,0,'Données projet'!$E$13+1,1))-AVERAGE(OFFSET($H$3,0,0,'Données projet'!$E$13+1,1))</f>
        <v>158.74837032815333</v>
      </c>
      <c r="CZ98" s="59">
        <f t="shared" si="96"/>
        <v>92.286636088270086</v>
      </c>
      <c r="DA98" s="15">
        <f>IF(ISNA(VLOOKUP(A98,'Données projet'!$A$139:$I$159,3,0)),0,VLOOKUP(A98,'Données projet'!$A$139:$I$159,3,0))</f>
        <v>14</v>
      </c>
      <c r="DB98" s="15">
        <f>IF(ISNA(VLOOKUP(A98,'Données projet'!$A$139:$I$159,4,0)),0,VLOOKUP(A98,'Données projet'!$A$139:$I$159,4,0))</f>
        <v>9</v>
      </c>
      <c r="DC98" s="16">
        <f>IF(ISNA(VLOOKUP(A98,'Données projet'!$A$139:$I$159,5,0)),0%,VLOOKUP(A98,'Données projet'!$A$139:$I$159,5,0)*VLOOKUP('Données projet'!$B$13,Paramètres!$A$1:$I$89,7,0))</f>
        <v>0.25800000000000001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0.1</v>
      </c>
      <c r="DF98" s="21">
        <f>EXP(-LN(2)/35)*DF97+(1-EXP(-LN(2)/35))/(LN(2)/35)*DB98*DC98*VLOOKUP('Données projet'!$B$13,Paramètres!$A$1:$I$89,3,0)*0.475*44/12</f>
        <v>15.557511949357066</v>
      </c>
      <c r="DG98" s="21">
        <f>EXP(-LN(2)/25)*DG97+(1-EXP(-LN(2)/25))/(LN(2)/25)*Calculateur!DB98*Calculateur!DD98*VLOOKUP('Données projet'!$B$13,Paramètres!$A$1:$I$89,3,0)*0.475*44/12</f>
        <v>2.9200716278570815</v>
      </c>
      <c r="DH98" s="21">
        <f>EXP(-LN(2)/2)*DH97+(1-EXP(-LN(2)/2))/(LN(2)/2)*DB98*DE98*VLOOKUP('Données projet'!$B$13,Paramètres!$A$1:$I$89,3,0)*0.475*44/12</f>
        <v>1.1104547170097265</v>
      </c>
      <c r="DI98" s="22">
        <f t="shared" si="69"/>
        <v>19.588038294223875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4.9000000000000004</v>
      </c>
      <c r="N99" s="13">
        <f>IF('Données projet'!$A$36&gt;35,N98+M99-V98,IF(A99&lt;'Données projet'!$A$36,$K$205^A99,IF(A99='Données projet'!$A$36,'Données projet'!$B$36,N98+M99-V98)))</f>
        <v>283.40000000000038</v>
      </c>
      <c r="O99" s="13">
        <f>N99*VLOOKUP('Données projet'!$B$9,Paramètres!$A$1:$I$89,3,0)*VLOOKUP('Données projet'!$B$9,Paramètres!$A$1:$I$89,5,0)</f>
        <v>238.73616000000032</v>
      </c>
      <c r="P99" s="13">
        <f t="shared" si="87"/>
        <v>58.16752564700645</v>
      </c>
      <c r="Q99" s="20">
        <f t="shared" ref="Q99:Q130" si="107">(O99+P99)*0.475*44/12</f>
        <v>517.10725250187011</v>
      </c>
      <c r="R99" s="59">
        <f t="shared" si="55"/>
        <v>810.44058583520336</v>
      </c>
      <c r="S99" s="59">
        <f ca="1">AVERAGE(OFFSET($R$3,0,0,'Données projet'!$E$9+1,1))-AVERAGE(OFFSET($H$3,0,0,'Données projet'!$E$9+1,1))</f>
        <v>231.91408074258248</v>
      </c>
      <c r="T99" s="59">
        <f t="shared" si="88"/>
        <v>143.57726487417773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5.0573749918722126E-8</v>
      </c>
      <c r="AC99" s="22">
        <f t="shared" si="57"/>
        <v>5.0573749918722126E-8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4.9000000000000004</v>
      </c>
      <c r="AI99" s="13">
        <f>IF('Données projet'!$A$62&gt;35,AI98+AH99-AQ98,IF(A99&lt;'Données projet'!$A$62,$AF$205^A99,IF(A99='Données projet'!$A$62,'Données projet'!$B$62,AI98+AH99-AQ98)))</f>
        <v>283.40000000000038</v>
      </c>
      <c r="AJ99" s="13">
        <f>AI99*VLOOKUP('Données projet'!$B$10,Paramètres!$A$1:$I$89,3,0)*VLOOKUP('Données projet'!$B$10,Paramètres!$A$1:$I$89,5,0)</f>
        <v>256.42032000000034</v>
      </c>
      <c r="AK99" s="13">
        <f t="shared" si="89"/>
        <v>61.958720258017024</v>
      </c>
      <c r="AL99" s="20">
        <f t="shared" si="58"/>
        <v>554.51016178271357</v>
      </c>
      <c r="AM99" s="59">
        <f t="shared" si="59"/>
        <v>847.84349511604682</v>
      </c>
      <c r="AN99" s="59">
        <f ca="1">AVERAGE(OFFSET($AM$3,0,0,'Données projet'!$E$10+1,1))-AVERAGE(OFFSET($H$3,0,0,'Données projet'!$E$10+1,1))</f>
        <v>253.16772905022714</v>
      </c>
      <c r="AO99" s="59">
        <f t="shared" si="90"/>
        <v>156.67965022779907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5.4319953616405253E-8</v>
      </c>
      <c r="AX99" s="21">
        <f t="shared" si="60"/>
        <v>5.4319953616405253E-8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-2.8421709430404007E-14</v>
      </c>
      <c r="BE99" s="13">
        <f>BD99*VLOOKUP('Données projet'!$B$11,Paramètres!$A$1:$I$89,3,0)*VLOOKUP('Données projet'!$B$11,Paramètres!$A$1:$I$89,5,0)</f>
        <v>-1.6996182239381599E-14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119.24399403036387</v>
      </c>
      <c r="BJ99" s="59">
        <f t="shared" si="92"/>
        <v>119.60076838354843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1.1638545286681342E-10</v>
      </c>
      <c r="BS99" s="22">
        <f t="shared" si="63"/>
        <v>1.1638545286681342E-10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3</v>
      </c>
      <c r="BY99" s="12">
        <f>IF('Données projet'!$A$114&gt;35,BY98+BX99-CG98,IF(A99&lt;'Données projet'!$A$114,$BV$205^A99,IF(A99='Données projet'!$A$114,'Données projet'!$B$114,BY98+BX99-CG98)))</f>
        <v>158</v>
      </c>
      <c r="BZ99" s="13">
        <f>BY99*VLOOKUP('Données projet'!$B$12,Paramètres!$A$1:$I$89,3,0)*VLOOKUP('Données projet'!$B$12,Paramètres!$A$1:$I$89,5,0)</f>
        <v>152.8176</v>
      </c>
      <c r="CA99" s="13">
        <f t="shared" si="93"/>
        <v>39.218200171484227</v>
      </c>
      <c r="CB99" s="20">
        <f t="shared" si="64"/>
        <v>334.46235196533502</v>
      </c>
      <c r="CC99" s="59">
        <f t="shared" si="65"/>
        <v>627.79568529866833</v>
      </c>
      <c r="CD99" s="59">
        <f ca="1">AVERAGE(OFFSET($CC$3,0,0,'Données projet'!$E$12+1,1))-AVERAGE(OFFSET($H$3,0,0,'Données projet'!$E$12+1,1))</f>
        <v>135.95692658150551</v>
      </c>
      <c r="CE99" s="59">
        <f t="shared" si="94"/>
        <v>79.394119001888612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13.705089782737398</v>
      </c>
      <c r="CL99" s="21">
        <f>EXP(-LN(2)/25)*CL98+(1-EXP(-LN(2)/25))/(LN(2)/25)*Calculateur!CG99*Calculateur!CI99*VLOOKUP('Données projet'!$B$12,Paramètres!$A$1:$I$89,3,0)*0.475*44/12</f>
        <v>2.5520836401343936</v>
      </c>
      <c r="CM99" s="21">
        <f>EXP(-LN(2)/2)*CM98+(1-EXP(-LN(2)/2))/(LN(2)/2)*CG99*CJ99*VLOOKUP('Données projet'!$B$12,Paramètres!$A$1:$I$89,3,0)*0.475*44/12</f>
        <v>0.70555106894328001</v>
      </c>
      <c r="CN99" s="22">
        <f t="shared" si="66"/>
        <v>16.96272449181507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3</v>
      </c>
      <c r="CT99" s="12">
        <f>IF('Données projet'!$A$140&gt;35,CT98+CS99-DB98,IF(A99&lt;'Données projet'!$A$140,$CQ$205^A99,IF(A99='Données projet'!$A$140,'Données projet'!$B$140,CT98+CS99-DB98)))</f>
        <v>158</v>
      </c>
      <c r="CU99" s="17">
        <f>CT99*VLOOKUP('Données projet'!$B$13,Paramètres!$A$1:$I$89,3,0)*VLOOKUP('Données projet'!$B$13,Paramètres!$A$1:$I$89,5,0)</f>
        <v>170.0712</v>
      </c>
      <c r="CV99" s="13">
        <f t="shared" si="95"/>
        <v>43.10596962815594</v>
      </c>
      <c r="CW99" s="20">
        <f t="shared" si="67"/>
        <v>371.28357043570492</v>
      </c>
      <c r="CX99" s="59">
        <f t="shared" si="68"/>
        <v>664.61690376903823</v>
      </c>
      <c r="CY99" s="59">
        <f ca="1">AVERAGE(OFFSET($CX$3,0,0,'Données projet'!$E$13+1,1))-AVERAGE(OFFSET($H$3,0,0,'Données projet'!$E$13+1,1))</f>
        <v>158.74837032815333</v>
      </c>
      <c r="CZ99" s="59">
        <f t="shared" si="96"/>
        <v>92.286636088270086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15.252438629175488</v>
      </c>
      <c r="DG99" s="21">
        <f>EXP(-LN(2)/25)*DG98+(1-EXP(-LN(2)/25))/(LN(2)/25)*Calculateur!DB99*Calculateur!DD99*VLOOKUP('Données projet'!$B$13,Paramètres!$A$1:$I$89,3,0)*0.475*44/12</f>
        <v>2.8402221156334369</v>
      </c>
      <c r="DH99" s="21">
        <f>EXP(-LN(2)/2)*DH98+(1-EXP(-LN(2)/2))/(LN(2)/2)*DB99*DE99*VLOOKUP('Données projet'!$B$13,Paramètres!$A$1:$I$89,3,0)*0.475*44/12</f>
        <v>0.78521006059816634</v>
      </c>
      <c r="DI99" s="22">
        <f t="shared" si="69"/>
        <v>18.877870805407092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4.9000000000000004</v>
      </c>
      <c r="N100" s="13">
        <f>IF('Données projet'!$A$36&gt;35,N99+M100-V99,IF(A100&lt;'Données projet'!$A$36,$K$205^A100,IF(A100='Données projet'!$A$36,'Données projet'!$B$36,N99+M100-V99)))</f>
        <v>288.30000000000035</v>
      </c>
      <c r="O100" s="13">
        <f>N100*VLOOKUP('Données projet'!$B$9,Paramètres!$A$1:$I$89,3,0)*VLOOKUP('Données projet'!$B$9,Paramètres!$A$1:$I$89,5,0)</f>
        <v>242.86392000000029</v>
      </c>
      <c r="P100" s="13">
        <f t="shared" si="87"/>
        <v>59.055290768146456</v>
      </c>
      <c r="Q100" s="20">
        <f t="shared" si="107"/>
        <v>525.84262542118893</v>
      </c>
      <c r="R100" s="59">
        <f t="shared" si="55"/>
        <v>819.1759587545223</v>
      </c>
      <c r="S100" s="59">
        <f ca="1">AVERAGE(OFFSET($R$3,0,0,'Données projet'!$E$9+1,1))-AVERAGE(OFFSET($H$3,0,0,'Données projet'!$E$9+1,1))</f>
        <v>231.91408074258248</v>
      </c>
      <c r="T100" s="59">
        <f t="shared" si="88"/>
        <v>143.57726487417773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3.5761041517561021E-8</v>
      </c>
      <c r="AC100" s="22">
        <f t="shared" si="57"/>
        <v>3.5761041517561021E-8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4.9000000000000004</v>
      </c>
      <c r="AI100" s="13">
        <f>IF('Données projet'!$A$62&gt;35,AI99+AH100-AQ99,IF(A100&lt;'Données projet'!$A$62,$AF$205^A100,IF(A100='Données projet'!$A$62,'Données projet'!$B$62,AI99+AH100-AQ99)))</f>
        <v>288.30000000000035</v>
      </c>
      <c r="AJ100" s="13">
        <f>AI100*VLOOKUP('Données projet'!$B$10,Paramètres!$A$1:$I$89,3,0)*VLOOKUP('Données projet'!$B$10,Paramètres!$A$1:$I$89,5,0)</f>
        <v>260.85384000000033</v>
      </c>
      <c r="AK100" s="13">
        <f t="shared" si="89"/>
        <v>62.90434739590382</v>
      </c>
      <c r="AL100" s="20">
        <f t="shared" si="58"/>
        <v>563.87884304786633</v>
      </c>
      <c r="AM100" s="59">
        <f t="shared" si="59"/>
        <v>857.2121763811997</v>
      </c>
      <c r="AN100" s="59">
        <f ca="1">AVERAGE(OFFSET($AM$3,0,0,'Données projet'!$E$10+1,1))-AVERAGE(OFFSET($H$3,0,0,'Données projet'!$E$10+1,1))</f>
        <v>253.16772905022714</v>
      </c>
      <c r="AO100" s="59">
        <f t="shared" si="90"/>
        <v>156.67965022779907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3.8410007555898879E-8</v>
      </c>
      <c r="AX100" s="21">
        <f t="shared" si="60"/>
        <v>3.8410007555898879E-8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-2.8421709430404007E-14</v>
      </c>
      <c r="BE100" s="13">
        <f>BD100*VLOOKUP('Données projet'!$B$11,Paramètres!$A$1:$I$89,3,0)*VLOOKUP('Données projet'!$B$11,Paramètres!$A$1:$I$89,5,0)</f>
        <v>-1.6996182239381599E-14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119.24399403036387</v>
      </c>
      <c r="BJ100" s="59">
        <f t="shared" si="92"/>
        <v>119.60076838354843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8.2296942953591086E-11</v>
      </c>
      <c r="BS100" s="22">
        <f t="shared" si="63"/>
        <v>8.2296942953591086E-11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3</v>
      </c>
      <c r="BY100" s="12">
        <f>IF('Données projet'!$A$114&gt;35,BY99+BX100-CG99,IF(A100&lt;'Données projet'!$A$114,$BV$205^A100,IF(A100='Données projet'!$A$114,'Données projet'!$B$114,BY99+BX100-CG99)))</f>
        <v>161</v>
      </c>
      <c r="BZ100" s="13">
        <f>BY100*VLOOKUP('Données projet'!$B$12,Paramètres!$A$1:$I$89,3,0)*VLOOKUP('Données projet'!$B$12,Paramètres!$A$1:$I$89,5,0)</f>
        <v>155.7192</v>
      </c>
      <c r="CA100" s="13">
        <f t="shared" si="93"/>
        <v>39.875450340770094</v>
      </c>
      <c r="CB100" s="20">
        <f t="shared" si="64"/>
        <v>340.66068267684119</v>
      </c>
      <c r="CC100" s="59">
        <f t="shared" si="65"/>
        <v>633.99401601017451</v>
      </c>
      <c r="CD100" s="59">
        <f ca="1">AVERAGE(OFFSET($CC$3,0,0,'Données projet'!$E$12+1,1))-AVERAGE(OFFSET($H$3,0,0,'Données projet'!$E$12+1,1))</f>
        <v>135.95692658150551</v>
      </c>
      <c r="CE100" s="59">
        <f t="shared" si="94"/>
        <v>79.394119001888612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13.436341331377275</v>
      </c>
      <c r="CL100" s="21">
        <f>EXP(-LN(2)/25)*CL99+(1-EXP(-LN(2)/25))/(LN(2)/25)*Calculateur!CG100*Calculateur!CI100*VLOOKUP('Données projet'!$B$12,Paramètres!$A$1:$I$89,3,0)*0.475*44/12</f>
        <v>2.4822967787866728</v>
      </c>
      <c r="CM100" s="21">
        <f>EXP(-LN(2)/2)*CM99+(1-EXP(-LN(2)/2))/(LN(2)/2)*CG100*CJ100*VLOOKUP('Données projet'!$B$12,Paramètres!$A$1:$I$89,3,0)*0.475*44/12</f>
        <v>0.49889994532321064</v>
      </c>
      <c r="CN100" s="22">
        <f t="shared" si="66"/>
        <v>16.417538055487157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3</v>
      </c>
      <c r="CT100" s="12">
        <f>IF('Données projet'!$A$140&gt;35,CT99+CS100-DB99,IF(A100&lt;'Données projet'!$A$140,$CQ$205^A100,IF(A100='Données projet'!$A$140,'Données projet'!$B$140,CT99+CS100-DB99)))</f>
        <v>161</v>
      </c>
      <c r="CU100" s="17">
        <f>CT100*VLOOKUP('Données projet'!$B$13,Paramètres!$A$1:$I$89,3,0)*VLOOKUP('Données projet'!$B$13,Paramètres!$A$1:$I$89,5,0)</f>
        <v>173.3004</v>
      </c>
      <c r="CV100" s="13">
        <f t="shared" si="95"/>
        <v>43.82837416766705</v>
      </c>
      <c r="CW100" s="20">
        <f t="shared" si="67"/>
        <v>378.1659483420201</v>
      </c>
      <c r="CX100" s="59">
        <f t="shared" si="68"/>
        <v>671.49928167535336</v>
      </c>
      <c r="CY100" s="59">
        <f ca="1">AVERAGE(OFFSET($CX$3,0,0,'Données projet'!$E$13+1,1))-AVERAGE(OFFSET($H$3,0,0,'Données projet'!$E$13+1,1))</f>
        <v>158.74837032815333</v>
      </c>
      <c r="CZ100" s="59">
        <f t="shared" si="96"/>
        <v>92.286636088270086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14.953347610726318</v>
      </c>
      <c r="DG100" s="21">
        <f>EXP(-LN(2)/25)*DG99+(1-EXP(-LN(2)/25))/(LN(2)/25)*Calculateur!DB100*Calculateur!DD100*VLOOKUP('Données projet'!$B$13,Paramètres!$A$1:$I$89,3,0)*0.475*44/12</f>
        <v>2.7625560925206507</v>
      </c>
      <c r="DH100" s="21">
        <f>EXP(-LN(2)/2)*DH99+(1-EXP(-LN(2)/2))/(LN(2)/2)*DB100*DE100*VLOOKUP('Données projet'!$B$13,Paramètres!$A$1:$I$89,3,0)*0.475*44/12</f>
        <v>0.55522735850486338</v>
      </c>
      <c r="DI100" s="22">
        <f t="shared" si="69"/>
        <v>18.271131061751831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4.9000000000000004</v>
      </c>
      <c r="N101" s="13">
        <f>IF('Données projet'!$A$36&gt;35,N100+M101-V100,IF(A101&lt;'Données projet'!$A$36,$K$205^A101,IF(A101='Données projet'!$A$36,'Données projet'!$B$36,N100+M101-V100)))</f>
        <v>293.20000000000033</v>
      </c>
      <c r="O101" s="13">
        <f>N101*VLOOKUP('Données projet'!$B$9,Paramètres!$A$1:$I$89,3,0)*VLOOKUP('Données projet'!$B$9,Paramètres!$A$1:$I$89,5,0)</f>
        <v>246.99168000000031</v>
      </c>
      <c r="P101" s="13">
        <f t="shared" si="87"/>
        <v>59.941301220789796</v>
      </c>
      <c r="Q101" s="20">
        <f t="shared" si="107"/>
        <v>534.57494229287613</v>
      </c>
      <c r="R101" s="59">
        <f t="shared" si="55"/>
        <v>827.90827562620939</v>
      </c>
      <c r="S101" s="59">
        <f ca="1">AVERAGE(OFFSET($R$3,0,0,'Données projet'!$E$9+1,1))-AVERAGE(OFFSET($H$3,0,0,'Données projet'!$E$9+1,1))</f>
        <v>231.91408074258248</v>
      </c>
      <c r="T101" s="59">
        <f t="shared" si="88"/>
        <v>143.57726487417773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2.5286874959361063E-8</v>
      </c>
      <c r="AC101" s="22">
        <f t="shared" si="57"/>
        <v>2.5286874959361063E-8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4.9000000000000004</v>
      </c>
      <c r="AI101" s="13">
        <f>IF('Données projet'!$A$62&gt;35,AI100+AH101-AQ100,IF(A101&lt;'Données projet'!$A$62,$AF$205^A101,IF(A101='Données projet'!$A$62,'Données projet'!$B$62,AI100+AH101-AQ100)))</f>
        <v>293.20000000000033</v>
      </c>
      <c r="AJ101" s="13">
        <f>AI101*VLOOKUP('Données projet'!$B$10,Paramètres!$A$1:$I$89,3,0)*VLOOKUP('Données projet'!$B$10,Paramètres!$A$1:$I$89,5,0)</f>
        <v>265.28736000000032</v>
      </c>
      <c r="AK101" s="13">
        <f t="shared" si="89"/>
        <v>63.848105500970064</v>
      </c>
      <c r="AL101" s="20">
        <f t="shared" si="58"/>
        <v>573.24426908085672</v>
      </c>
      <c r="AM101" s="59">
        <f t="shared" si="59"/>
        <v>866.5776024141901</v>
      </c>
      <c r="AN101" s="59">
        <f ca="1">AVERAGE(OFFSET($AM$3,0,0,'Données projet'!$E$10+1,1))-AVERAGE(OFFSET($H$3,0,0,'Données projet'!$E$10+1,1))</f>
        <v>253.16772905022714</v>
      </c>
      <c r="AO101" s="59">
        <f t="shared" si="90"/>
        <v>156.67965022779907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2.7159976808202626E-8</v>
      </c>
      <c r="AX101" s="21">
        <f t="shared" si="60"/>
        <v>2.7159976808202626E-8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-2.8421709430404007E-14</v>
      </c>
      <c r="BE101" s="13">
        <f>BD101*VLOOKUP('Données projet'!$B$11,Paramètres!$A$1:$I$89,3,0)*VLOOKUP('Données projet'!$B$11,Paramètres!$A$1:$I$89,5,0)</f>
        <v>-1.6996182239381599E-14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119.24399403036387</v>
      </c>
      <c r="BJ101" s="59">
        <f t="shared" si="92"/>
        <v>119.60076838354843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5.8192726433406722E-11</v>
      </c>
      <c r="BS101" s="22">
        <f t="shared" si="63"/>
        <v>5.8192726433406722E-11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3</v>
      </c>
      <c r="BY101" s="12">
        <f>IF('Données projet'!$A$114&gt;35,BY100+BX101-CG100,IF(A101&lt;'Données projet'!$A$114,$BV$205^A101,IF(A101='Données projet'!$A$114,'Données projet'!$B$114,BY100+BX101-CG100)))</f>
        <v>164</v>
      </c>
      <c r="BZ101" s="13">
        <f>BY101*VLOOKUP('Données projet'!$B$12,Paramètres!$A$1:$I$89,3,0)*VLOOKUP('Données projet'!$B$12,Paramètres!$A$1:$I$89,5,0)</f>
        <v>158.6208</v>
      </c>
      <c r="CA101" s="13">
        <f t="shared" si="93"/>
        <v>40.531276428901542</v>
      </c>
      <c r="CB101" s="20">
        <f t="shared" si="64"/>
        <v>346.8565331136702</v>
      </c>
      <c r="CC101" s="59">
        <f t="shared" si="65"/>
        <v>640.18986644700351</v>
      </c>
      <c r="CD101" s="59">
        <f ca="1">AVERAGE(OFFSET($CC$3,0,0,'Données projet'!$E$12+1,1))-AVERAGE(OFFSET($H$3,0,0,'Données projet'!$E$12+1,1))</f>
        <v>135.95692658150551</v>
      </c>
      <c r="CE101" s="59">
        <f t="shared" si="94"/>
        <v>79.394119001888612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13.172862873227954</v>
      </c>
      <c r="CL101" s="21">
        <f>EXP(-LN(2)/25)*CL100+(1-EXP(-LN(2)/25))/(LN(2)/25)*Calculateur!CG101*Calculateur!CI101*VLOOKUP('Données projet'!$B$12,Paramètres!$A$1:$I$89,3,0)*0.475*44/12</f>
        <v>2.4144182428324368</v>
      </c>
      <c r="CM101" s="21">
        <f>EXP(-LN(2)/2)*CM100+(1-EXP(-LN(2)/2))/(LN(2)/2)*CG101*CJ101*VLOOKUP('Données projet'!$B$12,Paramètres!$A$1:$I$89,3,0)*0.475*44/12</f>
        <v>0.35277553447164006</v>
      </c>
      <c r="CN101" s="22">
        <f t="shared" si="66"/>
        <v>15.94005665053203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3</v>
      </c>
      <c r="CT101" s="12">
        <f>IF('Données projet'!$A$140&gt;35,CT100+CS101-DB100,IF(A101&lt;'Données projet'!$A$140,$CQ$205^A101,IF(A101='Données projet'!$A$140,'Données projet'!$B$140,CT100+CS101-DB100)))</f>
        <v>164</v>
      </c>
      <c r="CU101" s="17">
        <f>CT101*VLOOKUP('Données projet'!$B$13,Paramètres!$A$1:$I$89,3,0)*VLOOKUP('Données projet'!$B$13,Paramètres!$A$1:$I$89,5,0)</f>
        <v>176.52959999999999</v>
      </c>
      <c r="CV101" s="13">
        <f t="shared" si="95"/>
        <v>44.549213454343487</v>
      </c>
      <c r="CW101" s="20">
        <f t="shared" si="67"/>
        <v>385.04560009964825</v>
      </c>
      <c r="CX101" s="59">
        <f t="shared" si="68"/>
        <v>678.37893343298151</v>
      </c>
      <c r="CY101" s="59">
        <f ca="1">AVERAGE(OFFSET($CX$3,0,0,'Données projet'!$E$13+1,1))-AVERAGE(OFFSET($H$3,0,0,'Données projet'!$E$13+1,1))</f>
        <v>158.74837032815333</v>
      </c>
      <c r="CZ101" s="59">
        <f t="shared" si="96"/>
        <v>92.286636088270086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14.660121584721429</v>
      </c>
      <c r="DG101" s="21">
        <f>EXP(-LN(2)/25)*DG100+(1-EXP(-LN(2)/25))/(LN(2)/25)*Calculateur!DB101*Calculateur!DD101*VLOOKUP('Données projet'!$B$13,Paramètres!$A$1:$I$89,3,0)*0.475*44/12</f>
        <v>2.6870138508941626</v>
      </c>
      <c r="DH101" s="21">
        <f>EXP(-LN(2)/2)*DH100+(1-EXP(-LN(2)/2))/(LN(2)/2)*DB101*DE101*VLOOKUP('Données projet'!$B$13,Paramètres!$A$1:$I$89,3,0)*0.475*44/12</f>
        <v>0.39260503029908322</v>
      </c>
      <c r="DI101" s="22">
        <f t="shared" si="69"/>
        <v>17.739740465914675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4.9000000000000004</v>
      </c>
      <c r="N102" s="13">
        <f>IF('Données projet'!$A$36&gt;35,N101+M102-V101,IF(A102&lt;'Données projet'!$A$36,$K$205^A102,IF(A102='Données projet'!$A$36,'Données projet'!$B$36,N101+M102-V101)))</f>
        <v>298.10000000000031</v>
      </c>
      <c r="O102" s="13">
        <f>N102*VLOOKUP('Données projet'!$B$9,Paramètres!$A$1:$I$89,3,0)*VLOOKUP('Données projet'!$B$9,Paramètres!$A$1:$I$89,5,0)</f>
        <v>251.11944000000031</v>
      </c>
      <c r="P102" s="13">
        <f t="shared" si="87"/>
        <v>60.825589713797029</v>
      </c>
      <c r="Q102" s="20">
        <f t="shared" si="107"/>
        <v>543.3042600848637</v>
      </c>
      <c r="R102" s="59">
        <f t="shared" si="55"/>
        <v>836.63759341819696</v>
      </c>
      <c r="S102" s="59">
        <f ca="1">AVERAGE(OFFSET($R$3,0,0,'Données projet'!$E$9+1,1))-AVERAGE(OFFSET($H$3,0,0,'Données projet'!$E$9+1,1))</f>
        <v>231.91408074258248</v>
      </c>
      <c r="T102" s="59">
        <f t="shared" si="88"/>
        <v>143.57726487417773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1.7880520758780511E-8</v>
      </c>
      <c r="AC102" s="22">
        <f t="shared" si="57"/>
        <v>1.7880520758780511E-8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4.9000000000000004</v>
      </c>
      <c r="AI102" s="13">
        <f>IF('Données projet'!$A$62&gt;35,AI101+AH102-AQ101,IF(A102&lt;'Données projet'!$A$62,$AF$205^A102,IF(A102='Données projet'!$A$62,'Données projet'!$B$62,AI101+AH102-AQ101)))</f>
        <v>298.10000000000031</v>
      </c>
      <c r="AJ102" s="13">
        <f>AI102*VLOOKUP('Données projet'!$B$10,Paramètres!$A$1:$I$89,3,0)*VLOOKUP('Données projet'!$B$10,Paramètres!$A$1:$I$89,5,0)</f>
        <v>269.72088000000025</v>
      </c>
      <c r="AK102" s="13">
        <f t="shared" si="89"/>
        <v>64.790029413947011</v>
      </c>
      <c r="AL102" s="20">
        <f t="shared" si="58"/>
        <v>582.60650056262477</v>
      </c>
      <c r="AM102" s="59">
        <f t="shared" si="59"/>
        <v>875.93983389595815</v>
      </c>
      <c r="AN102" s="59">
        <f ca="1">AVERAGE(OFFSET($AM$3,0,0,'Données projet'!$E$10+1,1))-AVERAGE(OFFSET($H$3,0,0,'Données projet'!$E$10+1,1))</f>
        <v>253.16772905022714</v>
      </c>
      <c r="AO102" s="59">
        <f t="shared" si="90"/>
        <v>156.67965022779907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1.920500377794944E-8</v>
      </c>
      <c r="AX102" s="21">
        <f t="shared" si="60"/>
        <v>1.920500377794944E-8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-2.8421709430404007E-14</v>
      </c>
      <c r="BE102" s="13">
        <f>BD102*VLOOKUP('Données projet'!$B$11,Paramètres!$A$1:$I$89,3,0)*VLOOKUP('Données projet'!$B$11,Paramètres!$A$1:$I$89,5,0)</f>
        <v>-1.6996182239381599E-14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119.24399403036387</v>
      </c>
      <c r="BJ102" s="59">
        <f t="shared" si="92"/>
        <v>119.60076838354843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4.1148471476795549E-11</v>
      </c>
      <c r="BS102" s="22">
        <f t="shared" si="63"/>
        <v>4.1148471476795549E-11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3</v>
      </c>
      <c r="BY102" s="12">
        <f>IF('Données projet'!$A$114&gt;35,BY101+BX102-CG101,IF(A102&lt;'Données projet'!$A$114,$BV$205^A102,IF(A102='Données projet'!$A$114,'Données projet'!$B$114,BY101+BX102-CG101)))</f>
        <v>167</v>
      </c>
      <c r="BZ102" s="13">
        <f>BY102*VLOOKUP('Données projet'!$B$12,Paramètres!$A$1:$I$89,3,0)*VLOOKUP('Données projet'!$B$12,Paramètres!$A$1:$I$89,5,0)</f>
        <v>161.5224</v>
      </c>
      <c r="CA102" s="13">
        <f t="shared" si="93"/>
        <v>41.185707490721896</v>
      </c>
      <c r="CB102" s="20">
        <f t="shared" si="64"/>
        <v>353.04995387967392</v>
      </c>
      <c r="CC102" s="59">
        <f t="shared" si="65"/>
        <v>646.38328721300718</v>
      </c>
      <c r="CD102" s="59">
        <f ca="1">AVERAGE(OFFSET($CC$3,0,0,'Données projet'!$E$12+1,1))-AVERAGE(OFFSET($H$3,0,0,'Données projet'!$E$12+1,1))</f>
        <v>135.95692658150551</v>
      </c>
      <c r="CE102" s="59">
        <f t="shared" si="94"/>
        <v>79.394119001888612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12.914551066936951</v>
      </c>
      <c r="CL102" s="21">
        <f>EXP(-LN(2)/25)*CL101+(1-EXP(-LN(2)/25))/(LN(2)/25)*Calculateur!CG102*Calculateur!CI102*VLOOKUP('Données projet'!$B$12,Paramètres!$A$1:$I$89,3,0)*0.475*44/12</f>
        <v>2.3483958490134467</v>
      </c>
      <c r="CM102" s="21">
        <f>EXP(-LN(2)/2)*CM101+(1-EXP(-LN(2)/2))/(LN(2)/2)*CG102*CJ102*VLOOKUP('Données projet'!$B$12,Paramètres!$A$1:$I$89,3,0)*0.475*44/12</f>
        <v>0.24944997266160535</v>
      </c>
      <c r="CN102" s="22">
        <f t="shared" si="66"/>
        <v>15.512396888612002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3</v>
      </c>
      <c r="CT102" s="12">
        <f>IF('Données projet'!$A$140&gt;35,CT101+CS102-DB101,IF(A102&lt;'Données projet'!$A$140,$CQ$205^A102,IF(A102='Données projet'!$A$140,'Données projet'!$B$140,CT101+CS102-DB101)))</f>
        <v>167</v>
      </c>
      <c r="CU102" s="17">
        <f>CT102*VLOOKUP('Données projet'!$B$13,Paramètres!$A$1:$I$89,3,0)*VLOOKUP('Données projet'!$B$13,Paramètres!$A$1:$I$89,5,0)</f>
        <v>179.75879999999998</v>
      </c>
      <c r="CV102" s="13">
        <f t="shared" si="95"/>
        <v>45.268519423286527</v>
      </c>
      <c r="CW102" s="20">
        <f t="shared" si="67"/>
        <v>391.92258132889066</v>
      </c>
      <c r="CX102" s="59">
        <f t="shared" si="68"/>
        <v>685.25591466222397</v>
      </c>
      <c r="CY102" s="59">
        <f ca="1">AVERAGE(OFFSET($CX$3,0,0,'Données projet'!$E$13+1,1))-AVERAGE(OFFSET($H$3,0,0,'Données projet'!$E$13+1,1))</f>
        <v>158.74837032815333</v>
      </c>
      <c r="CZ102" s="59">
        <f t="shared" si="96"/>
        <v>92.286636088270086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14.372645542236279</v>
      </c>
      <c r="DG102" s="21">
        <f>EXP(-LN(2)/25)*DG101+(1-EXP(-LN(2)/25))/(LN(2)/25)*Calculateur!DB102*Calculateur!DD102*VLOOKUP('Données projet'!$B$13,Paramètres!$A$1:$I$89,3,0)*0.475*44/12</f>
        <v>2.6135373158375446</v>
      </c>
      <c r="DH102" s="21">
        <f>EXP(-LN(2)/2)*DH101+(1-EXP(-LN(2)/2))/(LN(2)/2)*DB102*DE102*VLOOKUP('Données projet'!$B$13,Paramètres!$A$1:$I$89,3,0)*0.475*44/12</f>
        <v>0.27761367925243174</v>
      </c>
      <c r="DI102" s="22">
        <f t="shared" si="69"/>
        <v>17.263796537326257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303</v>
      </c>
      <c r="L103" s="12">
        <f>VLOOKUP(A103,'Données projet'!$A$35:$I$55,9,0)</f>
        <v>4.9000000000000004</v>
      </c>
      <c r="M103" s="12">
        <f t="array" ref="M103">INDEX(L:L,MIN(IF(ISNUMBER(L103:L299),ROW(L103:L299),"")))</f>
        <v>4.9000000000000004</v>
      </c>
      <c r="N103" s="13">
        <f>IF('Données projet'!$A$36&gt;35,N102+M103-V102,IF(A103&lt;'Données projet'!$A$36,$K$205^A103,IF(A103='Données projet'!$A$36,'Données projet'!$B$36,N102+M103-V102)))</f>
        <v>303.00000000000028</v>
      </c>
      <c r="O103" s="13">
        <f>N103*VLOOKUP('Données projet'!$B$9,Paramètres!$A$1:$I$89,3,0)*VLOOKUP('Données projet'!$B$9,Paramètres!$A$1:$I$89,5,0)</f>
        <v>255.24720000000028</v>
      </c>
      <c r="P103" s="13">
        <f t="shared" si="87"/>
        <v>61.708187819081274</v>
      </c>
      <c r="Q103" s="20">
        <f t="shared" si="107"/>
        <v>552.03063378490037</v>
      </c>
      <c r="R103" s="59">
        <f t="shared" si="55"/>
        <v>845.36396711823363</v>
      </c>
      <c r="S103" s="59">
        <f ca="1">AVERAGE(OFFSET($R$3,0,0,'Données projet'!$E$9+1,1))-AVERAGE(OFFSET($H$3,0,0,'Données projet'!$E$9+1,1))</f>
        <v>231.91408074258248</v>
      </c>
      <c r="T103" s="59">
        <f t="shared" si="88"/>
        <v>143.57726487417773</v>
      </c>
      <c r="U103" s="15" t="str">
        <f>IF(ISNA(VLOOKUP(A103,'Données projet'!$A$35:$I$55,3,0)),0,VLOOKUP(A103,'Données projet'!$A$35:$I$55,3,0))</f>
        <v>CR</v>
      </c>
      <c r="V103" s="15">
        <f>IF(ISNA(VLOOKUP(A103,'Données projet'!$A$35:$I$55,4,0)),0,VLOOKUP(A103,'Données projet'!$A$35:$I$55,4,0))</f>
        <v>303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1.2643437479680532E-8</v>
      </c>
      <c r="AC103" s="22">
        <f t="shared" si="57"/>
        <v>1.2643437479680532E-8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303</v>
      </c>
      <c r="AG103" s="12">
        <f>VLOOKUP(A103,'Données projet'!$A$61:$I$81,9,0)</f>
        <v>4.9000000000000004</v>
      </c>
      <c r="AH103" s="12">
        <f t="array" ref="AH103">INDEX(AG:AG,MIN(IF(ISNUMBER(AG103:AG299),ROW(AG103:AG299),"")))</f>
        <v>4.9000000000000004</v>
      </c>
      <c r="AI103" s="13">
        <f>IF('Données projet'!$A$62&gt;35,AI102+AH103-AQ102,IF(A103&lt;'Données projet'!$A$62,$AF$205^A103,IF(A103='Données projet'!$A$62,'Données projet'!$B$62,AI102+AH103-AQ102)))</f>
        <v>303.00000000000028</v>
      </c>
      <c r="AJ103" s="13">
        <f>AI103*VLOOKUP('Données projet'!$B$10,Paramètres!$A$1:$I$89,3,0)*VLOOKUP('Données projet'!$B$10,Paramètres!$A$1:$I$89,5,0)</f>
        <v>274.15440000000024</v>
      </c>
      <c r="AK103" s="13">
        <f t="shared" si="89"/>
        <v>65.730152764515893</v>
      </c>
      <c r="AL103" s="20">
        <f t="shared" si="58"/>
        <v>591.96559606486551</v>
      </c>
      <c r="AM103" s="59">
        <f t="shared" si="59"/>
        <v>885.29892939819888</v>
      </c>
      <c r="AN103" s="59">
        <f ca="1">AVERAGE(OFFSET($AM$3,0,0,'Données projet'!$E$10+1,1))-AVERAGE(OFFSET($H$3,0,0,'Données projet'!$E$10+1,1))</f>
        <v>253.16772905022714</v>
      </c>
      <c r="AO103" s="59">
        <f t="shared" si="90"/>
        <v>156.67965022779907</v>
      </c>
      <c r="AP103" s="15" t="str">
        <f>IF(ISNA(VLOOKUP(A103,'Données projet'!$A$61:$I$81,3,0)),0,VLOOKUP(A103,'Données projet'!$A$61:$I$81,3,0))</f>
        <v>CR</v>
      </c>
      <c r="AQ103" s="15">
        <f>IF(ISNA(VLOOKUP(A103,'Données projet'!$A$61:$I$81,4,0)),0,VLOOKUP(A103,'Données projet'!$A$61:$I$81,4,0))</f>
        <v>303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1.3579988404101313E-8</v>
      </c>
      <c r="AX103" s="21">
        <f t="shared" si="60"/>
        <v>1.3579988404101313E-8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-2.8421709430404007E-14</v>
      </c>
      <c r="BE103" s="13">
        <f>BD103*VLOOKUP('Données projet'!$B$11,Paramètres!$A$1:$I$89,3,0)*VLOOKUP('Données projet'!$B$11,Paramètres!$A$1:$I$89,5,0)</f>
        <v>-1.6996182239381599E-14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119.24399403036387</v>
      </c>
      <c r="BJ103" s="59">
        <f t="shared" si="92"/>
        <v>119.60076838354843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2.9096363216703364E-11</v>
      </c>
      <c r="BS103" s="22">
        <f t="shared" si="63"/>
        <v>2.9096363216703364E-11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170</v>
      </c>
      <c r="BW103" s="12">
        <f>VLOOKUP(A103,'Données projet'!$A$113:$I$133,9,0)</f>
        <v>3</v>
      </c>
      <c r="BX103" s="12">
        <f t="array" ref="BX103">INDEX(BW:BW,MIN(IF(ISNUMBER(BW103:BW299),ROW(BW103:BW299),"")))</f>
        <v>3</v>
      </c>
      <c r="BY103" s="12">
        <f>IF('Données projet'!$A$114&gt;35,BY102+BX103-CG102,IF(A103&lt;'Données projet'!$A$114,$BV$205^A103,IF(A103='Données projet'!$A$114,'Données projet'!$B$114,BY102+BX103-CG102)))</f>
        <v>170</v>
      </c>
      <c r="BZ103" s="13">
        <f>BY103*VLOOKUP('Données projet'!$B$12,Paramètres!$A$1:$I$89,3,0)*VLOOKUP('Données projet'!$B$12,Paramètres!$A$1:$I$89,5,0)</f>
        <v>164.42400000000001</v>
      </c>
      <c r="CA103" s="13">
        <f t="shared" si="93"/>
        <v>41.838771477410226</v>
      </c>
      <c r="CB103" s="20">
        <f t="shared" si="64"/>
        <v>359.24099365648948</v>
      </c>
      <c r="CC103" s="59">
        <f t="shared" si="65"/>
        <v>652.57432698982279</v>
      </c>
      <c r="CD103" s="59">
        <f ca="1">AVERAGE(OFFSET($CC$3,0,0,'Données projet'!$E$12+1,1))-AVERAGE(OFFSET($H$3,0,0,'Données projet'!$E$12+1,1))</f>
        <v>135.95692658150551</v>
      </c>
      <c r="CE103" s="59">
        <f t="shared" si="94"/>
        <v>79.394119001888612</v>
      </c>
      <c r="CF103" s="15">
        <f>IF(ISNA(VLOOKUP(A103,'Données projet'!$A$113:$I$133,3,0)),0,VLOOKUP(A103,'Données projet'!$A$113:$I$133,3,0))</f>
        <v>15</v>
      </c>
      <c r="CG103" s="15">
        <f>IF(ISNA(VLOOKUP(A103,'Données projet'!$A$113:$I$133,4,0)),0,VLOOKUP(A103,'Données projet'!$A$113:$I$133,4,0))</f>
        <v>9</v>
      </c>
      <c r="CH103" s="16">
        <f>IF(ISNA(VLOOKUP(A103,'Données projet'!$A$113:$I$133,5,0)),0%,VLOOKUP(A103,'Données projet'!$A$113:$I$133,5,0)*VLOOKUP('Données projet'!$B$12,Paramètres!$A$1:$I$89,7,0))</f>
        <v>0.25800000000000001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0.1</v>
      </c>
      <c r="CK103" s="21">
        <f>EXP(-LN(2)/35)*CK102+(1-EXP(-LN(2)/35))/(LN(2)/35)*CG103*CH103*VLOOKUP('Données projet'!$B$12,Paramètres!$A$1:$I$89,3,0)*0.475*44/12</f>
        <v>15.144012426030343</v>
      </c>
      <c r="CL103" s="21">
        <f>EXP(-LN(2)/25)*CL102+(1-EXP(-LN(2)/25))/(LN(2)/25)*Calculateur!CG103*Calculateur!CI103*VLOOKUP('Données projet'!$B$12,Paramètres!$A$1:$I$89,3,0)*0.475*44/12</f>
        <v>2.2841788410254038</v>
      </c>
      <c r="CM103" s="21">
        <f>EXP(-LN(2)/2)*CM102+(1-EXP(-LN(2)/2))/(LN(2)/2)*CG103*CJ103*VLOOKUP('Données projet'!$B$12,Paramètres!$A$1:$I$89,3,0)*0.475*44/12</f>
        <v>0.99770907586151847</v>
      </c>
      <c r="CN103" s="22">
        <f t="shared" si="66"/>
        <v>18.425900342917267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170</v>
      </c>
      <c r="CR103" s="12">
        <f>VLOOKUP(A103,'Données projet'!$A$139:$I$159,9,0)</f>
        <v>3</v>
      </c>
      <c r="CS103" s="12">
        <f t="array" ref="CS103">INDEX(CR:CR,MIN(IF(ISNUMBER(CR103:CR299),ROW(CR103:CR299),"")))</f>
        <v>3</v>
      </c>
      <c r="CT103" s="12">
        <f>IF('Données projet'!$A$140&gt;35,CT102+CS103-DB102,IF(A103&lt;'Données projet'!$A$140,$CQ$205^A103,IF(A103='Données projet'!$A$140,'Données projet'!$B$140,CT102+CS103-DB102)))</f>
        <v>170</v>
      </c>
      <c r="CU103" s="17">
        <f>CT103*VLOOKUP('Données projet'!$B$13,Paramètres!$A$1:$I$89,3,0)*VLOOKUP('Données projet'!$B$13,Paramètres!$A$1:$I$89,5,0)</f>
        <v>182.988</v>
      </c>
      <c r="CV103" s="13">
        <f t="shared" si="95"/>
        <v>45.986322796524831</v>
      </c>
      <c r="CW103" s="20">
        <f t="shared" si="67"/>
        <v>398.79694553728069</v>
      </c>
      <c r="CX103" s="59">
        <f t="shared" si="68"/>
        <v>692.13027887061401</v>
      </c>
      <c r="CY103" s="59">
        <f ca="1">AVERAGE(OFFSET($CX$3,0,0,'Données projet'!$E$13+1,1))-AVERAGE(OFFSET($H$3,0,0,'Données projet'!$E$13+1,1))</f>
        <v>158.74837032815333</v>
      </c>
      <c r="CZ103" s="59">
        <f t="shared" si="96"/>
        <v>92.286636088270086</v>
      </c>
      <c r="DA103" s="15">
        <f>IF(ISNA(VLOOKUP(A103,'Données projet'!$A$139:$I$159,3,0)),0,VLOOKUP(A103,'Données projet'!$A$139:$I$159,3,0))</f>
        <v>15</v>
      </c>
      <c r="DB103" s="15">
        <f>IF(ISNA(VLOOKUP(A103,'Données projet'!$A$139:$I$159,4,0)),0,VLOOKUP(A103,'Données projet'!$A$139:$I$159,4,0))</f>
        <v>9</v>
      </c>
      <c r="DC103" s="16">
        <f>IF(ISNA(VLOOKUP(A103,'Données projet'!$A$139:$I$159,5,0)),0%,VLOOKUP(A103,'Données projet'!$A$139:$I$159,5,0)*VLOOKUP('Données projet'!$B$13,Paramètres!$A$1:$I$89,7,0))</f>
        <v>0.25800000000000001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0.1</v>
      </c>
      <c r="DF103" s="21">
        <f>EXP(-LN(2)/35)*DF102+(1-EXP(-LN(2)/35))/(LN(2)/35)*DB103*DC103*VLOOKUP('Données projet'!$B$13,Paramètres!$A$1:$I$89,3,0)*0.475*44/12</f>
        <v>16.853820280582152</v>
      </c>
      <c r="DG103" s="21">
        <f>EXP(-LN(2)/25)*DG102+(1-EXP(-LN(2)/25))/(LN(2)/25)*Calculateur!DB103*Calculateur!DD103*VLOOKUP('Données projet'!$B$13,Paramètres!$A$1:$I$89,3,0)*0.475*44/12</f>
        <v>2.5420700004960128</v>
      </c>
      <c r="DH103" s="21">
        <f>EXP(-LN(2)/2)*DH102+(1-EXP(-LN(2)/2))/(LN(2)/2)*DB103*DE103*VLOOKUP('Données projet'!$B$13,Paramètres!$A$1:$I$89,3,0)*0.475*44/12</f>
        <v>1.1103536489426575</v>
      </c>
      <c r="DI103" s="22">
        <f t="shared" si="69"/>
        <v>20.506243930020823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2.8421709430404007E-13</v>
      </c>
      <c r="O104" s="13">
        <f>N104*VLOOKUP('Données projet'!$B$9,Paramètres!$A$1:$I$89,3,0)*VLOOKUP('Données projet'!$B$9,Paramètres!$A$1:$I$89,5,0)</f>
        <v>2.3942448024172339E-13</v>
      </c>
      <c r="P104" s="13">
        <f t="shared" si="87"/>
        <v>3.2492669905861755E-12</v>
      </c>
      <c r="Q104" s="20">
        <f t="shared" si="107"/>
        <v>6.0761376450252573E-12</v>
      </c>
      <c r="R104" s="59">
        <f t="shared" si="55"/>
        <v>293.3333333333394</v>
      </c>
      <c r="S104" s="59">
        <f ca="1">AVERAGE(OFFSET($R$3,0,0,'Données projet'!$E$9+1,1))-AVERAGE(OFFSET($H$3,0,0,'Données projet'!$E$9+1,1))</f>
        <v>231.91408074258248</v>
      </c>
      <c r="T104" s="59">
        <f t="shared" si="88"/>
        <v>143.57726487417773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8.9402603793902553E-9</v>
      </c>
      <c r="AC104" s="22">
        <f t="shared" si="57"/>
        <v>8.9402603793902553E-9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2.8421709430404007E-13</v>
      </c>
      <c r="AJ104" s="13">
        <f>AI104*VLOOKUP('Données projet'!$B$10,Paramètres!$A$1:$I$89,3,0)*VLOOKUP('Données projet'!$B$10,Paramètres!$A$1:$I$89,5,0)</f>
        <v>2.5715962692629546E-13</v>
      </c>
      <c r="AK104" s="13">
        <f t="shared" si="89"/>
        <v>3.4610450122128953E-12</v>
      </c>
      <c r="AL104" s="20">
        <f t="shared" si="58"/>
        <v>6.4758730798340893E-12</v>
      </c>
      <c r="AM104" s="59">
        <f t="shared" si="59"/>
        <v>293.33333333333979</v>
      </c>
      <c r="AN104" s="59">
        <f ca="1">AVERAGE(OFFSET($AM$3,0,0,'Données projet'!$E$10+1,1))-AVERAGE(OFFSET($H$3,0,0,'Données projet'!$E$10+1,1))</f>
        <v>253.16772905022714</v>
      </c>
      <c r="AO104" s="59">
        <f t="shared" si="90"/>
        <v>156.67965022779907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9.6025018889747198E-9</v>
      </c>
      <c r="AX104" s="21">
        <f t="shared" si="60"/>
        <v>9.6025018889747198E-9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-2.8421709430404007E-14</v>
      </c>
      <c r="BE104" s="13">
        <f>BD104*VLOOKUP('Données projet'!$B$11,Paramètres!$A$1:$I$89,3,0)*VLOOKUP('Données projet'!$B$11,Paramètres!$A$1:$I$89,5,0)</f>
        <v>-1.6996182239381599E-14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119.24399403036387</v>
      </c>
      <c r="BJ104" s="59">
        <f t="shared" si="92"/>
        <v>119.60076838354843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2.0574235738397778E-11</v>
      </c>
      <c r="BS104" s="22">
        <f t="shared" si="63"/>
        <v>2.0574235738397778E-11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2.8</v>
      </c>
      <c r="BY104" s="12">
        <f>IF('Données projet'!$A$114&gt;35,BY103+BX104-CG103,IF(A104&lt;'Données projet'!$A$114,$BV$205^A104,IF(A104='Données projet'!$A$114,'Données projet'!$B$114,BY103+BX104-CG103)))</f>
        <v>163.80000000000001</v>
      </c>
      <c r="BZ104" s="13">
        <f>BY104*VLOOKUP('Données projet'!$B$12,Paramètres!$A$1:$I$89,3,0)*VLOOKUP('Données projet'!$B$12,Paramètres!$A$1:$I$89,5,0)</f>
        <v>158.42736000000002</v>
      </c>
      <c r="CA104" s="13">
        <f t="shared" si="93"/>
        <v>40.487598405868248</v>
      </c>
      <c r="CB104" s="20">
        <f t="shared" si="64"/>
        <v>346.4435525568872</v>
      </c>
      <c r="CC104" s="59">
        <f t="shared" si="65"/>
        <v>639.77688589022046</v>
      </c>
      <c r="CD104" s="59">
        <f ca="1">AVERAGE(OFFSET($CC$3,0,0,'Données projet'!$E$12+1,1))-AVERAGE(OFFSET($H$3,0,0,'Données projet'!$E$12+1,1))</f>
        <v>135.95692658150551</v>
      </c>
      <c r="CE104" s="59">
        <f t="shared" si="94"/>
        <v>79.394119001888612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14.847047579291397</v>
      </c>
      <c r="CL104" s="21">
        <f>EXP(-LN(2)/25)*CL103+(1-EXP(-LN(2)/25))/(LN(2)/25)*Calculateur!CG104*Calculateur!CI104*VLOOKUP('Données projet'!$B$12,Paramètres!$A$1:$I$89,3,0)*0.475*44/12</f>
        <v>2.2217178504978197</v>
      </c>
      <c r="CM104" s="21">
        <f>EXP(-LN(2)/2)*CM103+(1-EXP(-LN(2)/2))/(LN(2)/2)*CG104*CJ104*VLOOKUP('Données projet'!$B$12,Paramètres!$A$1:$I$89,3,0)*0.475*44/12</f>
        <v>0.70548685319304338</v>
      </c>
      <c r="CN104" s="22">
        <f t="shared" si="66"/>
        <v>17.77425228298226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2.8</v>
      </c>
      <c r="CT104" s="12">
        <f>IF('Données projet'!$A$140&gt;35,CT103+CS104-DB103,IF(A104&lt;'Données projet'!$A$140,$CQ$205^A104,IF(A104='Données projet'!$A$140,'Données projet'!$B$140,CT103+CS104-DB103)))</f>
        <v>163.80000000000001</v>
      </c>
      <c r="CU104" s="17">
        <f>CT104*VLOOKUP('Données projet'!$B$13,Paramètres!$A$1:$I$89,3,0)*VLOOKUP('Données projet'!$B$13,Paramètres!$A$1:$I$89,5,0)</f>
        <v>176.31432000000001</v>
      </c>
      <c r="CV104" s="13">
        <f t="shared" si="95"/>
        <v>44.501205551735517</v>
      </c>
      <c r="CW104" s="20">
        <f t="shared" si="67"/>
        <v>384.58704033593932</v>
      </c>
      <c r="CX104" s="59">
        <f t="shared" si="68"/>
        <v>677.92037366927264</v>
      </c>
      <c r="CY104" s="59">
        <f ca="1">AVERAGE(OFFSET($CX$3,0,0,'Données projet'!$E$13+1,1))-AVERAGE(OFFSET($H$3,0,0,'Données projet'!$E$13+1,1))</f>
        <v>158.74837032815333</v>
      </c>
      <c r="CZ104" s="59">
        <f t="shared" si="96"/>
        <v>92.286636088270086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16.523327144695259</v>
      </c>
      <c r="DG104" s="21">
        <f>EXP(-LN(2)/25)*DG103+(1-EXP(-LN(2)/25))/(LN(2)/25)*Calculateur!DB104*Calculateur!DD104*VLOOKUP('Données projet'!$B$13,Paramètres!$A$1:$I$89,3,0)*0.475*44/12</f>
        <v>2.4725569626507982</v>
      </c>
      <c r="DH104" s="21">
        <f>EXP(-LN(2)/2)*DH103+(1-EXP(-LN(2)/2))/(LN(2)/2)*DB104*DE104*VLOOKUP('Données projet'!$B$13,Paramètres!$A$1:$I$89,3,0)*0.475*44/12</f>
        <v>0.7851385946825804</v>
      </c>
      <c r="DI104" s="22">
        <f t="shared" si="69"/>
        <v>19.781022702028636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2.8421709430404007E-13</v>
      </c>
      <c r="O105" s="13">
        <f>N105*VLOOKUP('Données projet'!$B$9,Paramètres!$A$1:$I$89,3,0)*VLOOKUP('Données projet'!$B$9,Paramètres!$A$1:$I$89,5,0)</f>
        <v>2.3942448024172339E-13</v>
      </c>
      <c r="P105" s="13">
        <f t="shared" si="87"/>
        <v>3.2492669905861755E-12</v>
      </c>
      <c r="Q105" s="20">
        <f t="shared" si="107"/>
        <v>6.0761376450252573E-12</v>
      </c>
      <c r="R105" s="59">
        <f t="shared" si="55"/>
        <v>293.3333333333394</v>
      </c>
      <c r="S105" s="59">
        <f ca="1">AVERAGE(OFFSET($R$3,0,0,'Données projet'!$E$9+1,1))-AVERAGE(OFFSET($H$3,0,0,'Données projet'!$E$9+1,1))</f>
        <v>231.91408074258248</v>
      </c>
      <c r="T105" s="59">
        <f t="shared" si="88"/>
        <v>143.57726487417773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6.3217187398402658E-9</v>
      </c>
      <c r="AC105" s="22">
        <f t="shared" si="57"/>
        <v>6.3217187398402658E-9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2.8421709430404007E-13</v>
      </c>
      <c r="AJ105" s="13">
        <f>AI105*VLOOKUP('Données projet'!$B$10,Paramètres!$A$1:$I$89,3,0)*VLOOKUP('Données projet'!$B$10,Paramètres!$A$1:$I$89,5,0)</f>
        <v>2.5715962692629546E-13</v>
      </c>
      <c r="AK105" s="13">
        <f t="shared" si="89"/>
        <v>3.4610450122128953E-12</v>
      </c>
      <c r="AL105" s="20">
        <f t="shared" si="58"/>
        <v>6.4758730798340893E-12</v>
      </c>
      <c r="AM105" s="59">
        <f t="shared" si="59"/>
        <v>293.33333333333979</v>
      </c>
      <c r="AN105" s="59">
        <f ca="1">AVERAGE(OFFSET($AM$3,0,0,'Données projet'!$E$10+1,1))-AVERAGE(OFFSET($H$3,0,0,'Données projet'!$E$10+1,1))</f>
        <v>253.16772905022714</v>
      </c>
      <c r="AO105" s="59">
        <f t="shared" si="90"/>
        <v>156.67965022779907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6.7899942020506566E-9</v>
      </c>
      <c r="AX105" s="21">
        <f t="shared" si="60"/>
        <v>6.7899942020506566E-9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-2.8421709430404007E-14</v>
      </c>
      <c r="BE105" s="13">
        <f>BD105*VLOOKUP('Données projet'!$B$11,Paramètres!$A$1:$I$89,3,0)*VLOOKUP('Données projet'!$B$11,Paramètres!$A$1:$I$89,5,0)</f>
        <v>-1.6996182239381599E-14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119.24399403036387</v>
      </c>
      <c r="BJ105" s="59">
        <f t="shared" si="92"/>
        <v>119.60076838354843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1.4548181608351685E-11</v>
      </c>
      <c r="BS105" s="22">
        <f t="shared" si="63"/>
        <v>1.4548181608351685E-11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2.8</v>
      </c>
      <c r="BY105" s="12">
        <f>IF('Données projet'!$A$114&gt;35,BY104+BX105-CG104,IF(A105&lt;'Données projet'!$A$114,$BV$205^A105,IF(A105='Données projet'!$A$114,'Données projet'!$B$114,BY104+BX105-CG104)))</f>
        <v>166.60000000000002</v>
      </c>
      <c r="BZ105" s="13">
        <f>BY105*VLOOKUP('Données projet'!$B$12,Paramètres!$A$1:$I$89,3,0)*VLOOKUP('Données projet'!$B$12,Paramètres!$A$1:$I$89,5,0)</f>
        <v>161.13552000000004</v>
      </c>
      <c r="CA105" s="13">
        <f t="shared" si="93"/>
        <v>41.098529601592205</v>
      </c>
      <c r="CB105" s="20">
        <f t="shared" si="64"/>
        <v>352.22430305610646</v>
      </c>
      <c r="CC105" s="59">
        <f t="shared" si="65"/>
        <v>645.55763638943972</v>
      </c>
      <c r="CD105" s="59">
        <f ca="1">AVERAGE(OFFSET($CC$3,0,0,'Données projet'!$E$12+1,1))-AVERAGE(OFFSET($H$3,0,0,'Données projet'!$E$12+1,1))</f>
        <v>135.95692658150551</v>
      </c>
      <c r="CE105" s="59">
        <f t="shared" si="94"/>
        <v>79.394119001888612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14.55590603206633</v>
      </c>
      <c r="CL105" s="21">
        <f>EXP(-LN(2)/25)*CL104+(1-EXP(-LN(2)/25))/(LN(2)/25)*Calculateur!CG105*Calculateur!CI105*VLOOKUP('Données projet'!$B$12,Paramètres!$A$1:$I$89,3,0)*0.475*44/12</f>
        <v>2.160964859040893</v>
      </c>
      <c r="CM105" s="21">
        <f>EXP(-LN(2)/2)*CM104+(1-EXP(-LN(2)/2))/(LN(2)/2)*CG105*CJ105*VLOOKUP('Données projet'!$B$12,Paramètres!$A$1:$I$89,3,0)*0.475*44/12</f>
        <v>0.49885453793075935</v>
      </c>
      <c r="CN105" s="22">
        <f t="shared" si="66"/>
        <v>17.215725429037985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2.8</v>
      </c>
      <c r="CT105" s="12">
        <f>IF('Données projet'!$A$140&gt;35,CT104+CS105-DB104,IF(A105&lt;'Données projet'!$A$140,$CQ$205^A105,IF(A105='Données projet'!$A$140,'Données projet'!$B$140,CT104+CS105-DB104)))</f>
        <v>166.60000000000002</v>
      </c>
      <c r="CU105" s="17">
        <f>CT105*VLOOKUP('Données projet'!$B$13,Paramètres!$A$1:$I$89,3,0)*VLOOKUP('Données projet'!$B$13,Paramètres!$A$1:$I$89,5,0)</f>
        <v>179.32824000000002</v>
      </c>
      <c r="CV105" s="13">
        <f t="shared" si="95"/>
        <v>45.172699436019357</v>
      </c>
      <c r="CW105" s="20">
        <f t="shared" si="67"/>
        <v>391.00580285106707</v>
      </c>
      <c r="CX105" s="59">
        <f t="shared" si="68"/>
        <v>684.33913618440033</v>
      </c>
      <c r="CY105" s="59">
        <f ca="1">AVERAGE(OFFSET($CX$3,0,0,'Données projet'!$E$13+1,1))-AVERAGE(OFFSET($H$3,0,0,'Données projet'!$E$13+1,1))</f>
        <v>158.74837032815333</v>
      </c>
      <c r="CZ105" s="59">
        <f t="shared" si="96"/>
        <v>92.286636088270086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16.199314777622199</v>
      </c>
      <c r="DG105" s="21">
        <f>EXP(-LN(2)/25)*DG104+(1-EXP(-LN(2)/25))/(LN(2)/25)*Calculateur!DB105*Calculateur!DD105*VLOOKUP('Données projet'!$B$13,Paramètres!$A$1:$I$89,3,0)*0.475*44/12</f>
        <v>2.4049447624809925</v>
      </c>
      <c r="DH105" s="21">
        <f>EXP(-LN(2)/2)*DH104+(1-EXP(-LN(2)/2))/(LN(2)/2)*DB105*DE105*VLOOKUP('Données projet'!$B$13,Paramètres!$A$1:$I$89,3,0)*0.475*44/12</f>
        <v>0.55517682447132888</v>
      </c>
      <c r="DI105" s="22">
        <f t="shared" si="69"/>
        <v>19.159436364574521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2.8421709430404007E-13</v>
      </c>
      <c r="O106" s="13">
        <f>N106*VLOOKUP('Données projet'!$B$9,Paramètres!$A$1:$I$89,3,0)*VLOOKUP('Données projet'!$B$9,Paramètres!$A$1:$I$89,5,0)</f>
        <v>2.3942448024172339E-13</v>
      </c>
      <c r="P106" s="13">
        <f t="shared" si="87"/>
        <v>3.2492669905861755E-12</v>
      </c>
      <c r="Q106" s="20">
        <f t="shared" si="107"/>
        <v>6.0761376450252573E-12</v>
      </c>
      <c r="R106" s="59">
        <f t="shared" si="55"/>
        <v>293.3333333333394</v>
      </c>
      <c r="S106" s="59">
        <f ca="1">AVERAGE(OFFSET($R$3,0,0,'Données projet'!$E$9+1,1))-AVERAGE(OFFSET($H$3,0,0,'Données projet'!$E$9+1,1))</f>
        <v>231.91408074258248</v>
      </c>
      <c r="T106" s="59">
        <f t="shared" si="88"/>
        <v>143.57726487417773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4.4701301896951277E-9</v>
      </c>
      <c r="AC106" s="22">
        <f t="shared" si="57"/>
        <v>4.4701301896951277E-9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2.8421709430404007E-13</v>
      </c>
      <c r="AJ106" s="13">
        <f>AI106*VLOOKUP('Données projet'!$B$10,Paramètres!$A$1:$I$89,3,0)*VLOOKUP('Données projet'!$B$10,Paramètres!$A$1:$I$89,5,0)</f>
        <v>2.5715962692629546E-13</v>
      </c>
      <c r="AK106" s="13">
        <f t="shared" si="89"/>
        <v>3.4610450122128953E-12</v>
      </c>
      <c r="AL106" s="20">
        <f t="shared" si="58"/>
        <v>6.4758730798340893E-12</v>
      </c>
      <c r="AM106" s="59">
        <f t="shared" si="59"/>
        <v>293.33333333333979</v>
      </c>
      <c r="AN106" s="59">
        <f ca="1">AVERAGE(OFFSET($AM$3,0,0,'Données projet'!$E$10+1,1))-AVERAGE(OFFSET($H$3,0,0,'Données projet'!$E$10+1,1))</f>
        <v>253.16772905022714</v>
      </c>
      <c r="AO106" s="59">
        <f t="shared" si="90"/>
        <v>156.67965022779907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4.8012509444873599E-9</v>
      </c>
      <c r="AX106" s="21">
        <f t="shared" si="60"/>
        <v>4.8012509444873599E-9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-2.8421709430404007E-14</v>
      </c>
      <c r="BE106" s="13">
        <f>BD106*VLOOKUP('Données projet'!$B$11,Paramètres!$A$1:$I$89,3,0)*VLOOKUP('Données projet'!$B$11,Paramètres!$A$1:$I$89,5,0)</f>
        <v>-1.6996182239381599E-14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119.24399403036387</v>
      </c>
      <c r="BJ106" s="59">
        <f t="shared" si="92"/>
        <v>119.60076838354843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1.0287117869198891E-11</v>
      </c>
      <c r="BS106" s="22">
        <f t="shared" si="63"/>
        <v>1.0287117869198891E-11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2.8</v>
      </c>
      <c r="BY106" s="12">
        <f>IF('Données projet'!$A$114&gt;35,BY105+BX106-CG105,IF(A106&lt;'Données projet'!$A$114,$BV$205^A106,IF(A106='Données projet'!$A$114,'Données projet'!$B$114,BY105+BX106-CG105)))</f>
        <v>169.40000000000003</v>
      </c>
      <c r="BZ106" s="13">
        <f>BY106*VLOOKUP('Données projet'!$B$12,Paramètres!$A$1:$I$89,3,0)*VLOOKUP('Données projet'!$B$12,Paramètres!$A$1:$I$89,5,0)</f>
        <v>163.84368000000003</v>
      </c>
      <c r="CA106" s="13">
        <f t="shared" si="93"/>
        <v>41.708266739938274</v>
      </c>
      <c r="CB106" s="20">
        <f t="shared" si="64"/>
        <v>358.00297390539254</v>
      </c>
      <c r="CC106" s="59">
        <f t="shared" si="65"/>
        <v>651.33630723872579</v>
      </c>
      <c r="CD106" s="59">
        <f ca="1">AVERAGE(OFFSET($CC$3,0,0,'Données projet'!$E$12+1,1))-AVERAGE(OFFSET($H$3,0,0,'Données projet'!$E$12+1,1))</f>
        <v>135.95692658150551</v>
      </c>
      <c r="CE106" s="59">
        <f t="shared" si="94"/>
        <v>79.394119001888612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14.270473593003537</v>
      </c>
      <c r="CL106" s="21">
        <f>EXP(-LN(2)/25)*CL105+(1-EXP(-LN(2)/25))/(LN(2)/25)*Calculateur!CG106*Calculateur!CI106*VLOOKUP('Données projet'!$B$12,Paramètres!$A$1:$I$89,3,0)*0.475*44/12</f>
        <v>2.1018731613302166</v>
      </c>
      <c r="CM106" s="21">
        <f>EXP(-LN(2)/2)*CM105+(1-EXP(-LN(2)/2))/(LN(2)/2)*CG106*CJ106*VLOOKUP('Données projet'!$B$12,Paramètres!$A$1:$I$89,3,0)*0.475*44/12</f>
        <v>0.35274342659652175</v>
      </c>
      <c r="CN106" s="22">
        <f t="shared" si="66"/>
        <v>16.725090180930277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2.8</v>
      </c>
      <c r="CT106" s="12">
        <f>IF('Données projet'!$A$140&gt;35,CT105+CS106-DB105,IF(A106&lt;'Données projet'!$A$140,$CQ$205^A106,IF(A106='Données projet'!$A$140,'Données projet'!$B$140,CT105+CS106-DB105)))</f>
        <v>169.40000000000003</v>
      </c>
      <c r="CU106" s="17">
        <f>CT106*VLOOKUP('Données projet'!$B$13,Paramètres!$A$1:$I$89,3,0)*VLOOKUP('Données projet'!$B$13,Paramètres!$A$1:$I$89,5,0)</f>
        <v>182.34216000000004</v>
      </c>
      <c r="CV106" s="13">
        <f t="shared" si="95"/>
        <v>45.842880893908273</v>
      </c>
      <c r="CW106" s="20">
        <f t="shared" si="67"/>
        <v>397.42227955689032</v>
      </c>
      <c r="CX106" s="59">
        <f t="shared" si="68"/>
        <v>690.75561289022357</v>
      </c>
      <c r="CY106" s="59">
        <f ca="1">AVERAGE(OFFSET($CX$3,0,0,'Données projet'!$E$13+1,1))-AVERAGE(OFFSET($H$3,0,0,'Données projet'!$E$13+1,1))</f>
        <v>158.74837032815333</v>
      </c>
      <c r="CZ106" s="59">
        <f t="shared" si="96"/>
        <v>92.286636088270086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15.881656095439412</v>
      </c>
      <c r="DG106" s="21">
        <f>EXP(-LN(2)/25)*DG105+(1-EXP(-LN(2)/25))/(LN(2)/25)*Calculateur!DB106*Calculateur!DD106*VLOOKUP('Données projet'!$B$13,Paramètres!$A$1:$I$89,3,0)*0.475*44/12</f>
        <v>2.3391814214804012</v>
      </c>
      <c r="DH106" s="21">
        <f>EXP(-LN(2)/2)*DH105+(1-EXP(-LN(2)/2))/(LN(2)/2)*DB106*DE106*VLOOKUP('Données projet'!$B$13,Paramètres!$A$1:$I$89,3,0)*0.475*44/12</f>
        <v>0.39256929734129026</v>
      </c>
      <c r="DI106" s="22">
        <f t="shared" si="69"/>
        <v>18.613406814261104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2.8421709430404007E-13</v>
      </c>
      <c r="O107" s="13">
        <f>N107*VLOOKUP('Données projet'!$B$9,Paramètres!$A$1:$I$89,3,0)*VLOOKUP('Données projet'!$B$9,Paramètres!$A$1:$I$89,5,0)</f>
        <v>2.3942448024172339E-13</v>
      </c>
      <c r="P107" s="13">
        <f t="shared" si="87"/>
        <v>3.2492669905861755E-12</v>
      </c>
      <c r="Q107" s="20">
        <f t="shared" si="107"/>
        <v>6.0761376450252573E-12</v>
      </c>
      <c r="R107" s="59">
        <f t="shared" si="55"/>
        <v>293.3333333333394</v>
      </c>
      <c r="S107" s="59">
        <f ca="1">AVERAGE(OFFSET($R$3,0,0,'Données projet'!$E$9+1,1))-AVERAGE(OFFSET($H$3,0,0,'Données projet'!$E$9+1,1))</f>
        <v>231.91408074258248</v>
      </c>
      <c r="T107" s="59">
        <f t="shared" si="88"/>
        <v>143.57726487417773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3.1608593699201329E-9</v>
      </c>
      <c r="AC107" s="22">
        <f t="shared" si="57"/>
        <v>3.1608593699201329E-9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2.8421709430404007E-13</v>
      </c>
      <c r="AJ107" s="13">
        <f>AI107*VLOOKUP('Données projet'!$B$10,Paramètres!$A$1:$I$89,3,0)*VLOOKUP('Données projet'!$B$10,Paramètres!$A$1:$I$89,5,0)</f>
        <v>2.5715962692629546E-13</v>
      </c>
      <c r="AK107" s="13">
        <f t="shared" si="89"/>
        <v>3.4610450122128953E-12</v>
      </c>
      <c r="AL107" s="20">
        <f t="shared" si="58"/>
        <v>6.4758730798340893E-12</v>
      </c>
      <c r="AM107" s="59">
        <f t="shared" si="59"/>
        <v>293.33333333333979</v>
      </c>
      <c r="AN107" s="59">
        <f ca="1">AVERAGE(OFFSET($AM$3,0,0,'Données projet'!$E$10+1,1))-AVERAGE(OFFSET($H$3,0,0,'Données projet'!$E$10+1,1))</f>
        <v>253.16772905022714</v>
      </c>
      <c r="AO107" s="59">
        <f t="shared" si="90"/>
        <v>156.67965022779907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3.3949971010253283E-9</v>
      </c>
      <c r="AX107" s="21">
        <f t="shared" si="60"/>
        <v>3.3949971010253283E-9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-2.8421709430404007E-14</v>
      </c>
      <c r="BE107" s="13">
        <f>BD107*VLOOKUP('Données projet'!$B$11,Paramètres!$A$1:$I$89,3,0)*VLOOKUP('Données projet'!$B$11,Paramètres!$A$1:$I$89,5,0)</f>
        <v>-1.6996182239381599E-14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119.24399403036387</v>
      </c>
      <c r="BJ107" s="59">
        <f t="shared" si="92"/>
        <v>119.60076838354843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7.2740908041758434E-12</v>
      </c>
      <c r="BS107" s="22">
        <f t="shared" si="63"/>
        <v>7.2740908041758434E-12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2.8</v>
      </c>
      <c r="BY107" s="12">
        <f>IF('Données projet'!$A$114&gt;35,BY106+BX107-CG106,IF(A107&lt;'Données projet'!$A$114,$BV$205^A107,IF(A107='Données projet'!$A$114,'Données projet'!$B$114,BY106+BX107-CG106)))</f>
        <v>172.20000000000005</v>
      </c>
      <c r="BZ107" s="13">
        <f>BY107*VLOOKUP('Données projet'!$B$12,Paramètres!$A$1:$I$89,3,0)*VLOOKUP('Données projet'!$B$12,Paramètres!$A$1:$I$89,5,0)</f>
        <v>166.55184000000006</v>
      </c>
      <c r="CA107" s="13">
        <f t="shared" si="93"/>
        <v>42.316831835556208</v>
      </c>
      <c r="CB107" s="20">
        <f t="shared" si="64"/>
        <v>363.77960344692718</v>
      </c>
      <c r="CC107" s="59">
        <f t="shared" si="65"/>
        <v>657.1129367802605</v>
      </c>
      <c r="CD107" s="59">
        <f ca="1">AVERAGE(OFFSET($CC$3,0,0,'Données projet'!$E$12+1,1))-AVERAGE(OFFSET($H$3,0,0,'Données projet'!$E$12+1,1))</f>
        <v>135.95692658150551</v>
      </c>
      <c r="CE107" s="59">
        <f t="shared" si="94"/>
        <v>79.394119001888612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13.990638309974168</v>
      </c>
      <c r="CL107" s="21">
        <f>EXP(-LN(2)/25)*CL106+(1-EXP(-LN(2)/25))/(LN(2)/25)*Calculateur!CG107*Calculateur!CI107*VLOOKUP('Données projet'!$B$12,Paramètres!$A$1:$I$89,3,0)*0.475*44/12</f>
        <v>2.0443973292009363</v>
      </c>
      <c r="CM107" s="21">
        <f>EXP(-LN(2)/2)*CM106+(1-EXP(-LN(2)/2))/(LN(2)/2)*CG107*CJ107*VLOOKUP('Données projet'!$B$12,Paramètres!$A$1:$I$89,3,0)*0.475*44/12</f>
        <v>0.2494272689653797</v>
      </c>
      <c r="CN107" s="22">
        <f t="shared" si="66"/>
        <v>16.284462908140483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2.8</v>
      </c>
      <c r="CT107" s="12">
        <f>IF('Données projet'!$A$140&gt;35,CT106+CS107-DB106,IF(A107&lt;'Données projet'!$A$140,$CQ$205^A107,IF(A107='Données projet'!$A$140,'Données projet'!$B$140,CT106+CS107-DB106)))</f>
        <v>172.20000000000005</v>
      </c>
      <c r="CU107" s="17">
        <f>CT107*VLOOKUP('Données projet'!$B$13,Paramètres!$A$1:$I$89,3,0)*VLOOKUP('Données projet'!$B$13,Paramètres!$A$1:$I$89,5,0)</f>
        <v>185.35608000000005</v>
      </c>
      <c r="CV107" s="13">
        <f t="shared" si="95"/>
        <v>46.511774122403146</v>
      </c>
      <c r="CW107" s="20">
        <f t="shared" si="67"/>
        <v>403.83651259651884</v>
      </c>
      <c r="CX107" s="59">
        <f t="shared" si="68"/>
        <v>697.16984592985216</v>
      </c>
      <c r="CY107" s="59">
        <f ca="1">AVERAGE(OFFSET($CX$3,0,0,'Données projet'!$E$13+1,1))-AVERAGE(OFFSET($H$3,0,0,'Données projet'!$E$13+1,1))</f>
        <v>158.74837032815333</v>
      </c>
      <c r="CZ107" s="59">
        <f t="shared" si="96"/>
        <v>92.286636088270086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15.570226506261566</v>
      </c>
      <c r="DG107" s="21">
        <f>EXP(-LN(2)/25)*DG106+(1-EXP(-LN(2)/25))/(LN(2)/25)*Calculateur!DB107*Calculateur!DD107*VLOOKUP('Données projet'!$B$13,Paramètres!$A$1:$I$89,3,0)*0.475*44/12</f>
        <v>2.2752163824978151</v>
      </c>
      <c r="DH107" s="21">
        <f>EXP(-LN(2)/2)*DH106+(1-EXP(-LN(2)/2))/(LN(2)/2)*DB107*DE107*VLOOKUP('Données projet'!$B$13,Paramètres!$A$1:$I$89,3,0)*0.475*44/12</f>
        <v>0.27758841223566444</v>
      </c>
      <c r="DI107" s="22">
        <f t="shared" si="69"/>
        <v>18.123031300995045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2.8421709430404007E-13</v>
      </c>
      <c r="O108" s="13">
        <f>N108*VLOOKUP('Données projet'!$B$9,Paramètres!$A$1:$I$89,3,0)*VLOOKUP('Données projet'!$B$9,Paramètres!$A$1:$I$89,5,0)</f>
        <v>2.3942448024172339E-13</v>
      </c>
      <c r="P108" s="13">
        <f t="shared" si="87"/>
        <v>3.2492669905861755E-12</v>
      </c>
      <c r="Q108" s="20">
        <f t="shared" si="107"/>
        <v>6.0761376450252573E-12</v>
      </c>
      <c r="R108" s="59">
        <f t="shared" si="55"/>
        <v>293.3333333333394</v>
      </c>
      <c r="S108" s="59">
        <f ca="1">AVERAGE(OFFSET($R$3,0,0,'Données projet'!$E$9+1,1))-AVERAGE(OFFSET($H$3,0,0,'Données projet'!$E$9+1,1))</f>
        <v>231.91408074258248</v>
      </c>
      <c r="T108" s="59">
        <f t="shared" si="88"/>
        <v>143.57726487417773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2.2350650948475638E-9</v>
      </c>
      <c r="AC108" s="22">
        <f t="shared" si="57"/>
        <v>2.2350650948475638E-9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2.8421709430404007E-13</v>
      </c>
      <c r="AJ108" s="13">
        <f>AI108*VLOOKUP('Données projet'!$B$10,Paramètres!$A$1:$I$89,3,0)*VLOOKUP('Données projet'!$B$10,Paramètres!$A$1:$I$89,5,0)</f>
        <v>2.5715962692629546E-13</v>
      </c>
      <c r="AK108" s="13">
        <f t="shared" si="89"/>
        <v>3.4610450122128953E-12</v>
      </c>
      <c r="AL108" s="20">
        <f t="shared" si="58"/>
        <v>6.4758730798340893E-12</v>
      </c>
      <c r="AM108" s="59">
        <f t="shared" si="59"/>
        <v>293.33333333333979</v>
      </c>
      <c r="AN108" s="59">
        <f ca="1">AVERAGE(OFFSET($AM$3,0,0,'Données projet'!$E$10+1,1))-AVERAGE(OFFSET($H$3,0,0,'Données projet'!$E$10+1,1))</f>
        <v>253.16772905022714</v>
      </c>
      <c r="AO108" s="59">
        <f t="shared" si="90"/>
        <v>156.67965022779907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2.4006254722436799E-9</v>
      </c>
      <c r="AX108" s="21">
        <f t="shared" si="60"/>
        <v>2.4006254722436799E-9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-2.8421709430404007E-14</v>
      </c>
      <c r="BE108" s="13">
        <f>BD108*VLOOKUP('Données projet'!$B$11,Paramètres!$A$1:$I$89,3,0)*VLOOKUP('Données projet'!$B$11,Paramètres!$A$1:$I$89,5,0)</f>
        <v>-1.6996182239381599E-14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119.24399403036387</v>
      </c>
      <c r="BJ108" s="59">
        <f t="shared" si="92"/>
        <v>119.60076838354843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5.1435589345994461E-12</v>
      </c>
      <c r="BS108" s="22">
        <f t="shared" si="63"/>
        <v>5.1435589345994461E-12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>
        <f>VLOOKUP(A108,'Données projet'!$A$113:$I$133,2,0)</f>
        <v>175</v>
      </c>
      <c r="BW108" s="12">
        <f>VLOOKUP(A108,'Données projet'!$A$113:$I$133,9,0)</f>
        <v>2.8</v>
      </c>
      <c r="BX108" s="12">
        <f t="array" ref="BX108">INDEX(BW:BW,MIN(IF(ISNUMBER(BW108:BW304),ROW(BW108:BW304),"")))</f>
        <v>2.8</v>
      </c>
      <c r="BY108" s="12">
        <f>IF('Données projet'!$A$114&gt;35,BY107+BX108-CG107,IF(A108&lt;'Données projet'!$A$114,$BV$205^A108,IF(A108='Données projet'!$A$114,'Données projet'!$B$114,BY107+BX108-CG107)))</f>
        <v>175.00000000000006</v>
      </c>
      <c r="BZ108" s="13">
        <f>BY108*VLOOKUP('Données projet'!$B$12,Paramètres!$A$1:$I$89,3,0)*VLOOKUP('Données projet'!$B$12,Paramètres!$A$1:$I$89,5,0)</f>
        <v>169.26000000000005</v>
      </c>
      <c r="CA108" s="13">
        <f t="shared" si="93"/>
        <v>42.924246146122314</v>
      </c>
      <c r="CB108" s="20">
        <f t="shared" si="64"/>
        <v>369.55422870449638</v>
      </c>
      <c r="CC108" s="59">
        <f t="shared" si="65"/>
        <v>662.88756203782964</v>
      </c>
      <c r="CD108" s="59">
        <f ca="1">AVERAGE(OFFSET($CC$3,0,0,'Données projet'!$E$12+1,1))-AVERAGE(OFFSET($H$3,0,0,'Données projet'!$E$12+1,1))</f>
        <v>135.95692658150551</v>
      </c>
      <c r="CE108" s="59">
        <f t="shared" si="94"/>
        <v>79.394119001888612</v>
      </c>
      <c r="CF108" s="15">
        <f>IF(ISNA(VLOOKUP(A108,'Données projet'!$A$113:$I$133,3,0)),0,VLOOKUP(A108,'Données projet'!$A$113:$I$133,3,0))</f>
        <v>16</v>
      </c>
      <c r="CG108" s="15">
        <f>IF(ISNA(VLOOKUP(A108,'Données projet'!$A$113:$I$133,4,0)),0,VLOOKUP(A108,'Données projet'!$A$113:$I$133,4,0))</f>
        <v>9</v>
      </c>
      <c r="CH108" s="16">
        <f>IF(ISNA(VLOOKUP(A108,'Données projet'!$A$113:$I$133,5,0)),0%,VLOOKUP(A108,'Données projet'!$A$113:$I$133,5,0)*VLOOKUP('Données projet'!$B$12,Paramètres!$A$1:$I$89,7,0))</f>
        <v>0.25800000000000001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0.1</v>
      </c>
      <c r="CK108" s="21">
        <f>EXP(-LN(2)/35)*CK107+(1-EXP(-LN(2)/35))/(LN(2)/35)*CG108*CH108*VLOOKUP('Données projet'!$B$12,Paramètres!$A$1:$I$89,3,0)*0.475*44/12</f>
        <v>16.198998254580012</v>
      </c>
      <c r="CL108" s="21">
        <f>EXP(-LN(2)/25)*CL107+(1-EXP(-LN(2)/25))/(LN(2)/25)*Calculateur!CG108*Calculateur!CI108*VLOOKUP('Données projet'!$B$12,Paramètres!$A$1:$I$89,3,0)*0.475*44/12</f>
        <v>1.9884931767237537</v>
      </c>
      <c r="CM108" s="21">
        <f>EXP(-LN(2)/2)*CM107+(1-EXP(-LN(2)/2))/(LN(2)/2)*CG108*CJ108*VLOOKUP('Données projet'!$B$12,Paramètres!$A$1:$I$89,3,0)*0.475*44/12</f>
        <v>0.99769302192395926</v>
      </c>
      <c r="CN108" s="22">
        <f t="shared" si="66"/>
        <v>19.185184453227723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>
        <f>VLOOKUP(A108,'Données projet'!$A$139:$I$159,2,0)</f>
        <v>175</v>
      </c>
      <c r="CR108" s="12">
        <f>VLOOKUP(A108,'Données projet'!$A$139:$I$159,9,0)</f>
        <v>2.8</v>
      </c>
      <c r="CS108" s="12">
        <f t="array" ref="CS108">INDEX(CR:CR,MIN(IF(ISNUMBER(CR108:CR304),ROW(CR108:CR304),"")))</f>
        <v>2.8</v>
      </c>
      <c r="CT108" s="12">
        <f>IF('Données projet'!$A$140&gt;35,CT107+CS108-DB107,IF(A108&lt;'Données projet'!$A$140,$CQ$205^A108,IF(A108='Données projet'!$A$140,'Données projet'!$B$140,CT107+CS108-DB107)))</f>
        <v>175.00000000000006</v>
      </c>
      <c r="CU108" s="17">
        <f>CT108*VLOOKUP('Données projet'!$B$13,Paramètres!$A$1:$I$89,3,0)*VLOOKUP('Données projet'!$B$13,Paramètres!$A$1:$I$89,5,0)</f>
        <v>188.37000000000006</v>
      </c>
      <c r="CV108" s="13">
        <f t="shared" si="95"/>
        <v>47.179402486491298</v>
      </c>
      <c r="CW108" s="20">
        <f t="shared" si="67"/>
        <v>410.2485426639725</v>
      </c>
      <c r="CX108" s="59">
        <f t="shared" si="68"/>
        <v>703.58187599730581</v>
      </c>
      <c r="CY108" s="59">
        <f ca="1">AVERAGE(OFFSET($CX$3,0,0,'Données projet'!$E$13+1,1))-AVERAGE(OFFSET($H$3,0,0,'Données projet'!$E$13+1,1))</f>
        <v>158.74837032815333</v>
      </c>
      <c r="CZ108" s="59">
        <f t="shared" si="96"/>
        <v>92.286636088270086</v>
      </c>
      <c r="DA108" s="15">
        <f>IF(ISNA(VLOOKUP(A108,'Données projet'!$A$139:$I$159,3,0)),0,VLOOKUP(A108,'Données projet'!$A$139:$I$159,3,0))</f>
        <v>16</v>
      </c>
      <c r="DB108" s="15">
        <f>IF(ISNA(VLOOKUP(A108,'Données projet'!$A$139:$I$159,4,0)),0,VLOOKUP(A108,'Données projet'!$A$139:$I$159,4,0))</f>
        <v>9</v>
      </c>
      <c r="DC108" s="16">
        <f>IF(ISNA(VLOOKUP(A108,'Données projet'!$A$139:$I$159,5,0)),0%,VLOOKUP(A108,'Données projet'!$A$139:$I$159,5,0)*VLOOKUP('Données projet'!$B$13,Paramètres!$A$1:$I$89,7,0))</f>
        <v>0.25800000000000001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0.1</v>
      </c>
      <c r="DF108" s="21">
        <f>EXP(-LN(2)/35)*DF107+(1-EXP(-LN(2)/35))/(LN(2)/35)*DB108*DC108*VLOOKUP('Données projet'!$B$13,Paramètres!$A$1:$I$89,3,0)*0.475*44/12</f>
        <v>18.027917412355166</v>
      </c>
      <c r="DG108" s="21">
        <f>EXP(-LN(2)/25)*DG107+(1-EXP(-LN(2)/25))/(LN(2)/25)*Calculateur!DB108*Calculateur!DD108*VLOOKUP('Données projet'!$B$13,Paramètres!$A$1:$I$89,3,0)*0.475*44/12</f>
        <v>2.2130004708699831</v>
      </c>
      <c r="DH108" s="21">
        <f>EXP(-LN(2)/2)*DH107+(1-EXP(-LN(2)/2))/(LN(2)/2)*DB108*DE108*VLOOKUP('Données projet'!$B$13,Paramètres!$A$1:$I$89,3,0)*0.475*44/12</f>
        <v>1.110335782463761</v>
      </c>
      <c r="DI108" s="22">
        <f t="shared" si="69"/>
        <v>21.351253665688908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2.8421709430404007E-13</v>
      </c>
      <c r="O109" s="13">
        <f>N109*VLOOKUP('Données projet'!$B$9,Paramètres!$A$1:$I$89,3,0)*VLOOKUP('Données projet'!$B$9,Paramètres!$A$1:$I$89,5,0)</f>
        <v>2.3942448024172339E-13</v>
      </c>
      <c r="P109" s="13">
        <f t="shared" si="87"/>
        <v>3.2492669905861755E-12</v>
      </c>
      <c r="Q109" s="20">
        <f t="shared" si="107"/>
        <v>6.0761376450252573E-12</v>
      </c>
      <c r="R109" s="59">
        <f t="shared" si="55"/>
        <v>293.3333333333394</v>
      </c>
      <c r="S109" s="59">
        <f ca="1">AVERAGE(OFFSET($R$3,0,0,'Données projet'!$E$9+1,1))-AVERAGE(OFFSET($H$3,0,0,'Données projet'!$E$9+1,1))</f>
        <v>231.91408074258248</v>
      </c>
      <c r="T109" s="59">
        <f t="shared" si="88"/>
        <v>143.57726487417773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1.5804296849600664E-9</v>
      </c>
      <c r="AC109" s="22">
        <f t="shared" si="57"/>
        <v>1.5804296849600664E-9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2.8421709430404007E-13</v>
      </c>
      <c r="AJ109" s="13">
        <f>AI109*VLOOKUP('Données projet'!$B$10,Paramètres!$A$1:$I$89,3,0)*VLOOKUP('Données projet'!$B$10,Paramètres!$A$1:$I$89,5,0)</f>
        <v>2.5715962692629546E-13</v>
      </c>
      <c r="AK109" s="13">
        <f t="shared" si="89"/>
        <v>3.4610450122128953E-12</v>
      </c>
      <c r="AL109" s="20">
        <f t="shared" si="58"/>
        <v>6.4758730798340893E-12</v>
      </c>
      <c r="AM109" s="59">
        <f t="shared" si="59"/>
        <v>293.33333333333979</v>
      </c>
      <c r="AN109" s="59">
        <f ca="1">AVERAGE(OFFSET($AM$3,0,0,'Données projet'!$E$10+1,1))-AVERAGE(OFFSET($H$3,0,0,'Données projet'!$E$10+1,1))</f>
        <v>253.16772905022714</v>
      </c>
      <c r="AO109" s="59">
        <f t="shared" si="90"/>
        <v>156.67965022779907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1.6974985505126641E-9</v>
      </c>
      <c r="AX109" s="21">
        <f t="shared" si="60"/>
        <v>1.6974985505126641E-9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-2.8421709430404007E-14</v>
      </c>
      <c r="BE109" s="13">
        <f>BD109*VLOOKUP('Données projet'!$B$11,Paramètres!$A$1:$I$89,3,0)*VLOOKUP('Données projet'!$B$11,Paramètres!$A$1:$I$89,5,0)</f>
        <v>-1.6996182239381599E-14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119.24399403036387</v>
      </c>
      <c r="BJ109" s="59">
        <f t="shared" si="92"/>
        <v>119.60076838354843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3.6370454020879221E-12</v>
      </c>
      <c r="BS109" s="22">
        <f t="shared" si="63"/>
        <v>3.6370454020879221E-12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3</v>
      </c>
      <c r="BY109" s="12">
        <f>IF('Données projet'!$A$114&gt;35,BY108+BX109-CG108,IF(A109&lt;'Données projet'!$A$114,$BV$205^A109,IF(A109='Données projet'!$A$114,'Données projet'!$B$114,BY108+BX109-CG108)))</f>
        <v>169.00000000000006</v>
      </c>
      <c r="BZ109" s="13">
        <f>BY109*VLOOKUP('Données projet'!$B$12,Paramètres!$A$1:$I$89,3,0)*VLOOKUP('Données projet'!$B$12,Paramètres!$A$1:$I$89,5,0)</f>
        <v>163.45680000000004</v>
      </c>
      <c r="CA109" s="13">
        <f t="shared" si="93"/>
        <v>41.621233697261097</v>
      </c>
      <c r="CB109" s="20">
        <f t="shared" si="64"/>
        <v>357.17757535606319</v>
      </c>
      <c r="CC109" s="59">
        <f t="shared" si="65"/>
        <v>650.5109086893965</v>
      </c>
      <c r="CD109" s="59">
        <f ca="1">AVERAGE(OFFSET($CC$3,0,0,'Données projet'!$E$12+1,1))-AVERAGE(OFFSET($H$3,0,0,'Données projet'!$E$12+1,1))</f>
        <v>135.95692658150551</v>
      </c>
      <c r="CE109" s="59">
        <f t="shared" si="94"/>
        <v>79.394119001888612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15.881345779221023</v>
      </c>
      <c r="CL109" s="21">
        <f>EXP(-LN(2)/25)*CL108+(1-EXP(-LN(2)/25))/(LN(2)/25)*Calculateur!CG109*Calculateur!CI109*VLOOKUP('Données projet'!$B$12,Paramètres!$A$1:$I$89,3,0)*0.475*44/12</f>
        <v>1.9341177262359313</v>
      </c>
      <c r="CM109" s="21">
        <f>EXP(-LN(2)/2)*CM108+(1-EXP(-LN(2)/2))/(LN(2)/2)*CG109*CJ109*VLOOKUP('Données projet'!$B$12,Paramètres!$A$1:$I$89,3,0)*0.475*44/12</f>
        <v>0.70547550134493042</v>
      </c>
      <c r="CN109" s="22">
        <f t="shared" si="66"/>
        <v>18.520939006801886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3</v>
      </c>
      <c r="CT109" s="12">
        <f>IF('Données projet'!$A$140&gt;35,CT108+CS109-DB108,IF(A109&lt;'Données projet'!$A$140,$CQ$205^A109,IF(A109='Données projet'!$A$140,'Données projet'!$B$140,CT108+CS109-DB108)))</f>
        <v>169.00000000000006</v>
      </c>
      <c r="CU109" s="17">
        <f>CT109*VLOOKUP('Données projet'!$B$13,Paramètres!$A$1:$I$89,3,0)*VLOOKUP('Données projet'!$B$13,Paramètres!$A$1:$I$89,5,0)</f>
        <v>181.91160000000005</v>
      </c>
      <c r="CV109" s="13">
        <f t="shared" si="95"/>
        <v>45.747220111978386</v>
      </c>
      <c r="CW109" s="20">
        <f t="shared" si="67"/>
        <v>396.50577836169577</v>
      </c>
      <c r="CX109" s="59">
        <f t="shared" si="68"/>
        <v>689.83911169502903</v>
      </c>
      <c r="CY109" s="59">
        <f ca="1">AVERAGE(OFFSET($CX$3,0,0,'Données projet'!$E$13+1,1))-AVERAGE(OFFSET($H$3,0,0,'Données projet'!$E$13+1,1))</f>
        <v>158.74837032815333</v>
      </c>
      <c r="CZ109" s="59">
        <f t="shared" si="96"/>
        <v>92.286636088270086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17.674400947842742</v>
      </c>
      <c r="DG109" s="21">
        <f>EXP(-LN(2)/25)*DG108+(1-EXP(-LN(2)/25))/(LN(2)/25)*Calculateur!DB109*Calculateur!DD109*VLOOKUP('Données projet'!$B$13,Paramètres!$A$1:$I$89,3,0)*0.475*44/12</f>
        <v>2.1524858566174063</v>
      </c>
      <c r="DH109" s="21">
        <f>EXP(-LN(2)/2)*DH108+(1-EXP(-LN(2)/2))/(LN(2)/2)*DB109*DE109*VLOOKUP('Données projet'!$B$13,Paramètres!$A$1:$I$89,3,0)*0.475*44/12</f>
        <v>0.78512596117419675</v>
      </c>
      <c r="DI109" s="22">
        <f t="shared" si="69"/>
        <v>20.612012765634343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2.8421709430404007E-13</v>
      </c>
      <c r="O110" s="13">
        <f>N110*VLOOKUP('Données projet'!$B$9,Paramètres!$A$1:$I$89,3,0)*VLOOKUP('Données projet'!$B$9,Paramètres!$A$1:$I$89,5,0)</f>
        <v>2.3942448024172339E-13</v>
      </c>
      <c r="P110" s="13">
        <f t="shared" si="87"/>
        <v>3.2492669905861755E-12</v>
      </c>
      <c r="Q110" s="20">
        <f t="shared" si="107"/>
        <v>6.0761376450252573E-12</v>
      </c>
      <c r="R110" s="59">
        <f t="shared" si="55"/>
        <v>293.3333333333394</v>
      </c>
      <c r="S110" s="59">
        <f ca="1">AVERAGE(OFFSET($R$3,0,0,'Données projet'!$E$9+1,1))-AVERAGE(OFFSET($H$3,0,0,'Données projet'!$E$9+1,1))</f>
        <v>231.91408074258248</v>
      </c>
      <c r="T110" s="59">
        <f t="shared" si="88"/>
        <v>143.57726487417773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1.1175325474237819E-9</v>
      </c>
      <c r="AC110" s="22">
        <f t="shared" si="57"/>
        <v>1.1175325474237819E-9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2.8421709430404007E-13</v>
      </c>
      <c r="AJ110" s="13">
        <f>AI110*VLOOKUP('Données projet'!$B$10,Paramètres!$A$1:$I$89,3,0)*VLOOKUP('Données projet'!$B$10,Paramètres!$A$1:$I$89,5,0)</f>
        <v>2.5715962692629546E-13</v>
      </c>
      <c r="AK110" s="13">
        <f t="shared" si="89"/>
        <v>3.4610450122128953E-12</v>
      </c>
      <c r="AL110" s="20">
        <f t="shared" si="58"/>
        <v>6.4758730798340893E-12</v>
      </c>
      <c r="AM110" s="59">
        <f t="shared" si="59"/>
        <v>293.33333333333979</v>
      </c>
      <c r="AN110" s="59">
        <f ca="1">AVERAGE(OFFSET($AM$3,0,0,'Données projet'!$E$10+1,1))-AVERAGE(OFFSET($H$3,0,0,'Données projet'!$E$10+1,1))</f>
        <v>253.16772905022714</v>
      </c>
      <c r="AO110" s="59">
        <f t="shared" si="90"/>
        <v>156.67965022779907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1.20031273612184E-9</v>
      </c>
      <c r="AX110" s="21">
        <f t="shared" si="60"/>
        <v>1.20031273612184E-9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-2.8421709430404007E-14</v>
      </c>
      <c r="BE110" s="13">
        <f>BD110*VLOOKUP('Données projet'!$B$11,Paramètres!$A$1:$I$89,3,0)*VLOOKUP('Données projet'!$B$11,Paramètres!$A$1:$I$89,5,0)</f>
        <v>-1.6996182239381599E-14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119.24399403036387</v>
      </c>
      <c r="BJ110" s="59">
        <f t="shared" si="92"/>
        <v>119.60076838354843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2.5717794672997234E-12</v>
      </c>
      <c r="BS110" s="22">
        <f t="shared" si="63"/>
        <v>2.5717794672997234E-12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3</v>
      </c>
      <c r="BY110" s="12">
        <f>IF('Données projet'!$A$114&gt;35,BY109+BX110-CG109,IF(A110&lt;'Données projet'!$A$114,$BV$205^A110,IF(A110='Données projet'!$A$114,'Données projet'!$B$114,BY109+BX110-CG109)))</f>
        <v>172.00000000000006</v>
      </c>
      <c r="BZ110" s="13">
        <f>BY110*VLOOKUP('Données projet'!$B$12,Paramètres!$A$1:$I$89,3,0)*VLOOKUP('Données projet'!$B$12,Paramètres!$A$1:$I$89,5,0)</f>
        <v>166.35840000000005</v>
      </c>
      <c r="CA110" s="13">
        <f t="shared" si="93"/>
        <v>42.27340131152765</v>
      </c>
      <c r="CB110" s="20">
        <f t="shared" si="64"/>
        <v>363.3670539509107</v>
      </c>
      <c r="CC110" s="59">
        <f t="shared" si="65"/>
        <v>656.70038728424402</v>
      </c>
      <c r="CD110" s="59">
        <f ca="1">AVERAGE(OFFSET($CC$3,0,0,'Données projet'!$E$12+1,1))-AVERAGE(OFFSET($H$3,0,0,'Données projet'!$E$12+1,1))</f>
        <v>135.95692658150551</v>
      </c>
      <c r="CE110" s="59">
        <f t="shared" si="94"/>
        <v>79.394119001888612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15.569922275154946</v>
      </c>
      <c r="CL110" s="21">
        <f>EXP(-LN(2)/25)*CL109+(1-EXP(-LN(2)/25))/(LN(2)/25)*Calculateur!CG110*Calculateur!CI110*VLOOKUP('Données projet'!$B$12,Paramètres!$A$1:$I$89,3,0)*0.475*44/12</f>
        <v>1.8812291753011789</v>
      </c>
      <c r="CM110" s="21">
        <f>EXP(-LN(2)/2)*CM109+(1-EXP(-LN(2)/2))/(LN(2)/2)*CG110*CJ110*VLOOKUP('Données projet'!$B$12,Paramètres!$A$1:$I$89,3,0)*0.475*44/12</f>
        <v>0.49884651096197968</v>
      </c>
      <c r="CN110" s="22">
        <f t="shared" si="66"/>
        <v>17.949997961418102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3</v>
      </c>
      <c r="CT110" s="12">
        <f>IF('Données projet'!$A$140&gt;35,CT109+CS110-DB109,IF(A110&lt;'Données projet'!$A$140,$CQ$205^A110,IF(A110='Données projet'!$A$140,'Données projet'!$B$140,CT109+CS110-DB109)))</f>
        <v>172.00000000000006</v>
      </c>
      <c r="CU110" s="17">
        <f>CT110*VLOOKUP('Données projet'!$B$13,Paramètres!$A$1:$I$89,3,0)*VLOOKUP('Données projet'!$B$13,Paramètres!$A$1:$I$89,5,0)</f>
        <v>185.14080000000007</v>
      </c>
      <c r="CV110" s="13">
        <f t="shared" si="95"/>
        <v>46.464038253813506</v>
      </c>
      <c r="CW110" s="20">
        <f t="shared" si="67"/>
        <v>403.37842662539197</v>
      </c>
      <c r="CX110" s="59">
        <f t="shared" si="68"/>
        <v>696.71175995872522</v>
      </c>
      <c r="CY110" s="59">
        <f ca="1">AVERAGE(OFFSET($CX$3,0,0,'Données projet'!$E$13+1,1))-AVERAGE(OFFSET($H$3,0,0,'Données projet'!$E$13+1,1))</f>
        <v>158.74837032815333</v>
      </c>
      <c r="CZ110" s="59">
        <f t="shared" si="96"/>
        <v>92.286636088270086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17.327816725575655</v>
      </c>
      <c r="DG110" s="21">
        <f>EXP(-LN(2)/25)*DG109+(1-EXP(-LN(2)/25))/(LN(2)/25)*Calculateur!DB110*Calculateur!DD110*VLOOKUP('Données projet'!$B$13,Paramètres!$A$1:$I$89,3,0)*0.475*44/12</f>
        <v>2.0936260176738917</v>
      </c>
      <c r="DH110" s="21">
        <f>EXP(-LN(2)/2)*DH109+(1-EXP(-LN(2)/2))/(LN(2)/2)*DB110*DE110*VLOOKUP('Données projet'!$B$13,Paramètres!$A$1:$I$89,3,0)*0.475*44/12</f>
        <v>0.55516789123188059</v>
      </c>
      <c r="DI110" s="22">
        <f t="shared" si="69"/>
        <v>19.976610634481428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2.8421709430404007E-13</v>
      </c>
      <c r="O111" s="13">
        <f>N111*VLOOKUP('Données projet'!$B$9,Paramètres!$A$1:$I$89,3,0)*VLOOKUP('Données projet'!$B$9,Paramètres!$A$1:$I$89,5,0)</f>
        <v>2.3942448024172339E-13</v>
      </c>
      <c r="P111" s="13">
        <f t="shared" si="87"/>
        <v>3.2492669905861755E-12</v>
      </c>
      <c r="Q111" s="20">
        <f t="shared" si="107"/>
        <v>6.0761376450252573E-12</v>
      </c>
      <c r="R111" s="59">
        <f t="shared" si="55"/>
        <v>293.3333333333394</v>
      </c>
      <c r="S111" s="59">
        <f ca="1">AVERAGE(OFFSET($R$3,0,0,'Données projet'!$E$9+1,1))-AVERAGE(OFFSET($H$3,0,0,'Données projet'!$E$9+1,1))</f>
        <v>231.91408074258248</v>
      </c>
      <c r="T111" s="59">
        <f t="shared" si="88"/>
        <v>143.57726487417773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7.9021484248003322E-10</v>
      </c>
      <c r="AC111" s="22">
        <f t="shared" si="57"/>
        <v>7.9021484248003322E-10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2.8421709430404007E-13</v>
      </c>
      <c r="AJ111" s="13">
        <f>AI111*VLOOKUP('Données projet'!$B$10,Paramètres!$A$1:$I$89,3,0)*VLOOKUP('Données projet'!$B$10,Paramètres!$A$1:$I$89,5,0)</f>
        <v>2.5715962692629546E-13</v>
      </c>
      <c r="AK111" s="13">
        <f t="shared" si="89"/>
        <v>3.4610450122128953E-12</v>
      </c>
      <c r="AL111" s="20">
        <f t="shared" si="58"/>
        <v>6.4758730798340893E-12</v>
      </c>
      <c r="AM111" s="59">
        <f t="shared" si="59"/>
        <v>293.33333333333979</v>
      </c>
      <c r="AN111" s="59">
        <f ca="1">AVERAGE(OFFSET($AM$3,0,0,'Données projet'!$E$10+1,1))-AVERAGE(OFFSET($H$3,0,0,'Données projet'!$E$10+1,1))</f>
        <v>253.16772905022714</v>
      </c>
      <c r="AO111" s="59">
        <f t="shared" si="90"/>
        <v>156.67965022779907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8.4874927525633207E-10</v>
      </c>
      <c r="AX111" s="21">
        <f t="shared" si="60"/>
        <v>8.4874927525633207E-10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-2.8421709430404007E-14</v>
      </c>
      <c r="BE111" s="13">
        <f>BD111*VLOOKUP('Données projet'!$B$11,Paramètres!$A$1:$I$89,3,0)*VLOOKUP('Données projet'!$B$11,Paramètres!$A$1:$I$89,5,0)</f>
        <v>-1.6996182239381599E-14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119.24399403036387</v>
      </c>
      <c r="BJ111" s="59">
        <f t="shared" si="92"/>
        <v>119.60076838354843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1.8185227010439615E-12</v>
      </c>
      <c r="BS111" s="22">
        <f t="shared" si="63"/>
        <v>1.8185227010439615E-12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3</v>
      </c>
      <c r="BY111" s="12">
        <f>IF('Données projet'!$A$114&gt;35,BY110+BX111-CG110,IF(A111&lt;'Données projet'!$A$114,$BV$205^A111,IF(A111='Données projet'!$A$114,'Données projet'!$B$114,BY110+BX111-CG110)))</f>
        <v>175.00000000000006</v>
      </c>
      <c r="BZ111" s="13">
        <f>BY111*VLOOKUP('Données projet'!$B$12,Paramètres!$A$1:$I$89,3,0)*VLOOKUP('Données projet'!$B$12,Paramètres!$A$1:$I$89,5,0)</f>
        <v>169.26000000000005</v>
      </c>
      <c r="CA111" s="13">
        <f t="shared" si="93"/>
        <v>42.924246146122314</v>
      </c>
      <c r="CB111" s="20">
        <f t="shared" si="64"/>
        <v>369.55422870449638</v>
      </c>
      <c r="CC111" s="59">
        <f t="shared" si="65"/>
        <v>662.88756203782964</v>
      </c>
      <c r="CD111" s="59">
        <f ca="1">AVERAGE(OFFSET($CC$3,0,0,'Données projet'!$E$12+1,1))-AVERAGE(OFFSET($H$3,0,0,'Données projet'!$E$12+1,1))</f>
        <v>135.95692658150551</v>
      </c>
      <c r="CE111" s="59">
        <f t="shared" si="94"/>
        <v>79.394119001888612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15.264605596054023</v>
      </c>
      <c r="CL111" s="21">
        <f>EXP(-LN(2)/25)*CL110+(1-EXP(-LN(2)/25))/(LN(2)/25)*Calculateur!CG111*Calculateur!CI111*VLOOKUP('Données projet'!$B$12,Paramètres!$A$1:$I$89,3,0)*0.475*44/12</f>
        <v>1.8297868645730255</v>
      </c>
      <c r="CM111" s="21">
        <f>EXP(-LN(2)/2)*CM110+(1-EXP(-LN(2)/2))/(LN(2)/2)*CG111*CJ111*VLOOKUP('Données projet'!$B$12,Paramètres!$A$1:$I$89,3,0)*0.475*44/12</f>
        <v>0.35273775067246527</v>
      </c>
      <c r="CN111" s="22">
        <f t="shared" si="66"/>
        <v>17.447130211299513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3</v>
      </c>
      <c r="CT111" s="12">
        <f>IF('Données projet'!$A$140&gt;35,CT110+CS111-DB110,IF(A111&lt;'Données projet'!$A$140,$CQ$205^A111,IF(A111='Données projet'!$A$140,'Données projet'!$B$140,CT110+CS111-DB110)))</f>
        <v>175.00000000000006</v>
      </c>
      <c r="CU111" s="17">
        <f>CT111*VLOOKUP('Données projet'!$B$13,Paramètres!$A$1:$I$89,3,0)*VLOOKUP('Données projet'!$B$13,Paramètres!$A$1:$I$89,5,0)</f>
        <v>188.37000000000006</v>
      </c>
      <c r="CV111" s="13">
        <f t="shared" si="95"/>
        <v>47.179402486491298</v>
      </c>
      <c r="CW111" s="20">
        <f t="shared" si="67"/>
        <v>410.2485426639725</v>
      </c>
      <c r="CX111" s="59">
        <f t="shared" si="68"/>
        <v>703.58187599730581</v>
      </c>
      <c r="CY111" s="59">
        <f ca="1">AVERAGE(OFFSET($CX$3,0,0,'Données projet'!$E$13+1,1))-AVERAGE(OFFSET($H$3,0,0,'Données projet'!$E$13+1,1))</f>
        <v>158.74837032815333</v>
      </c>
      <c r="CZ111" s="59">
        <f t="shared" si="96"/>
        <v>92.286636088270086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16.988028808511725</v>
      </c>
      <c r="DG111" s="21">
        <f>EXP(-LN(2)/25)*DG110+(1-EXP(-LN(2)/25))/(LN(2)/25)*Calculateur!DB111*Calculateur!DD111*VLOOKUP('Données projet'!$B$13,Paramètres!$A$1:$I$89,3,0)*0.475*44/12</f>
        <v>2.0363757041215917</v>
      </c>
      <c r="DH111" s="21">
        <f>EXP(-LN(2)/2)*DH110+(1-EXP(-LN(2)/2))/(LN(2)/2)*DB111*DE111*VLOOKUP('Données projet'!$B$13,Paramètres!$A$1:$I$89,3,0)*0.475*44/12</f>
        <v>0.39256298058709843</v>
      </c>
      <c r="DI111" s="22">
        <f t="shared" si="69"/>
        <v>19.416967493220415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2.8421709430404007E-13</v>
      </c>
      <c r="O112" s="13">
        <f>N112*VLOOKUP('Données projet'!$B$9,Paramètres!$A$1:$I$89,3,0)*VLOOKUP('Données projet'!$B$9,Paramètres!$A$1:$I$89,5,0)</f>
        <v>2.3942448024172339E-13</v>
      </c>
      <c r="P112" s="13">
        <f t="shared" si="87"/>
        <v>3.2492669905861755E-12</v>
      </c>
      <c r="Q112" s="20">
        <f t="shared" si="107"/>
        <v>6.0761376450252573E-12</v>
      </c>
      <c r="R112" s="59">
        <f t="shared" si="55"/>
        <v>293.3333333333394</v>
      </c>
      <c r="S112" s="59">
        <f ca="1">AVERAGE(OFFSET($R$3,0,0,'Données projet'!$E$9+1,1))-AVERAGE(OFFSET($H$3,0,0,'Données projet'!$E$9+1,1))</f>
        <v>231.91408074258248</v>
      </c>
      <c r="T112" s="59">
        <f t="shared" si="88"/>
        <v>143.57726487417773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5.5876627371189096E-10</v>
      </c>
      <c r="AC112" s="22">
        <f t="shared" si="57"/>
        <v>5.5876627371189096E-10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2.8421709430404007E-13</v>
      </c>
      <c r="AJ112" s="13">
        <f>AI112*VLOOKUP('Données projet'!$B$10,Paramètres!$A$1:$I$89,3,0)*VLOOKUP('Données projet'!$B$10,Paramètres!$A$1:$I$89,5,0)</f>
        <v>2.5715962692629546E-13</v>
      </c>
      <c r="AK112" s="13">
        <f t="shared" si="89"/>
        <v>3.4610450122128953E-12</v>
      </c>
      <c r="AL112" s="20">
        <f t="shared" si="58"/>
        <v>6.4758730798340893E-12</v>
      </c>
      <c r="AM112" s="59">
        <f t="shared" si="59"/>
        <v>293.33333333333979</v>
      </c>
      <c r="AN112" s="59">
        <f ca="1">AVERAGE(OFFSET($AM$3,0,0,'Données projet'!$E$10+1,1))-AVERAGE(OFFSET($H$3,0,0,'Données projet'!$E$10+1,1))</f>
        <v>253.16772905022714</v>
      </c>
      <c r="AO112" s="59">
        <f t="shared" si="90"/>
        <v>156.67965022779907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6.0015636806091999E-10</v>
      </c>
      <c r="AX112" s="21">
        <f t="shared" si="60"/>
        <v>6.0015636806091999E-10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-2.8421709430404007E-14</v>
      </c>
      <c r="BE112" s="13">
        <f>BD112*VLOOKUP('Données projet'!$B$11,Paramètres!$A$1:$I$89,3,0)*VLOOKUP('Données projet'!$B$11,Paramètres!$A$1:$I$89,5,0)</f>
        <v>-1.6996182239381599E-14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119.24399403036387</v>
      </c>
      <c r="BJ112" s="59">
        <f t="shared" si="92"/>
        <v>119.60076838354843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1.2858897336498619E-12</v>
      </c>
      <c r="BS112" s="22">
        <f t="shared" si="63"/>
        <v>1.2858897336498619E-12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3</v>
      </c>
      <c r="BY112" s="12">
        <f>IF('Données projet'!$A$114&gt;35,BY111+BX112-CG111,IF(A112&lt;'Données projet'!$A$114,$BV$205^A112,IF(A112='Données projet'!$A$114,'Données projet'!$B$114,BY111+BX112-CG111)))</f>
        <v>178.00000000000006</v>
      </c>
      <c r="BZ112" s="13">
        <f>BY112*VLOOKUP('Données projet'!$B$12,Paramètres!$A$1:$I$89,3,0)*VLOOKUP('Données projet'!$B$12,Paramètres!$A$1:$I$89,5,0)</f>
        <v>172.16160000000005</v>
      </c>
      <c r="CA112" s="13">
        <f t="shared" si="93"/>
        <v>43.57379349403616</v>
      </c>
      <c r="CB112" s="20">
        <f t="shared" si="64"/>
        <v>375.73914366877972</v>
      </c>
      <c r="CC112" s="59">
        <f t="shared" si="65"/>
        <v>669.07247700211303</v>
      </c>
      <c r="CD112" s="59">
        <f ca="1">AVERAGE(OFFSET($CC$3,0,0,'Données projet'!$E$12+1,1))-AVERAGE(OFFSET($H$3,0,0,'Données projet'!$E$12+1,1))</f>
        <v>135.95692658150551</v>
      </c>
      <c r="CE112" s="59">
        <f t="shared" si="94"/>
        <v>79.394119001888612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14.965275990805484</v>
      </c>
      <c r="CL112" s="21">
        <f>EXP(-LN(2)/25)*CL111+(1-EXP(-LN(2)/25))/(LN(2)/25)*Calculateur!CG112*Calculateur!CI112*VLOOKUP('Données projet'!$B$12,Paramètres!$A$1:$I$89,3,0)*0.475*44/12</f>
        <v>1.7797512465369669</v>
      </c>
      <c r="CM112" s="21">
        <f>EXP(-LN(2)/2)*CM111+(1-EXP(-LN(2)/2))/(LN(2)/2)*CG112*CJ112*VLOOKUP('Données projet'!$B$12,Paramètres!$A$1:$I$89,3,0)*0.475*44/12</f>
        <v>0.24942325548098987</v>
      </c>
      <c r="CN112" s="22">
        <f t="shared" si="66"/>
        <v>16.994450492823443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3</v>
      </c>
      <c r="CT112" s="12">
        <f>IF('Données projet'!$A$140&gt;35,CT111+CS112-DB111,IF(A112&lt;'Données projet'!$A$140,$CQ$205^A112,IF(A112='Données projet'!$A$140,'Données projet'!$B$140,CT111+CS112-DB111)))</f>
        <v>178.00000000000006</v>
      </c>
      <c r="CU112" s="17">
        <f>CT112*VLOOKUP('Données projet'!$B$13,Paramètres!$A$1:$I$89,3,0)*VLOOKUP('Données projet'!$B$13,Paramètres!$A$1:$I$89,5,0)</f>
        <v>191.59920000000005</v>
      </c>
      <c r="CV112" s="13">
        <f t="shared" si="95"/>
        <v>47.893340610341859</v>
      </c>
      <c r="CW112" s="20">
        <f t="shared" si="67"/>
        <v>417.11617489634546</v>
      </c>
      <c r="CX112" s="59">
        <f t="shared" si="68"/>
        <v>710.44950822967871</v>
      </c>
      <c r="CY112" s="59">
        <f ca="1">AVERAGE(OFFSET($CX$3,0,0,'Données projet'!$E$13+1,1))-AVERAGE(OFFSET($H$3,0,0,'Données projet'!$E$13+1,1))</f>
        <v>158.74837032815333</v>
      </c>
      <c r="CZ112" s="59">
        <f t="shared" si="96"/>
        <v>92.286636088270086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16.654903925251254</v>
      </c>
      <c r="DG112" s="21">
        <f>EXP(-LN(2)/25)*DG111+(1-EXP(-LN(2)/25))/(LN(2)/25)*Calculateur!DB112*Calculateur!DD112*VLOOKUP('Données projet'!$B$13,Paramètres!$A$1:$I$89,3,0)*0.475*44/12</f>
        <v>1.9806909034040427</v>
      </c>
      <c r="DH112" s="21">
        <f>EXP(-LN(2)/2)*DH111+(1-EXP(-LN(2)/2))/(LN(2)/2)*DB112*DE112*VLOOKUP('Données projet'!$B$13,Paramètres!$A$1:$I$89,3,0)*0.475*44/12</f>
        <v>0.27758394561594035</v>
      </c>
      <c r="DI112" s="22">
        <f t="shared" si="69"/>
        <v>18.913178774271238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2.8421709430404007E-13</v>
      </c>
      <c r="O113" s="13">
        <f>N113*VLOOKUP('Données projet'!$B$9,Paramètres!$A$1:$I$89,3,0)*VLOOKUP('Données projet'!$B$9,Paramètres!$A$1:$I$89,5,0)</f>
        <v>2.3942448024172339E-13</v>
      </c>
      <c r="P113" s="13">
        <f t="shared" si="87"/>
        <v>3.2492669905861755E-12</v>
      </c>
      <c r="Q113" s="20">
        <f t="shared" si="107"/>
        <v>6.0761376450252573E-12</v>
      </c>
      <c r="R113" s="59">
        <f t="shared" si="55"/>
        <v>293.3333333333394</v>
      </c>
      <c r="S113" s="59">
        <f ca="1">AVERAGE(OFFSET($R$3,0,0,'Données projet'!$E$9+1,1))-AVERAGE(OFFSET($H$3,0,0,'Données projet'!$E$9+1,1))</f>
        <v>231.91408074258248</v>
      </c>
      <c r="T113" s="59">
        <f t="shared" si="88"/>
        <v>143.57726487417773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3.9510742124001661E-10</v>
      </c>
      <c r="AC113" s="22">
        <f t="shared" si="57"/>
        <v>3.9510742124001661E-10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2.8421709430404007E-13</v>
      </c>
      <c r="AJ113" s="13">
        <f>AI113*VLOOKUP('Données projet'!$B$10,Paramètres!$A$1:$I$89,3,0)*VLOOKUP('Données projet'!$B$10,Paramètres!$A$1:$I$89,5,0)</f>
        <v>2.5715962692629546E-13</v>
      </c>
      <c r="AK113" s="13">
        <f t="shared" si="89"/>
        <v>3.4610450122128953E-12</v>
      </c>
      <c r="AL113" s="20">
        <f t="shared" si="58"/>
        <v>6.4758730798340893E-12</v>
      </c>
      <c r="AM113" s="59">
        <f t="shared" si="59"/>
        <v>293.33333333333979</v>
      </c>
      <c r="AN113" s="59">
        <f ca="1">AVERAGE(OFFSET($AM$3,0,0,'Données projet'!$E$10+1,1))-AVERAGE(OFFSET($H$3,0,0,'Données projet'!$E$10+1,1))</f>
        <v>253.16772905022714</v>
      </c>
      <c r="AO113" s="59">
        <f t="shared" si="90"/>
        <v>156.67965022779907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4.2437463762816604E-10</v>
      </c>
      <c r="AX113" s="21">
        <f t="shared" si="60"/>
        <v>4.2437463762816604E-10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-2.8421709430404007E-14</v>
      </c>
      <c r="BE113" s="13">
        <f>BD113*VLOOKUP('Données projet'!$B$11,Paramètres!$A$1:$I$89,3,0)*VLOOKUP('Données projet'!$B$11,Paramètres!$A$1:$I$89,5,0)</f>
        <v>-1.6996182239381599E-14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119.24399403036387</v>
      </c>
      <c r="BJ113" s="59">
        <f t="shared" si="92"/>
        <v>119.60076838354843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9.0926135052198083E-13</v>
      </c>
      <c r="BS113" s="22">
        <f t="shared" si="63"/>
        <v>9.0926135052198083E-13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181</v>
      </c>
      <c r="BW113" s="12">
        <f>VLOOKUP(A113,'Données projet'!$A$113:$I$133,9,0)</f>
        <v>3</v>
      </c>
      <c r="BX113" s="12">
        <f t="array" ref="BX113">INDEX(BW:BW,MIN(IF(ISNUMBER(BW113:BW309),ROW(BW113:BW309),"")))</f>
        <v>3</v>
      </c>
      <c r="BY113" s="12">
        <f>IF('Données projet'!$A$114&gt;35,BY112+BX113-CG112,IF(A113&lt;'Données projet'!$A$114,$BV$205^A113,IF(A113='Données projet'!$A$114,'Données projet'!$B$114,BY112+BX113-CG112)))</f>
        <v>181.00000000000006</v>
      </c>
      <c r="BZ113" s="13">
        <f>BY113*VLOOKUP('Données projet'!$B$12,Paramètres!$A$1:$I$89,3,0)*VLOOKUP('Données projet'!$B$12,Paramètres!$A$1:$I$89,5,0)</f>
        <v>175.06320000000008</v>
      </c>
      <c r="CA113" s="13">
        <f t="shared" si="93"/>
        <v>44.222067746824763</v>
      </c>
      <c r="CB113" s="20">
        <f t="shared" si="64"/>
        <v>381.92184132571992</v>
      </c>
      <c r="CC113" s="59">
        <f t="shared" si="65"/>
        <v>675.25517465905318</v>
      </c>
      <c r="CD113" s="59">
        <f ca="1">AVERAGE(OFFSET($CC$3,0,0,'Données projet'!$E$12+1,1))-AVERAGE(OFFSET($H$3,0,0,'Données projet'!$E$12+1,1))</f>
        <v>135.95692658150551</v>
      </c>
      <c r="CE113" s="59">
        <f t="shared" si="94"/>
        <v>79.394119001888612</v>
      </c>
      <c r="CF113" s="15">
        <f>IF(ISNA(VLOOKUP(A113,'Données projet'!$A$113:$I$133,3,0)),0,VLOOKUP(A113,'Données projet'!$A$113:$I$133,3,0))</f>
        <v>17</v>
      </c>
      <c r="CG113" s="15">
        <f>IF(ISNA(VLOOKUP(A113,'Données projet'!$A$113:$I$133,4,0)),0,VLOOKUP(A113,'Données projet'!$A$113:$I$133,4,0))</f>
        <v>10</v>
      </c>
      <c r="CH113" s="16">
        <f>IF(ISNA(VLOOKUP(A113,'Données projet'!$A$113:$I$133,5,0)),0%,VLOOKUP(A113,'Données projet'!$A$113:$I$133,5,0)*VLOOKUP('Données projet'!$B$12,Paramètres!$A$1:$I$89,7,0))</f>
        <v>0.25800000000000001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0.1</v>
      </c>
      <c r="CK113" s="21">
        <f>EXP(-LN(2)/35)*CK112+(1-EXP(-LN(2)/35))/(LN(2)/35)*CG113*CH113*VLOOKUP('Données projet'!$B$12,Paramètres!$A$1:$I$89,3,0)*0.475*44/12</f>
        <v>17.430380310340251</v>
      </c>
      <c r="CL113" s="21">
        <f>EXP(-LN(2)/25)*CL112+(1-EXP(-LN(2)/25))/(LN(2)/25)*Calculateur!CG113*Calculateur!CI113*VLOOKUP('Données projet'!$B$12,Paramètres!$A$1:$I$89,3,0)*0.475*44/12</f>
        <v>1.7310838551073633</v>
      </c>
      <c r="CM113" s="21">
        <f>EXP(-LN(2)/2)*CM112+(1-EXP(-LN(2)/2))/(LN(2)/2)*CG113*CJ113*VLOOKUP('Données projet'!$B$12,Paramètres!$A$1:$I$89,3,0)*0.475*44/12</f>
        <v>1.0889481071425642</v>
      </c>
      <c r="CN113" s="22">
        <f t="shared" si="66"/>
        <v>20.250412272590179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>
        <f>VLOOKUP(A113,'Données projet'!$A$139:$I$159,2,0)</f>
        <v>181</v>
      </c>
      <c r="CR113" s="12">
        <f>VLOOKUP(A113,'Données projet'!$A$139:$I$159,9,0)</f>
        <v>3</v>
      </c>
      <c r="CS113" s="12">
        <f t="array" ref="CS113">INDEX(CR:CR,MIN(IF(ISNUMBER(CR113:CR309),ROW(CR113:CR309),"")))</f>
        <v>3</v>
      </c>
      <c r="CT113" s="12">
        <f>IF('Données projet'!$A$140&gt;35,CT112+CS113-DB112,IF(A113&lt;'Données projet'!$A$140,$CQ$205^A113,IF(A113='Données projet'!$A$140,'Données projet'!$B$140,CT112+CS113-DB112)))</f>
        <v>181.00000000000006</v>
      </c>
      <c r="CU113" s="17">
        <f>CT113*VLOOKUP('Données projet'!$B$13,Paramètres!$A$1:$I$89,3,0)*VLOOKUP('Données projet'!$B$13,Paramètres!$A$1:$I$89,5,0)</f>
        <v>194.82840000000004</v>
      </c>
      <c r="CV113" s="13">
        <f t="shared" si="95"/>
        <v>48.605879434898533</v>
      </c>
      <c r="CW113" s="20">
        <f t="shared" si="67"/>
        <v>423.98137001578169</v>
      </c>
      <c r="CX113" s="59">
        <f t="shared" si="68"/>
        <v>717.31470334911501</v>
      </c>
      <c r="CY113" s="59">
        <f ca="1">AVERAGE(OFFSET($CX$3,0,0,'Données projet'!$E$13+1,1))-AVERAGE(OFFSET($H$3,0,0,'Données projet'!$E$13+1,1))</f>
        <v>158.74837032815333</v>
      </c>
      <c r="CZ113" s="59">
        <f t="shared" si="96"/>
        <v>92.286636088270086</v>
      </c>
      <c r="DA113" s="15">
        <f>IF(ISNA(VLOOKUP(A113,'Données projet'!$A$139:$I$159,3,0)),0,VLOOKUP(A113,'Données projet'!$A$139:$I$159,3,0))</f>
        <v>17</v>
      </c>
      <c r="DB113" s="15">
        <f>IF(ISNA(VLOOKUP(A113,'Données projet'!$A$139:$I$159,4,0)),0,VLOOKUP(A113,'Données projet'!$A$139:$I$159,4,0))</f>
        <v>10</v>
      </c>
      <c r="DC113" s="16">
        <f>IF(ISNA(VLOOKUP(A113,'Données projet'!$A$139:$I$159,5,0)),0%,VLOOKUP(A113,'Données projet'!$A$139:$I$159,5,0)*VLOOKUP('Données projet'!$B$13,Paramètres!$A$1:$I$89,7,0))</f>
        <v>0.25800000000000001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0.1</v>
      </c>
      <c r="DF113" s="21">
        <f>EXP(-LN(2)/35)*DF112+(1-EXP(-LN(2)/35))/(LN(2)/35)*DB113*DC113*VLOOKUP('Données projet'!$B$13,Paramètres!$A$1:$I$89,3,0)*0.475*44/12</f>
        <v>19.398326474410915</v>
      </c>
      <c r="DG113" s="21">
        <f>EXP(-LN(2)/25)*DG112+(1-EXP(-LN(2)/25))/(LN(2)/25)*Calculateur!DB113*Calculateur!DD113*VLOOKUP('Données projet'!$B$13,Paramètres!$A$1:$I$89,3,0)*0.475*44/12</f>
        <v>1.9265288064904516</v>
      </c>
      <c r="DH113" s="21">
        <f>EXP(-LN(2)/2)*DH112+(1-EXP(-LN(2)/2))/(LN(2)/2)*DB113*DE113*VLOOKUP('Données projet'!$B$13,Paramètres!$A$1:$I$89,3,0)*0.475*44/12</f>
        <v>1.2118938611747891</v>
      </c>
      <c r="DI113" s="22">
        <f t="shared" si="69"/>
        <v>22.536749142076157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2.8421709430404007E-13</v>
      </c>
      <c r="O114" s="13">
        <f>N114*VLOOKUP('Données projet'!$B$9,Paramètres!$A$1:$I$89,3,0)*VLOOKUP('Données projet'!$B$9,Paramètres!$A$1:$I$89,5,0)</f>
        <v>2.3942448024172339E-13</v>
      </c>
      <c r="P114" s="13">
        <f t="shared" si="87"/>
        <v>3.2492669905861755E-12</v>
      </c>
      <c r="Q114" s="20">
        <f t="shared" si="107"/>
        <v>6.0761376450252573E-12</v>
      </c>
      <c r="R114" s="59">
        <f t="shared" si="55"/>
        <v>293.3333333333394</v>
      </c>
      <c r="S114" s="59">
        <f ca="1">AVERAGE(OFFSET($R$3,0,0,'Données projet'!$E$9+1,1))-AVERAGE(OFFSET($H$3,0,0,'Données projet'!$E$9+1,1))</f>
        <v>231.91408074258248</v>
      </c>
      <c r="T114" s="59">
        <f t="shared" si="88"/>
        <v>143.57726487417773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2.7938313685594548E-10</v>
      </c>
      <c r="AC114" s="22">
        <f t="shared" si="57"/>
        <v>2.7938313685594548E-10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2.8421709430404007E-13</v>
      </c>
      <c r="AJ114" s="13">
        <f>AI114*VLOOKUP('Données projet'!$B$10,Paramètres!$A$1:$I$89,3,0)*VLOOKUP('Données projet'!$B$10,Paramètres!$A$1:$I$89,5,0)</f>
        <v>2.5715962692629546E-13</v>
      </c>
      <c r="AK114" s="13">
        <f t="shared" si="89"/>
        <v>3.4610450122128953E-12</v>
      </c>
      <c r="AL114" s="20">
        <f t="shared" si="58"/>
        <v>6.4758730798340893E-12</v>
      </c>
      <c r="AM114" s="59">
        <f t="shared" si="59"/>
        <v>293.33333333333979</v>
      </c>
      <c r="AN114" s="59">
        <f ca="1">AVERAGE(OFFSET($AM$3,0,0,'Données projet'!$E$10+1,1))-AVERAGE(OFFSET($H$3,0,0,'Données projet'!$E$10+1,1))</f>
        <v>253.16772905022714</v>
      </c>
      <c r="AO114" s="59">
        <f t="shared" si="90"/>
        <v>156.67965022779907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3.0007818403045999E-10</v>
      </c>
      <c r="AX114" s="21">
        <f t="shared" si="60"/>
        <v>3.0007818403045999E-10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-2.8421709430404007E-14</v>
      </c>
      <c r="BE114" s="13">
        <f>BD114*VLOOKUP('Données projet'!$B$11,Paramètres!$A$1:$I$89,3,0)*VLOOKUP('Données projet'!$B$11,Paramètres!$A$1:$I$89,5,0)</f>
        <v>-1.6996182239381599E-14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119.24399403036387</v>
      </c>
      <c r="BJ114" s="59">
        <f t="shared" si="92"/>
        <v>119.60076838354843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6.4294486682493106E-13</v>
      </c>
      <c r="BS114" s="22">
        <f t="shared" si="63"/>
        <v>6.4294486682493106E-13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3</v>
      </c>
      <c r="BY114" s="12">
        <f>IF('Données projet'!$A$114&gt;35,BY113+BX114-CG113,IF(A114&lt;'Données projet'!$A$114,$BV$205^A114,IF(A114='Données projet'!$A$114,'Données projet'!$B$114,BY113+BX114-CG113)))</f>
        <v>174.00000000000006</v>
      </c>
      <c r="BZ114" s="13">
        <f>BY114*VLOOKUP('Données projet'!$B$12,Paramètres!$A$1:$I$89,3,0)*VLOOKUP('Données projet'!$B$12,Paramètres!$A$1:$I$89,5,0)</f>
        <v>168.29280000000006</v>
      </c>
      <c r="CA114" s="13">
        <f t="shared" si="93"/>
        <v>42.707443263135104</v>
      </c>
      <c r="CB114" s="20">
        <f t="shared" si="64"/>
        <v>367.49209034996039</v>
      </c>
      <c r="CC114" s="59">
        <f t="shared" si="65"/>
        <v>660.82542368329371</v>
      </c>
      <c r="CD114" s="59">
        <f ca="1">AVERAGE(OFFSET($CC$3,0,0,'Données projet'!$E$12+1,1))-AVERAGE(OFFSET($H$3,0,0,'Données projet'!$E$12+1,1))</f>
        <v>135.95692658150551</v>
      </c>
      <c r="CE114" s="59">
        <f t="shared" si="94"/>
        <v>79.394119001888612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17.088581183936697</v>
      </c>
      <c r="CL114" s="21">
        <f>EXP(-LN(2)/25)*CL113+(1-EXP(-LN(2)/25))/(LN(2)/25)*Calculateur!CG114*Calculateur!CI114*VLOOKUP('Données projet'!$B$12,Paramètres!$A$1:$I$89,3,0)*0.475*44/12</f>
        <v>1.6837472760557088</v>
      </c>
      <c r="CM114" s="21">
        <f>EXP(-LN(2)/2)*CM113+(1-EXP(-LN(2)/2))/(LN(2)/2)*CG114*CJ114*VLOOKUP('Données projet'!$B$12,Paramètres!$A$1:$I$89,3,0)*0.475*44/12</f>
        <v>0.77000259092076229</v>
      </c>
      <c r="CN114" s="22">
        <f t="shared" si="66"/>
        <v>19.542331050913166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3</v>
      </c>
      <c r="CT114" s="12">
        <f>IF('Données projet'!$A$140&gt;35,CT113+CS114-DB113,IF(A114&lt;'Données projet'!$A$140,$CQ$205^A114,IF(A114='Données projet'!$A$140,'Données projet'!$B$140,CT113+CS114-DB113)))</f>
        <v>174.00000000000006</v>
      </c>
      <c r="CU114" s="17">
        <f>CT114*VLOOKUP('Données projet'!$B$13,Paramètres!$A$1:$I$89,3,0)*VLOOKUP('Données projet'!$B$13,Paramètres!$A$1:$I$89,5,0)</f>
        <v>187.29360000000005</v>
      </c>
      <c r="CV114" s="13">
        <f t="shared" si="95"/>
        <v>46.941107550760456</v>
      </c>
      <c r="CW114" s="20">
        <f t="shared" si="67"/>
        <v>407.9587823175745</v>
      </c>
      <c r="CX114" s="59">
        <f t="shared" si="68"/>
        <v>701.29211565090782</v>
      </c>
      <c r="CY114" s="59">
        <f ca="1">AVERAGE(OFFSET($CX$3,0,0,'Données projet'!$E$13+1,1))-AVERAGE(OFFSET($H$3,0,0,'Données projet'!$E$13+1,1))</f>
        <v>158.74837032815333</v>
      </c>
      <c r="CZ114" s="59">
        <f t="shared" si="96"/>
        <v>92.286636088270086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19.017937124058573</v>
      </c>
      <c r="DG114" s="21">
        <f>EXP(-LN(2)/25)*DG113+(1-EXP(-LN(2)/25))/(LN(2)/25)*Calculateur!DB114*Calculateur!DD114*VLOOKUP('Données projet'!$B$13,Paramètres!$A$1:$I$89,3,0)*0.475*44/12</f>
        <v>1.8738477749652234</v>
      </c>
      <c r="DH114" s="21">
        <f>EXP(-LN(2)/2)*DH113+(1-EXP(-LN(2)/2))/(LN(2)/2)*DB114*DE114*VLOOKUP('Données projet'!$B$13,Paramètres!$A$1:$I$89,3,0)*0.475*44/12</f>
        <v>0.85693836731504192</v>
      </c>
      <c r="DI114" s="22">
        <f t="shared" si="69"/>
        <v>21.748723266338839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2.8421709430404007E-13</v>
      </c>
      <c r="O115" s="13">
        <f>N115*VLOOKUP('Données projet'!$B$9,Paramètres!$A$1:$I$89,3,0)*VLOOKUP('Données projet'!$B$9,Paramètres!$A$1:$I$89,5,0)</f>
        <v>2.3942448024172339E-13</v>
      </c>
      <c r="P115" s="13">
        <f t="shared" si="87"/>
        <v>3.2492669905861755E-12</v>
      </c>
      <c r="Q115" s="20">
        <f t="shared" si="107"/>
        <v>6.0761376450252573E-12</v>
      </c>
      <c r="R115" s="59">
        <f t="shared" si="55"/>
        <v>293.3333333333394</v>
      </c>
      <c r="S115" s="59">
        <f ca="1">AVERAGE(OFFSET($R$3,0,0,'Données projet'!$E$9+1,1))-AVERAGE(OFFSET($H$3,0,0,'Données projet'!$E$9+1,1))</f>
        <v>231.91408074258248</v>
      </c>
      <c r="T115" s="59">
        <f t="shared" si="88"/>
        <v>143.57726487417773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1.9755371062000831E-10</v>
      </c>
      <c r="AC115" s="22">
        <f t="shared" si="57"/>
        <v>1.9755371062000831E-10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2.8421709430404007E-13</v>
      </c>
      <c r="AJ115" s="13">
        <f>AI115*VLOOKUP('Données projet'!$B$10,Paramètres!$A$1:$I$89,3,0)*VLOOKUP('Données projet'!$B$10,Paramètres!$A$1:$I$89,5,0)</f>
        <v>2.5715962692629546E-13</v>
      </c>
      <c r="AK115" s="13">
        <f t="shared" si="89"/>
        <v>3.4610450122128953E-12</v>
      </c>
      <c r="AL115" s="20">
        <f t="shared" si="58"/>
        <v>6.4758730798340893E-12</v>
      </c>
      <c r="AM115" s="59">
        <f t="shared" si="59"/>
        <v>293.33333333333979</v>
      </c>
      <c r="AN115" s="59">
        <f ca="1">AVERAGE(OFFSET($AM$3,0,0,'Données projet'!$E$10+1,1))-AVERAGE(OFFSET($H$3,0,0,'Données projet'!$E$10+1,1))</f>
        <v>253.16772905022714</v>
      </c>
      <c r="AO115" s="59">
        <f t="shared" si="90"/>
        <v>156.67965022779907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2.1218731881408302E-10</v>
      </c>
      <c r="AX115" s="21">
        <f t="shared" si="60"/>
        <v>2.1218731881408302E-10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-2.8421709430404007E-14</v>
      </c>
      <c r="BE115" s="13">
        <f>BD115*VLOOKUP('Données projet'!$B$11,Paramètres!$A$1:$I$89,3,0)*VLOOKUP('Données projet'!$B$11,Paramètres!$A$1:$I$89,5,0)</f>
        <v>-1.6996182239381599E-14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119.24399403036387</v>
      </c>
      <c r="BJ115" s="59">
        <f t="shared" si="92"/>
        <v>119.60076838354843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4.5463067526099052E-13</v>
      </c>
      <c r="BS115" s="22">
        <f t="shared" si="63"/>
        <v>4.5463067526099052E-13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3</v>
      </c>
      <c r="BY115" s="12">
        <f>IF('Données projet'!$A$114&gt;35,BY114+BX115-CG114,IF(A115&lt;'Données projet'!$A$114,$BV$205^A115,IF(A115='Données projet'!$A$114,'Données projet'!$B$114,BY114+BX115-CG114)))</f>
        <v>177.00000000000006</v>
      </c>
      <c r="BZ115" s="13">
        <f>BY115*VLOOKUP('Données projet'!$B$12,Paramètres!$A$1:$I$89,3,0)*VLOOKUP('Données projet'!$B$12,Paramètres!$A$1:$I$89,5,0)</f>
        <v>171.19440000000006</v>
      </c>
      <c r="CA115" s="13">
        <f t="shared" si="93"/>
        <v>43.35742035290977</v>
      </c>
      <c r="CB115" s="20">
        <f t="shared" si="64"/>
        <v>373.67775378131796</v>
      </c>
      <c r="CC115" s="59">
        <f t="shared" si="65"/>
        <v>667.01108711465122</v>
      </c>
      <c r="CD115" s="59">
        <f ca="1">AVERAGE(OFFSET($CC$3,0,0,'Données projet'!$E$12+1,1))-AVERAGE(OFFSET($H$3,0,0,'Données projet'!$E$12+1,1))</f>
        <v>135.95692658150551</v>
      </c>
      <c r="CE115" s="59">
        <f t="shared" si="94"/>
        <v>79.394119001888612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16.753484529925032</v>
      </c>
      <c r="CL115" s="21">
        <f>EXP(-LN(2)/25)*CL114+(1-EXP(-LN(2)/25))/(LN(2)/25)*Calculateur!CG115*Calculateur!CI115*VLOOKUP('Données projet'!$B$12,Paramètres!$A$1:$I$89,3,0)*0.475*44/12</f>
        <v>1.6377051182475444</v>
      </c>
      <c r="CM115" s="21">
        <f>EXP(-LN(2)/2)*CM114+(1-EXP(-LN(2)/2))/(LN(2)/2)*CG115*CJ115*VLOOKUP('Données projet'!$B$12,Paramètres!$A$1:$I$89,3,0)*0.475*44/12</f>
        <v>0.5444740535712822</v>
      </c>
      <c r="CN115" s="22">
        <f t="shared" si="66"/>
        <v>18.935663701743859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3</v>
      </c>
      <c r="CT115" s="12">
        <f>IF('Données projet'!$A$140&gt;35,CT114+CS115-DB114,IF(A115&lt;'Données projet'!$A$140,$CQ$205^A115,IF(A115='Données projet'!$A$140,'Données projet'!$B$140,CT114+CS115-DB114)))</f>
        <v>177.00000000000006</v>
      </c>
      <c r="CU115" s="17">
        <f>CT115*VLOOKUP('Données projet'!$B$13,Paramètres!$A$1:$I$89,3,0)*VLOOKUP('Données projet'!$B$13,Paramètres!$A$1:$I$89,5,0)</f>
        <v>190.52280000000005</v>
      </c>
      <c r="CV115" s="13">
        <f t="shared" si="95"/>
        <v>47.655518017541539</v>
      </c>
      <c r="CW115" s="20">
        <f t="shared" si="67"/>
        <v>414.82723721388493</v>
      </c>
      <c r="CX115" s="59">
        <f t="shared" si="68"/>
        <v>708.16057054721819</v>
      </c>
      <c r="CY115" s="59">
        <f ca="1">AVERAGE(OFFSET($CX$3,0,0,'Données projet'!$E$13+1,1))-AVERAGE(OFFSET($H$3,0,0,'Données projet'!$E$13+1,1))</f>
        <v>158.74837032815333</v>
      </c>
      <c r="CZ115" s="59">
        <f t="shared" si="96"/>
        <v>92.286636088270086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18.645006976852045</v>
      </c>
      <c r="DG115" s="21">
        <f>EXP(-LN(2)/25)*DG114+(1-EXP(-LN(2)/25))/(LN(2)/25)*Calculateur!DB115*Calculateur!DD115*VLOOKUP('Données projet'!$B$13,Paramètres!$A$1:$I$89,3,0)*0.475*44/12</f>
        <v>1.8226073090174275</v>
      </c>
      <c r="DH115" s="21">
        <f>EXP(-LN(2)/2)*DH114+(1-EXP(-LN(2)/2))/(LN(2)/2)*DB115*DE115*VLOOKUP('Données projet'!$B$13,Paramètres!$A$1:$I$89,3,0)*0.475*44/12</f>
        <v>0.60594693058739468</v>
      </c>
      <c r="DI115" s="22">
        <f t="shared" si="69"/>
        <v>21.073561216456866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2.8421709430404007E-13</v>
      </c>
      <c r="O116" s="13">
        <f>N116*VLOOKUP('Données projet'!$B$9,Paramètres!$A$1:$I$89,3,0)*VLOOKUP('Données projet'!$B$9,Paramètres!$A$1:$I$89,5,0)</f>
        <v>2.3942448024172339E-13</v>
      </c>
      <c r="P116" s="13">
        <f t="shared" si="87"/>
        <v>3.2492669905861755E-12</v>
      </c>
      <c r="Q116" s="20">
        <f t="shared" si="107"/>
        <v>6.0761376450252573E-12</v>
      </c>
      <c r="R116" s="59">
        <f t="shared" si="55"/>
        <v>293.3333333333394</v>
      </c>
      <c r="S116" s="59">
        <f ca="1">AVERAGE(OFFSET($R$3,0,0,'Données projet'!$E$9+1,1))-AVERAGE(OFFSET($H$3,0,0,'Données projet'!$E$9+1,1))</f>
        <v>231.91408074258248</v>
      </c>
      <c r="T116" s="59">
        <f t="shared" si="88"/>
        <v>143.57726487417773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1.3969156842797274E-10</v>
      </c>
      <c r="AC116" s="22">
        <f t="shared" si="57"/>
        <v>1.3969156842797274E-10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2.8421709430404007E-13</v>
      </c>
      <c r="AJ116" s="13">
        <f>AI116*VLOOKUP('Données projet'!$B$10,Paramètres!$A$1:$I$89,3,0)*VLOOKUP('Données projet'!$B$10,Paramètres!$A$1:$I$89,5,0)</f>
        <v>2.5715962692629546E-13</v>
      </c>
      <c r="AK116" s="13">
        <f t="shared" si="89"/>
        <v>3.4610450122128953E-12</v>
      </c>
      <c r="AL116" s="20">
        <f t="shared" si="58"/>
        <v>6.4758730798340893E-12</v>
      </c>
      <c r="AM116" s="59">
        <f t="shared" si="59"/>
        <v>293.33333333333979</v>
      </c>
      <c r="AN116" s="59">
        <f ca="1">AVERAGE(OFFSET($AM$3,0,0,'Données projet'!$E$10+1,1))-AVERAGE(OFFSET($H$3,0,0,'Données projet'!$E$10+1,1))</f>
        <v>253.16772905022714</v>
      </c>
      <c r="AO116" s="59">
        <f t="shared" si="90"/>
        <v>156.67965022779907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1.5003909201523E-10</v>
      </c>
      <c r="AX116" s="21">
        <f t="shared" si="60"/>
        <v>1.5003909201523E-10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-2.8421709430404007E-14</v>
      </c>
      <c r="BE116" s="13">
        <f>BD116*VLOOKUP('Données projet'!$B$11,Paramètres!$A$1:$I$89,3,0)*VLOOKUP('Données projet'!$B$11,Paramètres!$A$1:$I$89,5,0)</f>
        <v>-1.6996182239381599E-14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119.24399403036387</v>
      </c>
      <c r="BJ116" s="59">
        <f t="shared" si="92"/>
        <v>119.60076838354843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3.2147243341246558E-13</v>
      </c>
      <c r="BS116" s="22">
        <f t="shared" si="63"/>
        <v>3.2147243341246558E-13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3</v>
      </c>
      <c r="BY116" s="12">
        <f>IF('Données projet'!$A$114&gt;35,BY115+BX116-CG115,IF(A116&lt;'Données projet'!$A$114,$BV$205^A116,IF(A116='Données projet'!$A$114,'Données projet'!$B$114,BY115+BX116-CG115)))</f>
        <v>180.00000000000006</v>
      </c>
      <c r="BZ116" s="13">
        <f>BY116*VLOOKUP('Données projet'!$B$12,Paramètres!$A$1:$I$89,3,0)*VLOOKUP('Données projet'!$B$12,Paramètres!$A$1:$I$89,5,0)</f>
        <v>174.09600000000006</v>
      </c>
      <c r="CA116" s="13">
        <f t="shared" si="93"/>
        <v>44.00611631426144</v>
      </c>
      <c r="CB116" s="20">
        <f t="shared" si="64"/>
        <v>379.86118591400549</v>
      </c>
      <c r="CC116" s="59">
        <f t="shared" si="65"/>
        <v>673.1945192473388</v>
      </c>
      <c r="CD116" s="59">
        <f ca="1">AVERAGE(OFFSET($CC$3,0,0,'Données projet'!$E$12+1,1))-AVERAGE(OFFSET($H$3,0,0,'Données projet'!$E$12+1,1))</f>
        <v>135.95692658150551</v>
      </c>
      <c r="CE116" s="59">
        <f t="shared" si="94"/>
        <v>79.394119001888612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16.424958916909763</v>
      </c>
      <c r="CL116" s="21">
        <f>EXP(-LN(2)/25)*CL115+(1-EXP(-LN(2)/25))/(LN(2)/25)*Calculateur!CG116*Calculateur!CI116*VLOOKUP('Données projet'!$B$12,Paramètres!$A$1:$I$89,3,0)*0.475*44/12</f>
        <v>1.592921985665896</v>
      </c>
      <c r="CM116" s="21">
        <f>EXP(-LN(2)/2)*CM115+(1-EXP(-LN(2)/2))/(LN(2)/2)*CG116*CJ116*VLOOKUP('Données projet'!$B$12,Paramètres!$A$1:$I$89,3,0)*0.475*44/12</f>
        <v>0.3850012954603812</v>
      </c>
      <c r="CN116" s="22">
        <f t="shared" si="66"/>
        <v>18.402882198036039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3</v>
      </c>
      <c r="CT116" s="12">
        <f>IF('Données projet'!$A$140&gt;35,CT115+CS116-DB115,IF(A116&lt;'Données projet'!$A$140,$CQ$205^A116,IF(A116='Données projet'!$A$140,'Données projet'!$B$140,CT115+CS116-DB115)))</f>
        <v>180.00000000000006</v>
      </c>
      <c r="CU116" s="17">
        <f>CT116*VLOOKUP('Données projet'!$B$13,Paramètres!$A$1:$I$89,3,0)*VLOOKUP('Données projet'!$B$13,Paramètres!$A$1:$I$89,5,0)</f>
        <v>193.75200000000007</v>
      </c>
      <c r="CV116" s="13">
        <f t="shared" si="95"/>
        <v>48.368520355376113</v>
      </c>
      <c r="CW116" s="20">
        <f t="shared" si="67"/>
        <v>421.69323961894685</v>
      </c>
      <c r="CX116" s="59">
        <f t="shared" si="68"/>
        <v>715.02657295228016</v>
      </c>
      <c r="CY116" s="59">
        <f ca="1">AVERAGE(OFFSET($CX$3,0,0,'Données projet'!$E$13+1,1))-AVERAGE(OFFSET($H$3,0,0,'Données projet'!$E$13+1,1))</f>
        <v>158.74837032815333</v>
      </c>
      <c r="CZ116" s="59">
        <f t="shared" si="96"/>
        <v>92.286636088270086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18.279389762367309</v>
      </c>
      <c r="DG116" s="21">
        <f>EXP(-LN(2)/25)*DG115+(1-EXP(-LN(2)/25))/(LN(2)/25)*Calculateur!DB116*Calculateur!DD116*VLOOKUP('Données projet'!$B$13,Paramètres!$A$1:$I$89,3,0)*0.475*44/12</f>
        <v>1.7727680163055932</v>
      </c>
      <c r="DH116" s="21">
        <f>EXP(-LN(2)/2)*DH115+(1-EXP(-LN(2)/2))/(LN(2)/2)*DB116*DE116*VLOOKUP('Données projet'!$B$13,Paramètres!$A$1:$I$89,3,0)*0.475*44/12</f>
        <v>0.42846918365752101</v>
      </c>
      <c r="DI116" s="22">
        <f t="shared" si="69"/>
        <v>20.480626962330426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2.8421709430404007E-13</v>
      </c>
      <c r="O117" s="13">
        <f>N117*VLOOKUP('Données projet'!$B$9,Paramètres!$A$1:$I$89,3,0)*VLOOKUP('Données projet'!$B$9,Paramètres!$A$1:$I$89,5,0)</f>
        <v>2.3942448024172339E-13</v>
      </c>
      <c r="P117" s="13">
        <f t="shared" si="87"/>
        <v>3.2492669905861755E-12</v>
      </c>
      <c r="Q117" s="20">
        <f t="shared" si="107"/>
        <v>6.0761376450252573E-12</v>
      </c>
      <c r="R117" s="59">
        <f t="shared" si="55"/>
        <v>293.3333333333394</v>
      </c>
      <c r="S117" s="59">
        <f ca="1">AVERAGE(OFFSET($R$3,0,0,'Données projet'!$E$9+1,1))-AVERAGE(OFFSET($H$3,0,0,'Données projet'!$E$9+1,1))</f>
        <v>231.91408074258248</v>
      </c>
      <c r="T117" s="59">
        <f t="shared" si="88"/>
        <v>143.57726487417773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9.8776855310004153E-11</v>
      </c>
      <c r="AC117" s="22">
        <f t="shared" si="57"/>
        <v>9.8776855310004153E-11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2.8421709430404007E-13</v>
      </c>
      <c r="AJ117" s="13">
        <f>AI117*VLOOKUP('Données projet'!$B$10,Paramètres!$A$1:$I$89,3,0)*VLOOKUP('Données projet'!$B$10,Paramètres!$A$1:$I$89,5,0)</f>
        <v>2.5715962692629546E-13</v>
      </c>
      <c r="AK117" s="13">
        <f t="shared" si="89"/>
        <v>3.4610450122128953E-12</v>
      </c>
      <c r="AL117" s="20">
        <f t="shared" si="58"/>
        <v>6.4758730798340893E-12</v>
      </c>
      <c r="AM117" s="59">
        <f t="shared" si="59"/>
        <v>293.33333333333979</v>
      </c>
      <c r="AN117" s="59">
        <f ca="1">AVERAGE(OFFSET($AM$3,0,0,'Données projet'!$E$10+1,1))-AVERAGE(OFFSET($H$3,0,0,'Données projet'!$E$10+1,1))</f>
        <v>253.16772905022714</v>
      </c>
      <c r="AO117" s="59">
        <f t="shared" si="90"/>
        <v>156.67965022779907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1.0609365940704151E-10</v>
      </c>
      <c r="AX117" s="21">
        <f t="shared" si="60"/>
        <v>1.0609365940704151E-10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-2.8421709430404007E-14</v>
      </c>
      <c r="BE117" s="13">
        <f>BD117*VLOOKUP('Données projet'!$B$11,Paramètres!$A$1:$I$89,3,0)*VLOOKUP('Données projet'!$B$11,Paramètres!$A$1:$I$89,5,0)</f>
        <v>-1.6996182239381599E-14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119.24399403036387</v>
      </c>
      <c r="BJ117" s="59">
        <f t="shared" si="92"/>
        <v>119.60076838354843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2.2731533763049528E-13</v>
      </c>
      <c r="BS117" s="22">
        <f t="shared" si="63"/>
        <v>2.2731533763049528E-13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3</v>
      </c>
      <c r="BY117" s="12">
        <f>IF('Données projet'!$A$114&gt;35,BY116+BX117-CG116,IF(A117&lt;'Données projet'!$A$114,$BV$205^A117,IF(A117='Données projet'!$A$114,'Données projet'!$B$114,BY116+BX117-CG116)))</f>
        <v>183.00000000000006</v>
      </c>
      <c r="BZ117" s="13">
        <f>BY117*VLOOKUP('Données projet'!$B$12,Paramètres!$A$1:$I$89,3,0)*VLOOKUP('Données projet'!$B$12,Paramètres!$A$1:$I$89,5,0)</f>
        <v>176.99760000000006</v>
      </c>
      <c r="CA117" s="13">
        <f t="shared" si="93"/>
        <v>44.65355496383409</v>
      </c>
      <c r="CB117" s="20">
        <f t="shared" si="64"/>
        <v>386.04242822867786</v>
      </c>
      <c r="CC117" s="59">
        <f t="shared" si="65"/>
        <v>679.37576156201112</v>
      </c>
      <c r="CD117" s="59">
        <f ca="1">AVERAGE(OFFSET($CC$3,0,0,'Données projet'!$E$12+1,1))-AVERAGE(OFFSET($H$3,0,0,'Données projet'!$E$12+1,1))</f>
        <v>135.95692658150551</v>
      </c>
      <c r="CE117" s="59">
        <f t="shared" si="94"/>
        <v>79.394119001888612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16.102875490784882</v>
      </c>
      <c r="CL117" s="21">
        <f>EXP(-LN(2)/25)*CL116+(1-EXP(-LN(2)/25))/(LN(2)/25)*Calculateur!CG117*Calculateur!CI117*VLOOKUP('Données projet'!$B$12,Paramètres!$A$1:$I$89,3,0)*0.475*44/12</f>
        <v>1.5493634501997355</v>
      </c>
      <c r="CM117" s="21">
        <f>EXP(-LN(2)/2)*CM116+(1-EXP(-LN(2)/2))/(LN(2)/2)*CG117*CJ117*VLOOKUP('Données projet'!$B$12,Paramètres!$A$1:$I$89,3,0)*0.475*44/12</f>
        <v>0.2722370267856411</v>
      </c>
      <c r="CN117" s="22">
        <f t="shared" si="66"/>
        <v>17.92447596777026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3</v>
      </c>
      <c r="CT117" s="12">
        <f>IF('Données projet'!$A$140&gt;35,CT116+CS117-DB116,IF(A117&lt;'Données projet'!$A$140,$CQ$205^A117,IF(A117='Données projet'!$A$140,'Données projet'!$B$140,CT116+CS117-DB116)))</f>
        <v>183.00000000000006</v>
      </c>
      <c r="CU117" s="17">
        <f>CT117*VLOOKUP('Données projet'!$B$13,Paramètres!$A$1:$I$89,3,0)*VLOOKUP('Données projet'!$B$13,Paramètres!$A$1:$I$89,5,0)</f>
        <v>196.98120000000006</v>
      </c>
      <c r="CV117" s="13">
        <f t="shared" si="95"/>
        <v>49.080140741894134</v>
      </c>
      <c r="CW117" s="20">
        <f t="shared" si="67"/>
        <v>428.55683512546574</v>
      </c>
      <c r="CX117" s="59">
        <f t="shared" si="68"/>
        <v>721.89016845879905</v>
      </c>
      <c r="CY117" s="59">
        <f ca="1">AVERAGE(OFFSET($CX$3,0,0,'Données projet'!$E$13+1,1))-AVERAGE(OFFSET($H$3,0,0,'Données projet'!$E$13+1,1))</f>
        <v>158.74837032815333</v>
      </c>
      <c r="CZ117" s="59">
        <f t="shared" si="96"/>
        <v>92.286636088270086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17.920942078454136</v>
      </c>
      <c r="DG117" s="21">
        <f>EXP(-LN(2)/25)*DG116+(1-EXP(-LN(2)/25))/(LN(2)/25)*Calculateur!DB117*Calculateur!DD117*VLOOKUP('Données projet'!$B$13,Paramètres!$A$1:$I$89,3,0)*0.475*44/12</f>
        <v>1.7242915816738986</v>
      </c>
      <c r="DH117" s="21">
        <f>EXP(-LN(2)/2)*DH116+(1-EXP(-LN(2)/2))/(LN(2)/2)*DB117*DE117*VLOOKUP('Données projet'!$B$13,Paramètres!$A$1:$I$89,3,0)*0.475*44/12</f>
        <v>0.3029734652936974</v>
      </c>
      <c r="DI117" s="22">
        <f t="shared" si="69"/>
        <v>19.948207125421732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2.8421709430404007E-13</v>
      </c>
      <c r="O118" s="13">
        <f>N118*VLOOKUP('Données projet'!$B$9,Paramètres!$A$1:$I$89,3,0)*VLOOKUP('Données projet'!$B$9,Paramètres!$A$1:$I$89,5,0)</f>
        <v>2.3942448024172339E-13</v>
      </c>
      <c r="P118" s="13">
        <f t="shared" si="87"/>
        <v>3.2492669905861755E-12</v>
      </c>
      <c r="Q118" s="20">
        <f t="shared" si="107"/>
        <v>6.0761376450252573E-12</v>
      </c>
      <c r="R118" s="59">
        <f t="shared" si="55"/>
        <v>293.3333333333394</v>
      </c>
      <c r="S118" s="59">
        <f ca="1">AVERAGE(OFFSET($R$3,0,0,'Données projet'!$E$9+1,1))-AVERAGE(OFFSET($H$3,0,0,'Données projet'!$E$9+1,1))</f>
        <v>231.91408074258248</v>
      </c>
      <c r="T118" s="59">
        <f t="shared" si="88"/>
        <v>143.57726487417773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6.984578421398637E-11</v>
      </c>
      <c r="AC118" s="22">
        <f t="shared" si="57"/>
        <v>6.984578421398637E-11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2.8421709430404007E-13</v>
      </c>
      <c r="AJ118" s="13">
        <f>AI118*VLOOKUP('Données projet'!$B$10,Paramètres!$A$1:$I$89,3,0)*VLOOKUP('Données projet'!$B$10,Paramètres!$A$1:$I$89,5,0)</f>
        <v>2.5715962692629546E-13</v>
      </c>
      <c r="AK118" s="13">
        <f t="shared" si="89"/>
        <v>3.4610450122128953E-12</v>
      </c>
      <c r="AL118" s="20">
        <f t="shared" si="58"/>
        <v>6.4758730798340893E-12</v>
      </c>
      <c r="AM118" s="59">
        <f t="shared" si="59"/>
        <v>293.33333333333979</v>
      </c>
      <c r="AN118" s="59">
        <f ca="1">AVERAGE(OFFSET($AM$3,0,0,'Données projet'!$E$10+1,1))-AVERAGE(OFFSET($H$3,0,0,'Données projet'!$E$10+1,1))</f>
        <v>253.16772905022714</v>
      </c>
      <c r="AO118" s="59">
        <f t="shared" si="90"/>
        <v>156.67965022779907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7.5019546007614998E-11</v>
      </c>
      <c r="AX118" s="21">
        <f t="shared" si="60"/>
        <v>7.5019546007614998E-11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-2.8421709430404007E-14</v>
      </c>
      <c r="BE118" s="13">
        <f>BD118*VLOOKUP('Données projet'!$B$11,Paramètres!$A$1:$I$89,3,0)*VLOOKUP('Données projet'!$B$11,Paramètres!$A$1:$I$89,5,0)</f>
        <v>-1.6996182239381599E-14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119.24399403036387</v>
      </c>
      <c r="BJ118" s="59">
        <f t="shared" si="92"/>
        <v>119.60076838354843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1.6073621670623282E-13</v>
      </c>
      <c r="BS118" s="22">
        <f t="shared" si="63"/>
        <v>1.6073621670623282E-13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>
        <f>VLOOKUP(A118,'Données projet'!$A$113:$I$133,2,0)</f>
        <v>186</v>
      </c>
      <c r="BW118" s="12">
        <f>VLOOKUP(A118,'Données projet'!$A$113:$I$133,9,0)</f>
        <v>3</v>
      </c>
      <c r="BX118" s="12">
        <f t="array" ref="BX118">INDEX(BW:BW,MIN(IF(ISNUMBER(BW118:BW314),ROW(BW118:BW314),"")))</f>
        <v>3</v>
      </c>
      <c r="BY118" s="12">
        <f>IF('Données projet'!$A$114&gt;35,BY117+BX118-CG117,IF(A118&lt;'Données projet'!$A$114,$BV$205^A118,IF(A118='Données projet'!$A$114,'Données projet'!$B$114,BY117+BX118-CG117)))</f>
        <v>186.00000000000006</v>
      </c>
      <c r="BZ118" s="13">
        <f>BY118*VLOOKUP('Données projet'!$B$12,Paramètres!$A$1:$I$89,3,0)*VLOOKUP('Données projet'!$B$12,Paramètres!$A$1:$I$89,5,0)</f>
        <v>179.89920000000006</v>
      </c>
      <c r="CA118" s="13">
        <f t="shared" si="93"/>
        <v>45.299759292628629</v>
      </c>
      <c r="CB118" s="20">
        <f t="shared" si="64"/>
        <v>392.22152076799495</v>
      </c>
      <c r="CC118" s="59">
        <f t="shared" si="65"/>
        <v>685.55485410132826</v>
      </c>
      <c r="CD118" s="59">
        <f ca="1">AVERAGE(OFFSET($CC$3,0,0,'Données projet'!$E$12+1,1))-AVERAGE(OFFSET($H$3,0,0,'Données projet'!$E$12+1,1))</f>
        <v>135.95692658150551</v>
      </c>
      <c r="CE118" s="59">
        <f t="shared" si="94"/>
        <v>79.394119001888612</v>
      </c>
      <c r="CF118" s="15" t="str">
        <f>IF(ISNA(VLOOKUP(A118,'Données projet'!$A$113:$I$133,3,0)),0,VLOOKUP(A118,'Données projet'!$A$113:$I$133,3,0))</f>
        <v>CR</v>
      </c>
      <c r="CG118" s="15">
        <f>IF(ISNA(VLOOKUP(A118,'Données projet'!$A$113:$I$133,4,0)),0,VLOOKUP(A118,'Données projet'!$A$113:$I$133,4,0))</f>
        <v>186</v>
      </c>
      <c r="CH118" s="16">
        <f>IF(ISNA(VLOOKUP(A118,'Données projet'!$A$113:$I$133,5,0)),0%,VLOOKUP(A118,'Données projet'!$A$113:$I$133,5,0)*VLOOKUP('Données projet'!$B$12,Paramètres!$A$1:$I$89,7,0))</f>
        <v>0.30099999999999999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0.1</v>
      </c>
      <c r="CK118" s="21">
        <f>EXP(-LN(2)/35)*CK117+(1-EXP(-LN(2)/35))/(LN(2)/35)*CG118*CH118*VLOOKUP('Données projet'!$B$12,Paramètres!$A$1:$I$89,3,0)*0.475*44/12</f>
        <v>75.647952231598723</v>
      </c>
      <c r="CL118" s="21">
        <f>EXP(-LN(2)/25)*CL117+(1-EXP(-LN(2)/25))/(LN(2)/25)*Calculateur!CG118*Calculateur!CI118*VLOOKUP('Données projet'!$B$12,Paramètres!$A$1:$I$89,3,0)*0.475*44/12</f>
        <v>1.5069960251765411</v>
      </c>
      <c r="CM118" s="21">
        <f>EXP(-LN(2)/2)*CM117+(1-EXP(-LN(2)/2))/(LN(2)/2)*CG118*CJ118*VLOOKUP('Données projet'!$B$12,Paramètres!$A$1:$I$89,3,0)*0.475*44/12</f>
        <v>17.16647435932796</v>
      </c>
      <c r="CN118" s="22">
        <f t="shared" si="66"/>
        <v>94.321422616103234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>
        <f>VLOOKUP(A118,'Données projet'!$A$139:$I$159,2,0)</f>
        <v>186</v>
      </c>
      <c r="CR118" s="12">
        <f>VLOOKUP(A118,'Données projet'!$A$139:$I$159,9,0)</f>
        <v>3</v>
      </c>
      <c r="CS118" s="12">
        <f t="array" ref="CS118">INDEX(CR:CR,MIN(IF(ISNUMBER(CR118:CR314),ROW(CR118:CR314),"")))</f>
        <v>3</v>
      </c>
      <c r="CT118" s="12">
        <f>IF('Données projet'!$A$140&gt;35,CT117+CS118-DB117,IF(A118&lt;'Données projet'!$A$140,$CQ$205^A118,IF(A118='Données projet'!$A$140,'Données projet'!$B$140,CT117+CS118-DB117)))</f>
        <v>186.00000000000006</v>
      </c>
      <c r="CU118" s="17">
        <f>CT118*VLOOKUP('Données projet'!$B$13,Paramètres!$A$1:$I$89,3,0)*VLOOKUP('Données projet'!$B$13,Paramètres!$A$1:$I$89,5,0)</f>
        <v>200.21040000000005</v>
      </c>
      <c r="CV118" s="13">
        <f t="shared" si="95"/>
        <v>49.790404447235048</v>
      </c>
      <c r="CW118" s="20">
        <f t="shared" si="67"/>
        <v>435.41806774560109</v>
      </c>
      <c r="CX118" s="59">
        <f t="shared" si="68"/>
        <v>728.75140107893435</v>
      </c>
      <c r="CY118" s="59">
        <f ca="1">AVERAGE(OFFSET($CX$3,0,0,'Données projet'!$E$13+1,1))-AVERAGE(OFFSET($H$3,0,0,'Données projet'!$E$13+1,1))</f>
        <v>158.74837032815333</v>
      </c>
      <c r="CZ118" s="59">
        <f t="shared" si="96"/>
        <v>92.286636088270086</v>
      </c>
      <c r="DA118" s="15" t="str">
        <f>IF(ISNA(VLOOKUP(A118,'Données projet'!$A$139:$I$159,3,0)),0,VLOOKUP(A118,'Données projet'!$A$139:$I$159,3,0))</f>
        <v>CR</v>
      </c>
      <c r="DB118" s="15">
        <f>IF(ISNA(VLOOKUP(A118,'Données projet'!$A$139:$I$159,4,0)),0,VLOOKUP(A118,'Données projet'!$A$139:$I$159,4,0))</f>
        <v>186</v>
      </c>
      <c r="DC118" s="16">
        <f>IF(ISNA(VLOOKUP(A118,'Données projet'!$A$139:$I$159,5,0)),0%,VLOOKUP(A118,'Données projet'!$A$139:$I$159,5,0)*VLOOKUP('Données projet'!$B$13,Paramètres!$A$1:$I$89,7,0))</f>
        <v>0.30099999999999999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0.1</v>
      </c>
      <c r="DF118" s="21">
        <f>EXP(-LN(2)/35)*DF117+(1-EXP(-LN(2)/35))/(LN(2)/35)*DB118*DC118*VLOOKUP('Données projet'!$B$13,Paramètres!$A$1:$I$89,3,0)*0.475*44/12</f>
        <v>84.188850064198576</v>
      </c>
      <c r="DG118" s="21">
        <f>EXP(-LN(2)/25)*DG117+(1-EXP(-LN(2)/25))/(LN(2)/25)*Calculateur!DB118*Calculateur!DD118*VLOOKUP('Données projet'!$B$13,Paramètres!$A$1:$I$89,3,0)*0.475*44/12</f>
        <v>1.6771407376964724</v>
      </c>
      <c r="DH118" s="21">
        <f>EXP(-LN(2)/2)*DH117+(1-EXP(-LN(2)/2))/(LN(2)/2)*DB118*DE118*VLOOKUP('Données projet'!$B$13,Paramètres!$A$1:$I$89,3,0)*0.475*44/12</f>
        <v>19.104624690219822</v>
      </c>
      <c r="DI118" s="22">
        <f t="shared" si="69"/>
        <v>104.97061549211487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2.8421709430404007E-13</v>
      </c>
      <c r="O119" s="13">
        <f>N119*VLOOKUP('Données projet'!$B$9,Paramètres!$A$1:$I$89,3,0)*VLOOKUP('Données projet'!$B$9,Paramètres!$A$1:$I$89,5,0)</f>
        <v>2.3942448024172339E-13</v>
      </c>
      <c r="P119" s="13">
        <f t="shared" si="87"/>
        <v>3.2492669905861755E-12</v>
      </c>
      <c r="Q119" s="20">
        <f t="shared" si="107"/>
        <v>6.0761376450252573E-12</v>
      </c>
      <c r="R119" s="59">
        <f t="shared" si="55"/>
        <v>293.3333333333394</v>
      </c>
      <c r="S119" s="59">
        <f ca="1">AVERAGE(OFFSET($R$3,0,0,'Données projet'!$E$9+1,1))-AVERAGE(OFFSET($H$3,0,0,'Données projet'!$E$9+1,1))</f>
        <v>231.91408074258248</v>
      </c>
      <c r="T119" s="59">
        <f t="shared" si="88"/>
        <v>143.57726487417773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4.9388427655002076E-11</v>
      </c>
      <c r="AC119" s="22">
        <f t="shared" si="57"/>
        <v>4.9388427655002076E-11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2.8421709430404007E-13</v>
      </c>
      <c r="AJ119" s="13">
        <f>AI119*VLOOKUP('Données projet'!$B$10,Paramètres!$A$1:$I$89,3,0)*VLOOKUP('Données projet'!$B$10,Paramètres!$A$1:$I$89,5,0)</f>
        <v>2.5715962692629546E-13</v>
      </c>
      <c r="AK119" s="13">
        <f t="shared" si="89"/>
        <v>3.4610450122128953E-12</v>
      </c>
      <c r="AL119" s="20">
        <f t="shared" si="58"/>
        <v>6.4758730798340893E-12</v>
      </c>
      <c r="AM119" s="59">
        <f t="shared" si="59"/>
        <v>293.33333333333979</v>
      </c>
      <c r="AN119" s="59">
        <f ca="1">AVERAGE(OFFSET($AM$3,0,0,'Données projet'!$E$10+1,1))-AVERAGE(OFFSET($H$3,0,0,'Données projet'!$E$10+1,1))</f>
        <v>253.16772905022714</v>
      </c>
      <c r="AO119" s="59">
        <f t="shared" si="90"/>
        <v>156.67965022779907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5.3046829703520754E-11</v>
      </c>
      <c r="AX119" s="21">
        <f t="shared" si="60"/>
        <v>5.3046829703520754E-11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-2.8421709430404007E-14</v>
      </c>
      <c r="BE119" s="13">
        <f>BD119*VLOOKUP('Données projet'!$B$11,Paramètres!$A$1:$I$89,3,0)*VLOOKUP('Données projet'!$B$11,Paramètres!$A$1:$I$89,5,0)</f>
        <v>-1.6996182239381599E-14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119.24399403036387</v>
      </c>
      <c r="BJ119" s="59">
        <f t="shared" si="92"/>
        <v>119.60076838354843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1.1365766881524765E-13</v>
      </c>
      <c r="BS119" s="22">
        <f t="shared" si="63"/>
        <v>1.1365766881524765E-13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5.6843418860808015E-14</v>
      </c>
      <c r="BZ119" s="13">
        <f>BY119*VLOOKUP('Données projet'!$B$12,Paramètres!$A$1:$I$89,3,0)*VLOOKUP('Données projet'!$B$12,Paramètres!$A$1:$I$89,5,0)</f>
        <v>5.4978954722173515E-14</v>
      </c>
      <c r="CA119" s="13">
        <f t="shared" si="93"/>
        <v>8.8550225887742724E-13</v>
      </c>
      <c r="CB119" s="20">
        <f t="shared" si="64"/>
        <v>1.6380047803526383E-12</v>
      </c>
      <c r="CC119" s="59">
        <f t="shared" si="65"/>
        <v>293.33333333333496</v>
      </c>
      <c r="CD119" s="59">
        <f ca="1">AVERAGE(OFFSET($CC$3,0,0,'Données projet'!$E$12+1,1))-AVERAGE(OFFSET($H$3,0,0,'Données projet'!$E$12+1,1))</f>
        <v>135.95692658150551</v>
      </c>
      <c r="CE119" s="59">
        <f t="shared" si="94"/>
        <v>79.394119001888612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74.164542029031921</v>
      </c>
      <c r="CL119" s="21">
        <f>EXP(-LN(2)/25)*CL118+(1-EXP(-LN(2)/25))/(LN(2)/25)*Calculateur!CG119*Calculateur!CI119*VLOOKUP('Données projet'!$B$12,Paramètres!$A$1:$I$89,3,0)*0.475*44/12</f>
        <v>1.465787139618612</v>
      </c>
      <c r="CM119" s="21">
        <f>EXP(-LN(2)/2)*CM118+(1-EXP(-LN(2)/2))/(LN(2)/2)*CG119*CJ119*VLOOKUP('Données projet'!$B$12,Paramètres!$A$1:$I$89,3,0)*0.475*44/12</f>
        <v>12.138530428545796</v>
      </c>
      <c r="CN119" s="22">
        <f t="shared" si="66"/>
        <v>87.768859597196325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5.6843418860808015E-14</v>
      </c>
      <c r="CU119" s="17">
        <f>CT119*VLOOKUP('Données projet'!$B$13,Paramètres!$A$1:$I$89,3,0)*VLOOKUP('Données projet'!$B$13,Paramètres!$A$1:$I$89,5,0)</f>
        <v>6.1186256061773749E-14</v>
      </c>
      <c r="CV119" s="13">
        <f t="shared" si="95"/>
        <v>9.7328366192051127E-13</v>
      </c>
      <c r="CW119" s="20">
        <f t="shared" si="67"/>
        <v>1.8017017738191463E-12</v>
      </c>
      <c r="CX119" s="59">
        <f t="shared" si="68"/>
        <v>293.33333333333513</v>
      </c>
      <c r="CY119" s="59">
        <f ca="1">AVERAGE(OFFSET($CX$3,0,0,'Données projet'!$E$13+1,1))-AVERAGE(OFFSET($H$3,0,0,'Données projet'!$E$13+1,1))</f>
        <v>158.74837032815333</v>
      </c>
      <c r="CZ119" s="59">
        <f t="shared" si="96"/>
        <v>92.286636088270086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82.537958064567775</v>
      </c>
      <c r="DG119" s="21">
        <f>EXP(-LN(2)/25)*DG118+(1-EXP(-LN(2)/25))/(LN(2)/25)*Calculateur!DB119*Calculateur!DD119*VLOOKUP('Données projet'!$B$13,Paramètres!$A$1:$I$89,3,0)*0.475*44/12</f>
        <v>1.6312792360271642</v>
      </c>
      <c r="DH119" s="21">
        <f>EXP(-LN(2)/2)*DH118+(1-EXP(-LN(2)/2))/(LN(2)/2)*DB119*DE119*VLOOKUP('Données projet'!$B$13,Paramètres!$A$1:$I$89,3,0)*0.475*44/12</f>
        <v>13.509009670478381</v>
      </c>
      <c r="DI119" s="22">
        <f t="shared" si="69"/>
        <v>97.678246971073321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2.8421709430404007E-13</v>
      </c>
      <c r="O120" s="13">
        <f>N120*VLOOKUP('Données projet'!$B$9,Paramètres!$A$1:$I$89,3,0)*VLOOKUP('Données projet'!$B$9,Paramètres!$A$1:$I$89,5,0)</f>
        <v>2.3942448024172339E-13</v>
      </c>
      <c r="P120" s="13">
        <f t="shared" si="87"/>
        <v>3.2492669905861755E-12</v>
      </c>
      <c r="Q120" s="20">
        <f t="shared" si="107"/>
        <v>6.0761376450252573E-12</v>
      </c>
      <c r="R120" s="59">
        <f t="shared" si="55"/>
        <v>293.3333333333394</v>
      </c>
      <c r="S120" s="59">
        <f ca="1">AVERAGE(OFFSET($R$3,0,0,'Données projet'!$E$9+1,1))-AVERAGE(OFFSET($H$3,0,0,'Données projet'!$E$9+1,1))</f>
        <v>231.91408074258248</v>
      </c>
      <c r="T120" s="59">
        <f t="shared" si="88"/>
        <v>143.57726487417773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3.4922892106993185E-11</v>
      </c>
      <c r="AC120" s="22">
        <f t="shared" si="57"/>
        <v>3.4922892106993185E-11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2.8421709430404007E-13</v>
      </c>
      <c r="AJ120" s="13">
        <f>AI120*VLOOKUP('Données projet'!$B$10,Paramètres!$A$1:$I$89,3,0)*VLOOKUP('Données projet'!$B$10,Paramètres!$A$1:$I$89,5,0)</f>
        <v>2.5715962692629546E-13</v>
      </c>
      <c r="AK120" s="13">
        <f t="shared" si="89"/>
        <v>3.4610450122128953E-12</v>
      </c>
      <c r="AL120" s="20">
        <f t="shared" si="58"/>
        <v>6.4758730798340893E-12</v>
      </c>
      <c r="AM120" s="59">
        <f t="shared" si="59"/>
        <v>293.33333333333979</v>
      </c>
      <c r="AN120" s="59">
        <f ca="1">AVERAGE(OFFSET($AM$3,0,0,'Données projet'!$E$10+1,1))-AVERAGE(OFFSET($H$3,0,0,'Données projet'!$E$10+1,1))</f>
        <v>253.16772905022714</v>
      </c>
      <c r="AO120" s="59">
        <f t="shared" si="90"/>
        <v>156.67965022779907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3.7509773003807499E-11</v>
      </c>
      <c r="AX120" s="21">
        <f t="shared" si="60"/>
        <v>3.7509773003807499E-11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-2.8421709430404007E-14</v>
      </c>
      <c r="BE120" s="13">
        <f>BD120*VLOOKUP('Données projet'!$B$11,Paramètres!$A$1:$I$89,3,0)*VLOOKUP('Données projet'!$B$11,Paramètres!$A$1:$I$89,5,0)</f>
        <v>-1.6996182239381599E-14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119.24399403036387</v>
      </c>
      <c r="BJ120" s="59">
        <f t="shared" si="92"/>
        <v>119.60076838354843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8.0368108353116421E-14</v>
      </c>
      <c r="BS120" s="22">
        <f t="shared" si="63"/>
        <v>8.0368108353116421E-14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5.6843418860808015E-14</v>
      </c>
      <c r="BZ120" s="13">
        <f>BY120*VLOOKUP('Données projet'!$B$12,Paramètres!$A$1:$I$89,3,0)*VLOOKUP('Données projet'!$B$12,Paramètres!$A$1:$I$89,5,0)</f>
        <v>5.4978954722173515E-14</v>
      </c>
      <c r="CA120" s="13">
        <f t="shared" si="93"/>
        <v>8.8550225887742724E-13</v>
      </c>
      <c r="CB120" s="20">
        <f t="shared" si="64"/>
        <v>1.6380047803526383E-12</v>
      </c>
      <c r="CC120" s="59">
        <f t="shared" si="65"/>
        <v>293.33333333333496</v>
      </c>
      <c r="CD120" s="59">
        <f ca="1">AVERAGE(OFFSET($CC$3,0,0,'Données projet'!$E$12+1,1))-AVERAGE(OFFSET($H$3,0,0,'Données projet'!$E$12+1,1))</f>
        <v>135.95692658150551</v>
      </c>
      <c r="CE120" s="59">
        <f t="shared" si="94"/>
        <v>79.394119001888612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72.710220595746563</v>
      </c>
      <c r="CL120" s="21">
        <f>EXP(-LN(2)/25)*CL119+(1-EXP(-LN(2)/25))/(LN(2)/25)*Calculateur!CG120*Calculateur!CI120*VLOOKUP('Données projet'!$B$12,Paramètres!$A$1:$I$89,3,0)*0.475*44/12</f>
        <v>1.4257051132033454</v>
      </c>
      <c r="CM120" s="21">
        <f>EXP(-LN(2)/2)*CM119+(1-EXP(-LN(2)/2))/(LN(2)/2)*CG120*CJ120*VLOOKUP('Données projet'!$B$12,Paramètres!$A$1:$I$89,3,0)*0.475*44/12</f>
        <v>8.5832371796639819</v>
      </c>
      <c r="CN120" s="22">
        <f t="shared" si="66"/>
        <v>82.719162888613894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5.6843418860808015E-14</v>
      </c>
      <c r="CU120" s="17">
        <f>CT120*VLOOKUP('Données projet'!$B$13,Paramètres!$A$1:$I$89,3,0)*VLOOKUP('Données projet'!$B$13,Paramètres!$A$1:$I$89,5,0)</f>
        <v>6.1186256061773749E-14</v>
      </c>
      <c r="CV120" s="13">
        <f t="shared" si="95"/>
        <v>9.7328366192051127E-13</v>
      </c>
      <c r="CW120" s="20">
        <f t="shared" si="67"/>
        <v>1.8017017738191463E-12</v>
      </c>
      <c r="CX120" s="59">
        <f t="shared" si="68"/>
        <v>293.33333333333513</v>
      </c>
      <c r="CY120" s="59">
        <f ca="1">AVERAGE(OFFSET($CX$3,0,0,'Données projet'!$E$13+1,1))-AVERAGE(OFFSET($H$3,0,0,'Données projet'!$E$13+1,1))</f>
        <v>158.74837032815333</v>
      </c>
      <c r="CZ120" s="59">
        <f t="shared" si="96"/>
        <v>92.286636088270086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80.919439050105041</v>
      </c>
      <c r="DG120" s="21">
        <f>EXP(-LN(2)/25)*DG119+(1-EXP(-LN(2)/25))/(LN(2)/25)*Calculateur!DB120*Calculateur!DD120*VLOOKUP('Données projet'!$B$13,Paramètres!$A$1:$I$89,3,0)*0.475*44/12</f>
        <v>1.5866718195327547</v>
      </c>
      <c r="DH120" s="21">
        <f>EXP(-LN(2)/2)*DH119+(1-EXP(-LN(2)/2))/(LN(2)/2)*DB120*DE120*VLOOKUP('Données projet'!$B$13,Paramètres!$A$1:$I$89,3,0)*0.475*44/12</f>
        <v>9.552312345109911</v>
      </c>
      <c r="DI120" s="22">
        <f t="shared" si="69"/>
        <v>92.058423214747705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2.8421709430404007E-13</v>
      </c>
      <c r="O121" s="13">
        <f>N121*VLOOKUP('Données projet'!$B$9,Paramètres!$A$1:$I$89,3,0)*VLOOKUP('Données projet'!$B$9,Paramètres!$A$1:$I$89,5,0)</f>
        <v>2.3942448024172339E-13</v>
      </c>
      <c r="P121" s="13">
        <f t="shared" si="87"/>
        <v>3.2492669905861755E-12</v>
      </c>
      <c r="Q121" s="20">
        <f t="shared" si="107"/>
        <v>6.0761376450252573E-12</v>
      </c>
      <c r="R121" s="59">
        <f t="shared" si="55"/>
        <v>293.3333333333394</v>
      </c>
      <c r="S121" s="59">
        <f ca="1">AVERAGE(OFFSET($R$3,0,0,'Données projet'!$E$9+1,1))-AVERAGE(OFFSET($H$3,0,0,'Données projet'!$E$9+1,1))</f>
        <v>231.91408074258248</v>
      </c>
      <c r="T121" s="59">
        <f t="shared" si="88"/>
        <v>143.57726487417773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2.4694213827501038E-11</v>
      </c>
      <c r="AC121" s="22">
        <f t="shared" si="57"/>
        <v>2.4694213827501038E-11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2.8421709430404007E-13</v>
      </c>
      <c r="AJ121" s="13">
        <f>AI121*VLOOKUP('Données projet'!$B$10,Paramètres!$A$1:$I$89,3,0)*VLOOKUP('Données projet'!$B$10,Paramètres!$A$1:$I$89,5,0)</f>
        <v>2.5715962692629546E-13</v>
      </c>
      <c r="AK121" s="13">
        <f t="shared" si="89"/>
        <v>3.4610450122128953E-12</v>
      </c>
      <c r="AL121" s="20">
        <f t="shared" si="58"/>
        <v>6.4758730798340893E-12</v>
      </c>
      <c r="AM121" s="59">
        <f t="shared" si="59"/>
        <v>293.33333333333979</v>
      </c>
      <c r="AN121" s="59">
        <f ca="1">AVERAGE(OFFSET($AM$3,0,0,'Données projet'!$E$10+1,1))-AVERAGE(OFFSET($H$3,0,0,'Données projet'!$E$10+1,1))</f>
        <v>253.16772905022714</v>
      </c>
      <c r="AO121" s="59">
        <f t="shared" si="90"/>
        <v>156.67965022779907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2.6523414851760377E-11</v>
      </c>
      <c r="AX121" s="21">
        <f t="shared" si="60"/>
        <v>2.6523414851760377E-11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-2.8421709430404007E-14</v>
      </c>
      <c r="BE121" s="13">
        <f>BD121*VLOOKUP('Données projet'!$B$11,Paramètres!$A$1:$I$89,3,0)*VLOOKUP('Données projet'!$B$11,Paramètres!$A$1:$I$89,5,0)</f>
        <v>-1.6996182239381599E-14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119.24399403036387</v>
      </c>
      <c r="BJ121" s="59">
        <f t="shared" si="92"/>
        <v>119.60076838354843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5.682883440762384E-14</v>
      </c>
      <c r="BS121" s="22">
        <f t="shared" si="63"/>
        <v>5.682883440762384E-14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5.6843418860808015E-14</v>
      </c>
      <c r="BZ121" s="13">
        <f>BY121*VLOOKUP('Données projet'!$B$12,Paramètres!$A$1:$I$89,3,0)*VLOOKUP('Données projet'!$B$12,Paramètres!$A$1:$I$89,5,0)</f>
        <v>5.4978954722173515E-14</v>
      </c>
      <c r="CA121" s="13">
        <f t="shared" si="93"/>
        <v>8.8550225887742724E-13</v>
      </c>
      <c r="CB121" s="20">
        <f t="shared" si="64"/>
        <v>1.6380047803526383E-12</v>
      </c>
      <c r="CC121" s="59">
        <f t="shared" si="65"/>
        <v>293.33333333333496</v>
      </c>
      <c r="CD121" s="59">
        <f ca="1">AVERAGE(OFFSET($CC$3,0,0,'Données projet'!$E$12+1,1))-AVERAGE(OFFSET($H$3,0,0,'Données projet'!$E$12+1,1))</f>
        <v>135.95692658150551</v>
      </c>
      <c r="CE121" s="59">
        <f t="shared" si="94"/>
        <v>79.394119001888612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71.284417518719451</v>
      </c>
      <c r="CL121" s="21">
        <f>EXP(-LN(2)/25)*CL120+(1-EXP(-LN(2)/25))/(LN(2)/25)*Calculateur!CG121*Calculateur!CI121*VLOOKUP('Données projet'!$B$12,Paramètres!$A$1:$I$89,3,0)*0.475*44/12</f>
        <v>1.3867191319082264</v>
      </c>
      <c r="CM121" s="21">
        <f>EXP(-LN(2)/2)*CM120+(1-EXP(-LN(2)/2))/(LN(2)/2)*CG121*CJ121*VLOOKUP('Données projet'!$B$12,Paramètres!$A$1:$I$89,3,0)*0.475*44/12</f>
        <v>6.0692652142728987</v>
      </c>
      <c r="CN121" s="22">
        <f t="shared" si="66"/>
        <v>78.740401864900576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5.6843418860808015E-14</v>
      </c>
      <c r="CU121" s="17">
        <f>CT121*VLOOKUP('Données projet'!$B$13,Paramètres!$A$1:$I$89,3,0)*VLOOKUP('Données projet'!$B$13,Paramètres!$A$1:$I$89,5,0)</f>
        <v>6.1186256061773749E-14</v>
      </c>
      <c r="CV121" s="13">
        <f t="shared" si="95"/>
        <v>9.7328366192051127E-13</v>
      </c>
      <c r="CW121" s="20">
        <f t="shared" si="67"/>
        <v>1.8017017738191463E-12</v>
      </c>
      <c r="CX121" s="59">
        <f t="shared" si="68"/>
        <v>293.33333333333513</v>
      </c>
      <c r="CY121" s="59">
        <f ca="1">AVERAGE(OFFSET($CX$3,0,0,'Données projet'!$E$13+1,1))-AVERAGE(OFFSET($H$3,0,0,'Données projet'!$E$13+1,1))</f>
        <v>158.74837032815333</v>
      </c>
      <c r="CZ121" s="59">
        <f t="shared" si="96"/>
        <v>92.286636088270086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79.332658206316808</v>
      </c>
      <c r="DG121" s="21">
        <f>EXP(-LN(2)/25)*DG120+(1-EXP(-LN(2)/25))/(LN(2)/25)*Calculateur!DB121*Calculateur!DD121*VLOOKUP('Données projet'!$B$13,Paramètres!$A$1:$I$89,3,0)*0.475*44/12</f>
        <v>1.5432841951881868</v>
      </c>
      <c r="DH121" s="21">
        <f>EXP(-LN(2)/2)*DH120+(1-EXP(-LN(2)/2))/(LN(2)/2)*DB121*DE121*VLOOKUP('Données projet'!$B$13,Paramètres!$A$1:$I$89,3,0)*0.475*44/12</f>
        <v>6.7545048352391905</v>
      </c>
      <c r="DI121" s="22">
        <f t="shared" si="69"/>
        <v>87.630447236744189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2.8421709430404007E-13</v>
      </c>
      <c r="O122" s="13">
        <f>N122*VLOOKUP('Données projet'!$B$9,Paramètres!$A$1:$I$89,3,0)*VLOOKUP('Données projet'!$B$9,Paramètres!$A$1:$I$89,5,0)</f>
        <v>2.3942448024172339E-13</v>
      </c>
      <c r="P122" s="13">
        <f t="shared" si="87"/>
        <v>3.2492669905861755E-12</v>
      </c>
      <c r="Q122" s="20">
        <f t="shared" si="107"/>
        <v>6.0761376450252573E-12</v>
      </c>
      <c r="R122" s="59">
        <f t="shared" si="55"/>
        <v>293.3333333333394</v>
      </c>
      <c r="S122" s="59">
        <f ca="1">AVERAGE(OFFSET($R$3,0,0,'Données projet'!$E$9+1,1))-AVERAGE(OFFSET($H$3,0,0,'Données projet'!$E$9+1,1))</f>
        <v>231.91408074258248</v>
      </c>
      <c r="T122" s="59">
        <f t="shared" si="88"/>
        <v>143.57726487417773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1.7461446053496592E-11</v>
      </c>
      <c r="AC122" s="22">
        <f t="shared" si="57"/>
        <v>1.7461446053496592E-11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2.8421709430404007E-13</v>
      </c>
      <c r="AJ122" s="13">
        <f>AI122*VLOOKUP('Données projet'!$B$10,Paramètres!$A$1:$I$89,3,0)*VLOOKUP('Données projet'!$B$10,Paramètres!$A$1:$I$89,5,0)</f>
        <v>2.5715962692629546E-13</v>
      </c>
      <c r="AK122" s="13">
        <f t="shared" si="89"/>
        <v>3.4610450122128953E-12</v>
      </c>
      <c r="AL122" s="20">
        <f t="shared" si="58"/>
        <v>6.4758730798340893E-12</v>
      </c>
      <c r="AM122" s="59">
        <f t="shared" si="59"/>
        <v>293.33333333333979</v>
      </c>
      <c r="AN122" s="59">
        <f ca="1">AVERAGE(OFFSET($AM$3,0,0,'Données projet'!$E$10+1,1))-AVERAGE(OFFSET($H$3,0,0,'Données projet'!$E$10+1,1))</f>
        <v>253.16772905022714</v>
      </c>
      <c r="AO122" s="59">
        <f t="shared" si="90"/>
        <v>156.67965022779907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1.875488650190375E-11</v>
      </c>
      <c r="AX122" s="21">
        <f t="shared" si="60"/>
        <v>1.875488650190375E-11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-2.8421709430404007E-14</v>
      </c>
      <c r="BE122" s="13">
        <f>BD122*VLOOKUP('Données projet'!$B$11,Paramètres!$A$1:$I$89,3,0)*VLOOKUP('Données projet'!$B$11,Paramètres!$A$1:$I$89,5,0)</f>
        <v>-1.6996182239381599E-14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119.24399403036387</v>
      </c>
      <c r="BJ122" s="59">
        <f t="shared" si="92"/>
        <v>119.60076838354843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4.0184054176558217E-14</v>
      </c>
      <c r="BS122" s="22">
        <f t="shared" si="63"/>
        <v>4.0184054176558217E-14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5.6843418860808015E-14</v>
      </c>
      <c r="BZ122" s="13">
        <f>BY122*VLOOKUP('Données projet'!$B$12,Paramètres!$A$1:$I$89,3,0)*VLOOKUP('Données projet'!$B$12,Paramètres!$A$1:$I$89,5,0)</f>
        <v>5.4978954722173515E-14</v>
      </c>
      <c r="CA122" s="13">
        <f t="shared" si="93"/>
        <v>8.8550225887742724E-13</v>
      </c>
      <c r="CB122" s="20">
        <f t="shared" si="64"/>
        <v>1.6380047803526383E-12</v>
      </c>
      <c r="CC122" s="59">
        <f t="shared" si="65"/>
        <v>293.33333333333496</v>
      </c>
      <c r="CD122" s="59">
        <f ca="1">AVERAGE(OFFSET($CC$3,0,0,'Données projet'!$E$12+1,1))-AVERAGE(OFFSET($H$3,0,0,'Données projet'!$E$12+1,1))</f>
        <v>135.95692658150551</v>
      </c>
      <c r="CE122" s="59">
        <f t="shared" si="94"/>
        <v>79.394119001888612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69.886573570378829</v>
      </c>
      <c r="CL122" s="21">
        <f>EXP(-LN(2)/25)*CL121+(1-EXP(-LN(2)/25))/(LN(2)/25)*Calculateur!CG122*Calculateur!CI122*VLOOKUP('Données projet'!$B$12,Paramètres!$A$1:$I$89,3,0)*0.475*44/12</f>
        <v>1.3487992243218061</v>
      </c>
      <c r="CM122" s="21">
        <f>EXP(-LN(2)/2)*CM121+(1-EXP(-LN(2)/2))/(LN(2)/2)*CG122*CJ122*VLOOKUP('Données projet'!$B$12,Paramètres!$A$1:$I$89,3,0)*0.475*44/12</f>
        <v>4.291618589831991</v>
      </c>
      <c r="CN122" s="22">
        <f t="shared" si="66"/>
        <v>75.526991384532636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5.6843418860808015E-14</v>
      </c>
      <c r="CU122" s="17">
        <f>CT122*VLOOKUP('Données projet'!$B$13,Paramètres!$A$1:$I$89,3,0)*VLOOKUP('Données projet'!$B$13,Paramètres!$A$1:$I$89,5,0)</f>
        <v>6.1186256061773749E-14</v>
      </c>
      <c r="CV122" s="13">
        <f t="shared" si="95"/>
        <v>9.7328366192051127E-13</v>
      </c>
      <c r="CW122" s="20">
        <f t="shared" si="67"/>
        <v>1.8017017738191463E-12</v>
      </c>
      <c r="CX122" s="59">
        <f t="shared" si="68"/>
        <v>293.33333333333513</v>
      </c>
      <c r="CY122" s="59">
        <f ca="1">AVERAGE(OFFSET($CX$3,0,0,'Données projet'!$E$13+1,1))-AVERAGE(OFFSET($H$3,0,0,'Données projet'!$E$13+1,1))</f>
        <v>158.74837032815333</v>
      </c>
      <c r="CZ122" s="59">
        <f t="shared" si="96"/>
        <v>92.286636088270086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77.776993167034504</v>
      </c>
      <c r="DG122" s="21">
        <f>EXP(-LN(2)/25)*DG121+(1-EXP(-LN(2)/25))/(LN(2)/25)*Calculateur!DB122*Calculateur!DD122*VLOOKUP('Données projet'!$B$13,Paramètres!$A$1:$I$89,3,0)*0.475*44/12</f>
        <v>1.5010830077129773</v>
      </c>
      <c r="DH122" s="21">
        <f>EXP(-LN(2)/2)*DH121+(1-EXP(-LN(2)/2))/(LN(2)/2)*DB122*DE122*VLOOKUP('Données projet'!$B$13,Paramètres!$A$1:$I$89,3,0)*0.475*44/12</f>
        <v>4.7761561725549555</v>
      </c>
      <c r="DI122" s="22">
        <f t="shared" si="69"/>
        <v>84.054232347302445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2.8421709430404007E-13</v>
      </c>
      <c r="O123" s="13">
        <f>N123*VLOOKUP('Données projet'!$B$9,Paramètres!$A$1:$I$89,3,0)*VLOOKUP('Données projet'!$B$9,Paramètres!$A$1:$I$89,5,0)</f>
        <v>2.3942448024172339E-13</v>
      </c>
      <c r="P123" s="13">
        <f t="shared" si="87"/>
        <v>3.2492669905861755E-12</v>
      </c>
      <c r="Q123" s="20">
        <f t="shared" si="107"/>
        <v>6.0761376450252573E-12</v>
      </c>
      <c r="R123" s="59">
        <f t="shared" si="55"/>
        <v>293.3333333333394</v>
      </c>
      <c r="S123" s="59">
        <f ca="1">AVERAGE(OFFSET($R$3,0,0,'Données projet'!$E$9+1,1))-AVERAGE(OFFSET($H$3,0,0,'Données projet'!$E$9+1,1))</f>
        <v>231.91408074258248</v>
      </c>
      <c r="T123" s="59">
        <f t="shared" si="88"/>
        <v>143.57726487417773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1.2347106913750519E-11</v>
      </c>
      <c r="AC123" s="22">
        <f t="shared" si="57"/>
        <v>1.2347106913750519E-11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2.8421709430404007E-13</v>
      </c>
      <c r="AJ123" s="13">
        <f>AI123*VLOOKUP('Données projet'!$B$10,Paramètres!$A$1:$I$89,3,0)*VLOOKUP('Données projet'!$B$10,Paramètres!$A$1:$I$89,5,0)</f>
        <v>2.5715962692629546E-13</v>
      </c>
      <c r="AK123" s="13">
        <f t="shared" si="89"/>
        <v>3.4610450122128953E-12</v>
      </c>
      <c r="AL123" s="20">
        <f t="shared" si="58"/>
        <v>6.4758730798340893E-12</v>
      </c>
      <c r="AM123" s="59">
        <f t="shared" si="59"/>
        <v>293.33333333333979</v>
      </c>
      <c r="AN123" s="59">
        <f ca="1">AVERAGE(OFFSET($AM$3,0,0,'Données projet'!$E$10+1,1))-AVERAGE(OFFSET($H$3,0,0,'Données projet'!$E$10+1,1))</f>
        <v>253.16772905022714</v>
      </c>
      <c r="AO123" s="59">
        <f t="shared" si="90"/>
        <v>156.67965022779907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1.3261707425880189E-11</v>
      </c>
      <c r="AX123" s="21">
        <f t="shared" si="60"/>
        <v>1.3261707425880189E-11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-2.8421709430404007E-14</v>
      </c>
      <c r="BE123" s="13">
        <f>BD123*VLOOKUP('Données projet'!$B$11,Paramètres!$A$1:$I$89,3,0)*VLOOKUP('Données projet'!$B$11,Paramètres!$A$1:$I$89,5,0)</f>
        <v>-1.6996182239381599E-14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119.24399403036387</v>
      </c>
      <c r="BJ123" s="59">
        <f t="shared" si="92"/>
        <v>119.60076838354843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2.8414417203811923E-14</v>
      </c>
      <c r="BS123" s="22">
        <f t="shared" si="63"/>
        <v>2.8414417203811923E-14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5.6843418860808015E-14</v>
      </c>
      <c r="BZ123" s="13">
        <f>BY123*VLOOKUP('Données projet'!$B$12,Paramètres!$A$1:$I$89,3,0)*VLOOKUP('Données projet'!$B$12,Paramètres!$A$1:$I$89,5,0)</f>
        <v>5.4978954722173515E-14</v>
      </c>
      <c r="CA123" s="13">
        <f t="shared" si="93"/>
        <v>8.8550225887742724E-13</v>
      </c>
      <c r="CB123" s="20">
        <f t="shared" si="64"/>
        <v>1.6380047803526383E-12</v>
      </c>
      <c r="CC123" s="59">
        <f t="shared" si="65"/>
        <v>293.33333333333496</v>
      </c>
      <c r="CD123" s="59">
        <f ca="1">AVERAGE(OFFSET($CC$3,0,0,'Données projet'!$E$12+1,1))-AVERAGE(OFFSET($H$3,0,0,'Données projet'!$E$12+1,1))</f>
        <v>135.95692658150551</v>
      </c>
      <c r="CE123" s="59">
        <f t="shared" si="94"/>
        <v>79.394119001888612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68.516140489264558</v>
      </c>
      <c r="CL123" s="21">
        <f>EXP(-LN(2)/25)*CL122+(1-EXP(-LN(2)/25))/(LN(2)/25)*Calculateur!CG123*Calculateur!CI123*VLOOKUP('Données projet'!$B$12,Paramètres!$A$1:$I$89,3,0)*0.475*44/12</f>
        <v>1.3119162386024579</v>
      </c>
      <c r="CM123" s="21">
        <f>EXP(-LN(2)/2)*CM122+(1-EXP(-LN(2)/2))/(LN(2)/2)*CG123*CJ123*VLOOKUP('Données projet'!$B$12,Paramètres!$A$1:$I$89,3,0)*0.475*44/12</f>
        <v>3.0346326071364493</v>
      </c>
      <c r="CN123" s="22">
        <f t="shared" si="66"/>
        <v>72.862689335003466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5.6843418860808015E-14</v>
      </c>
      <c r="CU123" s="17">
        <f>CT123*VLOOKUP('Données projet'!$B$13,Paramètres!$A$1:$I$89,3,0)*VLOOKUP('Données projet'!$B$13,Paramètres!$A$1:$I$89,5,0)</f>
        <v>6.1186256061773749E-14</v>
      </c>
      <c r="CV123" s="13">
        <f t="shared" si="95"/>
        <v>9.7328366192051127E-13</v>
      </c>
      <c r="CW123" s="20">
        <f t="shared" si="67"/>
        <v>1.8017017738191463E-12</v>
      </c>
      <c r="CX123" s="59">
        <f t="shared" si="68"/>
        <v>293.33333333333513</v>
      </c>
      <c r="CY123" s="59">
        <f ca="1">AVERAGE(OFFSET($CX$3,0,0,'Données projet'!$E$13+1,1))-AVERAGE(OFFSET($H$3,0,0,'Données projet'!$E$13+1,1))</f>
        <v>158.74837032815333</v>
      </c>
      <c r="CZ123" s="59">
        <f t="shared" si="96"/>
        <v>92.286636088270086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76.251833770310554</v>
      </c>
      <c r="DG123" s="21">
        <f>EXP(-LN(2)/25)*DG122+(1-EXP(-LN(2)/25))/(LN(2)/25)*Calculateur!DB123*Calculateur!DD123*VLOOKUP('Données projet'!$B$13,Paramètres!$A$1:$I$89,3,0)*0.475*44/12</f>
        <v>1.4600358139285414</v>
      </c>
      <c r="DH123" s="21">
        <f>EXP(-LN(2)/2)*DH122+(1-EXP(-LN(2)/2))/(LN(2)/2)*DB123*DE123*VLOOKUP('Données projet'!$B$13,Paramètres!$A$1:$I$89,3,0)*0.475*44/12</f>
        <v>3.3772524176195953</v>
      </c>
      <c r="DI123" s="22">
        <f t="shared" si="69"/>
        <v>81.089122001858698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2.8421709430404007E-13</v>
      </c>
      <c r="O124" s="13">
        <f>N124*VLOOKUP('Données projet'!$B$9,Paramètres!$A$1:$I$89,3,0)*VLOOKUP('Données projet'!$B$9,Paramètres!$A$1:$I$89,5,0)</f>
        <v>2.3942448024172339E-13</v>
      </c>
      <c r="P124" s="13">
        <f t="shared" si="87"/>
        <v>3.2492669905861755E-12</v>
      </c>
      <c r="Q124" s="20">
        <f t="shared" si="107"/>
        <v>6.0761376450252573E-12</v>
      </c>
      <c r="R124" s="59">
        <f t="shared" si="55"/>
        <v>293.3333333333394</v>
      </c>
      <c r="S124" s="59">
        <f ca="1">AVERAGE(OFFSET($R$3,0,0,'Données projet'!$E$9+1,1))-AVERAGE(OFFSET($H$3,0,0,'Données projet'!$E$9+1,1))</f>
        <v>231.91408074258248</v>
      </c>
      <c r="T124" s="59">
        <f t="shared" si="88"/>
        <v>143.57726487417773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8.7307230267482962E-12</v>
      </c>
      <c r="AC124" s="22">
        <f t="shared" si="57"/>
        <v>8.7307230267482962E-12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2.8421709430404007E-13</v>
      </c>
      <c r="AJ124" s="13">
        <f>AI124*VLOOKUP('Données projet'!$B$10,Paramètres!$A$1:$I$89,3,0)*VLOOKUP('Données projet'!$B$10,Paramètres!$A$1:$I$89,5,0)</f>
        <v>2.5715962692629546E-13</v>
      </c>
      <c r="AK124" s="13">
        <f t="shared" si="89"/>
        <v>3.4610450122128953E-12</v>
      </c>
      <c r="AL124" s="20">
        <f t="shared" si="58"/>
        <v>6.4758730798340893E-12</v>
      </c>
      <c r="AM124" s="59">
        <f t="shared" si="59"/>
        <v>293.33333333333979</v>
      </c>
      <c r="AN124" s="59">
        <f ca="1">AVERAGE(OFFSET($AM$3,0,0,'Données projet'!$E$10+1,1))-AVERAGE(OFFSET($H$3,0,0,'Données projet'!$E$10+1,1))</f>
        <v>253.16772905022714</v>
      </c>
      <c r="AO124" s="59">
        <f t="shared" si="90"/>
        <v>156.67965022779907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9.3774432509518748E-12</v>
      </c>
      <c r="AX124" s="21">
        <f t="shared" si="60"/>
        <v>9.3774432509518748E-12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-2.8421709430404007E-14</v>
      </c>
      <c r="BE124" s="13">
        <f>BD124*VLOOKUP('Données projet'!$B$11,Paramètres!$A$1:$I$89,3,0)*VLOOKUP('Données projet'!$B$11,Paramètres!$A$1:$I$89,5,0)</f>
        <v>-1.6996182239381599E-14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119.24399403036387</v>
      </c>
      <c r="BJ124" s="59">
        <f t="shared" si="92"/>
        <v>119.60076838354843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2.0092027088279112E-14</v>
      </c>
      <c r="BS124" s="22">
        <f t="shared" si="63"/>
        <v>2.0092027088279112E-14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5.6843418860808015E-14</v>
      </c>
      <c r="BZ124" s="13">
        <f>BY124*VLOOKUP('Données projet'!$B$12,Paramètres!$A$1:$I$89,3,0)*VLOOKUP('Données projet'!$B$12,Paramètres!$A$1:$I$89,5,0)</f>
        <v>5.4978954722173515E-14</v>
      </c>
      <c r="CA124" s="13">
        <f t="shared" si="93"/>
        <v>8.8550225887742724E-13</v>
      </c>
      <c r="CB124" s="20">
        <f t="shared" si="64"/>
        <v>1.6380047803526383E-12</v>
      </c>
      <c r="CC124" s="59">
        <f t="shared" si="65"/>
        <v>293.33333333333496</v>
      </c>
      <c r="CD124" s="59">
        <f ca="1">AVERAGE(OFFSET($CC$3,0,0,'Données projet'!$E$12+1,1))-AVERAGE(OFFSET($H$3,0,0,'Données projet'!$E$12+1,1))</f>
        <v>135.95692658150551</v>
      </c>
      <c r="CE124" s="59">
        <f t="shared" si="94"/>
        <v>79.394119001888612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67.172580764989291</v>
      </c>
      <c r="CL124" s="21">
        <f>EXP(-LN(2)/25)*CL123+(1-EXP(-LN(2)/25))/(LN(2)/25)*Calculateur!CG124*Calculateur!CI124*VLOOKUP('Données projet'!$B$12,Paramètres!$A$1:$I$89,3,0)*0.475*44/12</f>
        <v>1.276041820067197</v>
      </c>
      <c r="CM124" s="21">
        <f>EXP(-LN(2)/2)*CM123+(1-EXP(-LN(2)/2))/(LN(2)/2)*CG124*CJ124*VLOOKUP('Données projet'!$B$12,Paramètres!$A$1:$I$89,3,0)*0.475*44/12</f>
        <v>2.1458092949159955</v>
      </c>
      <c r="CN124" s="22">
        <f t="shared" si="66"/>
        <v>70.594431879972475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5.6843418860808015E-14</v>
      </c>
      <c r="CU124" s="17">
        <f>CT124*VLOOKUP('Données projet'!$B$13,Paramètres!$A$1:$I$89,3,0)*VLOOKUP('Données projet'!$B$13,Paramètres!$A$1:$I$89,5,0)</f>
        <v>6.1186256061773749E-14</v>
      </c>
      <c r="CV124" s="13">
        <f t="shared" si="95"/>
        <v>9.7328366192051127E-13</v>
      </c>
      <c r="CW124" s="20">
        <f t="shared" si="67"/>
        <v>1.8017017738191463E-12</v>
      </c>
      <c r="CX124" s="59">
        <f t="shared" si="68"/>
        <v>293.33333333333513</v>
      </c>
      <c r="CY124" s="59">
        <f ca="1">AVERAGE(OFFSET($CX$3,0,0,'Données projet'!$E$13+1,1))-AVERAGE(OFFSET($H$3,0,0,'Données projet'!$E$13+1,1))</f>
        <v>158.74837032815333</v>
      </c>
      <c r="CZ124" s="59">
        <f t="shared" si="96"/>
        <v>92.286636088270086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74.756581819100973</v>
      </c>
      <c r="DG124" s="21">
        <f>EXP(-LN(2)/25)*DG123+(1-EXP(-LN(2)/25))/(LN(2)/25)*Calculateur!DB124*Calculateur!DD124*VLOOKUP('Données projet'!$B$13,Paramètres!$A$1:$I$89,3,0)*0.475*44/12</f>
        <v>1.4201110578167189</v>
      </c>
      <c r="DH124" s="21">
        <f>EXP(-LN(2)/2)*DH123+(1-EXP(-LN(2)/2))/(LN(2)/2)*DB124*DE124*VLOOKUP('Données projet'!$B$13,Paramètres!$A$1:$I$89,3,0)*0.475*44/12</f>
        <v>2.3880780862774778</v>
      </c>
      <c r="DI124" s="22">
        <f t="shared" si="69"/>
        <v>78.564770963195159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2.8421709430404007E-13</v>
      </c>
      <c r="O125" s="13">
        <f>N125*VLOOKUP('Données projet'!$B$9,Paramètres!$A$1:$I$89,3,0)*VLOOKUP('Données projet'!$B$9,Paramètres!$A$1:$I$89,5,0)</f>
        <v>2.3942448024172339E-13</v>
      </c>
      <c r="P125" s="13">
        <f t="shared" si="87"/>
        <v>3.2492669905861755E-12</v>
      </c>
      <c r="Q125" s="20">
        <f t="shared" si="107"/>
        <v>6.0761376450252573E-12</v>
      </c>
      <c r="R125" s="59">
        <f t="shared" si="55"/>
        <v>293.3333333333394</v>
      </c>
      <c r="S125" s="59">
        <f ca="1">AVERAGE(OFFSET($R$3,0,0,'Données projet'!$E$9+1,1))-AVERAGE(OFFSET($H$3,0,0,'Données projet'!$E$9+1,1))</f>
        <v>231.91408074258248</v>
      </c>
      <c r="T125" s="59">
        <f t="shared" si="88"/>
        <v>143.57726487417773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6.1735534568752595E-12</v>
      </c>
      <c r="AC125" s="22">
        <f t="shared" si="57"/>
        <v>6.1735534568752595E-12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2.8421709430404007E-13</v>
      </c>
      <c r="AJ125" s="13">
        <f>AI125*VLOOKUP('Données projet'!$B$10,Paramètres!$A$1:$I$89,3,0)*VLOOKUP('Données projet'!$B$10,Paramètres!$A$1:$I$89,5,0)</f>
        <v>2.5715962692629546E-13</v>
      </c>
      <c r="AK125" s="13">
        <f t="shared" si="89"/>
        <v>3.4610450122128953E-12</v>
      </c>
      <c r="AL125" s="20">
        <f t="shared" si="58"/>
        <v>6.4758730798340893E-12</v>
      </c>
      <c r="AM125" s="59">
        <f t="shared" si="59"/>
        <v>293.33333333333979</v>
      </c>
      <c r="AN125" s="59">
        <f ca="1">AVERAGE(OFFSET($AM$3,0,0,'Données projet'!$E$10+1,1))-AVERAGE(OFFSET($H$3,0,0,'Données projet'!$E$10+1,1))</f>
        <v>253.16772905022714</v>
      </c>
      <c r="AO125" s="59">
        <f t="shared" si="90"/>
        <v>156.67965022779907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6.6308537129400943E-12</v>
      </c>
      <c r="AX125" s="21">
        <f t="shared" si="60"/>
        <v>6.6308537129400943E-12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-2.8421709430404007E-14</v>
      </c>
      <c r="BE125" s="13">
        <f>BD125*VLOOKUP('Données projet'!$B$11,Paramètres!$A$1:$I$89,3,0)*VLOOKUP('Données projet'!$B$11,Paramètres!$A$1:$I$89,5,0)</f>
        <v>-1.6996182239381599E-14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119.24399403036387</v>
      </c>
      <c r="BJ125" s="59">
        <f t="shared" si="92"/>
        <v>119.60076838354843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1.4207208601905965E-14</v>
      </c>
      <c r="BS125" s="22">
        <f t="shared" si="63"/>
        <v>1.4207208601905965E-14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5.6843418860808015E-14</v>
      </c>
      <c r="BZ125" s="13">
        <f>BY125*VLOOKUP('Données projet'!$B$12,Paramètres!$A$1:$I$89,3,0)*VLOOKUP('Données projet'!$B$12,Paramètres!$A$1:$I$89,5,0)</f>
        <v>5.4978954722173515E-14</v>
      </c>
      <c r="CA125" s="13">
        <f t="shared" si="93"/>
        <v>8.8550225887742724E-13</v>
      </c>
      <c r="CB125" s="20">
        <f t="shared" si="64"/>
        <v>1.6380047803526383E-12</v>
      </c>
      <c r="CC125" s="59">
        <f t="shared" si="65"/>
        <v>293.33333333333496</v>
      </c>
      <c r="CD125" s="59">
        <f ca="1">AVERAGE(OFFSET($CC$3,0,0,'Données projet'!$E$12+1,1))-AVERAGE(OFFSET($H$3,0,0,'Données projet'!$E$12+1,1))</f>
        <v>135.95692658150551</v>
      </c>
      <c r="CE125" s="59">
        <f t="shared" si="94"/>
        <v>79.394119001888612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65.855367427416539</v>
      </c>
      <c r="CL125" s="21">
        <f>EXP(-LN(2)/25)*CL124+(1-EXP(-LN(2)/25))/(LN(2)/25)*Calculateur!CG125*Calculateur!CI125*VLOOKUP('Données projet'!$B$12,Paramètres!$A$1:$I$89,3,0)*0.475*44/12</f>
        <v>1.2411483893933366</v>
      </c>
      <c r="CM125" s="21">
        <f>EXP(-LN(2)/2)*CM124+(1-EXP(-LN(2)/2))/(LN(2)/2)*CG125*CJ125*VLOOKUP('Données projet'!$B$12,Paramètres!$A$1:$I$89,3,0)*0.475*44/12</f>
        <v>1.5173163035682247</v>
      </c>
      <c r="CN125" s="22">
        <f t="shared" si="66"/>
        <v>68.613832120378092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5.6843418860808015E-14</v>
      </c>
      <c r="CU125" s="17">
        <f>CT125*VLOOKUP('Données projet'!$B$13,Paramètres!$A$1:$I$89,3,0)*VLOOKUP('Données projet'!$B$13,Paramètres!$A$1:$I$89,5,0)</f>
        <v>6.1186256061773749E-14</v>
      </c>
      <c r="CV125" s="13">
        <f t="shared" si="95"/>
        <v>9.7328366192051127E-13</v>
      </c>
      <c r="CW125" s="20">
        <f t="shared" si="67"/>
        <v>1.8017017738191463E-12</v>
      </c>
      <c r="CX125" s="59">
        <f t="shared" si="68"/>
        <v>293.33333333333513</v>
      </c>
      <c r="CY125" s="59">
        <f ca="1">AVERAGE(OFFSET($CX$3,0,0,'Données projet'!$E$13+1,1))-AVERAGE(OFFSET($H$3,0,0,'Données projet'!$E$13+1,1))</f>
        <v>158.74837032815333</v>
      </c>
      <c r="CZ125" s="59">
        <f t="shared" si="96"/>
        <v>92.286636088270086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73.290650846640986</v>
      </c>
      <c r="DG125" s="21">
        <f>EXP(-LN(2)/25)*DG124+(1-EXP(-LN(2)/25))/(LN(2)/25)*Calculateur!DB125*Calculateur!DD125*VLOOKUP('Données projet'!$B$13,Paramètres!$A$1:$I$89,3,0)*0.475*44/12</f>
        <v>1.3812780462603258</v>
      </c>
      <c r="DH125" s="21">
        <f>EXP(-LN(2)/2)*DH124+(1-EXP(-LN(2)/2))/(LN(2)/2)*DB125*DE125*VLOOKUP('Données projet'!$B$13,Paramètres!$A$1:$I$89,3,0)*0.475*44/12</f>
        <v>1.6886262088097976</v>
      </c>
      <c r="DI125" s="22">
        <f t="shared" si="69"/>
        <v>76.3605551017111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2.8421709430404007E-13</v>
      </c>
      <c r="O126" s="13">
        <f>N126*VLOOKUP('Données projet'!$B$9,Paramètres!$A$1:$I$89,3,0)*VLOOKUP('Données projet'!$B$9,Paramètres!$A$1:$I$89,5,0)</f>
        <v>2.3942448024172339E-13</v>
      </c>
      <c r="P126" s="13">
        <f t="shared" si="87"/>
        <v>3.2492669905861755E-12</v>
      </c>
      <c r="Q126" s="20">
        <f t="shared" si="107"/>
        <v>6.0761376450252573E-12</v>
      </c>
      <c r="R126" s="59">
        <f t="shared" si="55"/>
        <v>293.3333333333394</v>
      </c>
      <c r="S126" s="59">
        <f ca="1">AVERAGE(OFFSET($R$3,0,0,'Données projet'!$E$9+1,1))-AVERAGE(OFFSET($H$3,0,0,'Données projet'!$E$9+1,1))</f>
        <v>231.91408074258248</v>
      </c>
      <c r="T126" s="59">
        <f t="shared" si="88"/>
        <v>143.57726487417773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4.3653615133741481E-12</v>
      </c>
      <c r="AC126" s="22">
        <f t="shared" si="57"/>
        <v>4.3653615133741481E-12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2.8421709430404007E-13</v>
      </c>
      <c r="AJ126" s="13">
        <f>AI126*VLOOKUP('Données projet'!$B$10,Paramètres!$A$1:$I$89,3,0)*VLOOKUP('Données projet'!$B$10,Paramètres!$A$1:$I$89,5,0)</f>
        <v>2.5715962692629546E-13</v>
      </c>
      <c r="AK126" s="13">
        <f t="shared" si="89"/>
        <v>3.4610450122128953E-12</v>
      </c>
      <c r="AL126" s="20">
        <f t="shared" si="58"/>
        <v>6.4758730798340893E-12</v>
      </c>
      <c r="AM126" s="59">
        <f t="shared" si="59"/>
        <v>293.33333333333979</v>
      </c>
      <c r="AN126" s="59">
        <f ca="1">AVERAGE(OFFSET($AM$3,0,0,'Données projet'!$E$10+1,1))-AVERAGE(OFFSET($H$3,0,0,'Données projet'!$E$10+1,1))</f>
        <v>253.16772905022714</v>
      </c>
      <c r="AO126" s="59">
        <f t="shared" si="90"/>
        <v>156.67965022779907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4.6887216254759374E-12</v>
      </c>
      <c r="AX126" s="21">
        <f t="shared" si="60"/>
        <v>4.6887216254759374E-12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-2.8421709430404007E-14</v>
      </c>
      <c r="BE126" s="13">
        <f>BD126*VLOOKUP('Données projet'!$B$11,Paramètres!$A$1:$I$89,3,0)*VLOOKUP('Données projet'!$B$11,Paramètres!$A$1:$I$89,5,0)</f>
        <v>-1.6996182239381599E-14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119.24399403036387</v>
      </c>
      <c r="BJ126" s="59">
        <f t="shared" si="92"/>
        <v>119.60076838354843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1.0046013544139557E-14</v>
      </c>
      <c r="BS126" s="22">
        <f t="shared" si="63"/>
        <v>1.0046013544139557E-14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5.6843418860808015E-14</v>
      </c>
      <c r="BZ126" s="13">
        <f>BY126*VLOOKUP('Données projet'!$B$12,Paramètres!$A$1:$I$89,3,0)*VLOOKUP('Données projet'!$B$12,Paramètres!$A$1:$I$89,5,0)</f>
        <v>5.4978954722173515E-14</v>
      </c>
      <c r="CA126" s="13">
        <f t="shared" si="93"/>
        <v>8.8550225887742724E-13</v>
      </c>
      <c r="CB126" s="20">
        <f t="shared" si="64"/>
        <v>1.6380047803526383E-12</v>
      </c>
      <c r="CC126" s="59">
        <f t="shared" si="65"/>
        <v>293.33333333333496</v>
      </c>
      <c r="CD126" s="59">
        <f ca="1">AVERAGE(OFFSET($CC$3,0,0,'Données projet'!$E$12+1,1))-AVERAGE(OFFSET($H$3,0,0,'Données projet'!$E$12+1,1))</f>
        <v>135.95692658150551</v>
      </c>
      <c r="CE126" s="59">
        <f t="shared" si="94"/>
        <v>79.394119001888612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64.563983839972792</v>
      </c>
      <c r="CL126" s="21">
        <f>EXP(-LN(2)/25)*CL125+(1-EXP(-LN(2)/25))/(LN(2)/25)*Calculateur!CG126*Calculateur!CI126*VLOOKUP('Données projet'!$B$12,Paramètres!$A$1:$I$89,3,0)*0.475*44/12</f>
        <v>1.2072091214162186</v>
      </c>
      <c r="CM126" s="21">
        <f>EXP(-LN(2)/2)*CM125+(1-EXP(-LN(2)/2))/(LN(2)/2)*CG126*CJ126*VLOOKUP('Données projet'!$B$12,Paramètres!$A$1:$I$89,3,0)*0.475*44/12</f>
        <v>1.0729046474579977</v>
      </c>
      <c r="CN126" s="22">
        <f t="shared" si="66"/>
        <v>66.844097608847008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5.6843418860808015E-14</v>
      </c>
      <c r="CU126" s="17">
        <f>CT126*VLOOKUP('Données projet'!$B$13,Paramètres!$A$1:$I$89,3,0)*VLOOKUP('Données projet'!$B$13,Paramètres!$A$1:$I$89,5,0)</f>
        <v>6.1186256061773749E-14</v>
      </c>
      <c r="CV126" s="13">
        <f t="shared" si="95"/>
        <v>9.7328366192051127E-13</v>
      </c>
      <c r="CW126" s="20">
        <f t="shared" si="67"/>
        <v>1.8017017738191463E-12</v>
      </c>
      <c r="CX126" s="59">
        <f t="shared" si="68"/>
        <v>293.33333333333513</v>
      </c>
      <c r="CY126" s="59">
        <f ca="1">AVERAGE(OFFSET($CX$3,0,0,'Données projet'!$E$13+1,1))-AVERAGE(OFFSET($H$3,0,0,'Données projet'!$E$13+1,1))</f>
        <v>158.74837032815333</v>
      </c>
      <c r="CZ126" s="59">
        <f t="shared" si="96"/>
        <v>92.286636088270086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71.853465886421333</v>
      </c>
      <c r="DG126" s="21">
        <f>EXP(-LN(2)/25)*DG125+(1-EXP(-LN(2)/25))/(LN(2)/25)*Calculateur!DB126*Calculateur!DD126*VLOOKUP('Données projet'!$B$13,Paramètres!$A$1:$I$89,3,0)*0.475*44/12</f>
        <v>1.3435069254470817</v>
      </c>
      <c r="DH126" s="21">
        <f>EXP(-LN(2)/2)*DH125+(1-EXP(-LN(2)/2))/(LN(2)/2)*DB126*DE126*VLOOKUP('Données projet'!$B$13,Paramètres!$A$1:$I$89,3,0)*0.475*44/12</f>
        <v>1.1940390431387389</v>
      </c>
      <c r="DI126" s="22">
        <f t="shared" si="69"/>
        <v>74.391011855007164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2.8421709430404007E-13</v>
      </c>
      <c r="O127" s="13">
        <f>N127*VLOOKUP('Données projet'!$B$9,Paramètres!$A$1:$I$89,3,0)*VLOOKUP('Données projet'!$B$9,Paramètres!$A$1:$I$89,5,0)</f>
        <v>2.3942448024172339E-13</v>
      </c>
      <c r="P127" s="13">
        <f t="shared" si="87"/>
        <v>3.2492669905861755E-12</v>
      </c>
      <c r="Q127" s="20">
        <f t="shared" si="107"/>
        <v>6.0761376450252573E-12</v>
      </c>
      <c r="R127" s="59">
        <f t="shared" si="55"/>
        <v>293.3333333333394</v>
      </c>
      <c r="S127" s="59">
        <f ca="1">AVERAGE(OFFSET($R$3,0,0,'Données projet'!$E$9+1,1))-AVERAGE(OFFSET($H$3,0,0,'Données projet'!$E$9+1,1))</f>
        <v>231.91408074258248</v>
      </c>
      <c r="T127" s="59">
        <f t="shared" si="88"/>
        <v>143.57726487417773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3.0867767284376298E-12</v>
      </c>
      <c r="AC127" s="22">
        <f t="shared" si="57"/>
        <v>3.0867767284376298E-12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2.8421709430404007E-13</v>
      </c>
      <c r="AJ127" s="13">
        <f>AI127*VLOOKUP('Données projet'!$B$10,Paramètres!$A$1:$I$89,3,0)*VLOOKUP('Données projet'!$B$10,Paramètres!$A$1:$I$89,5,0)</f>
        <v>2.5715962692629546E-13</v>
      </c>
      <c r="AK127" s="13">
        <f t="shared" si="89"/>
        <v>3.4610450122128953E-12</v>
      </c>
      <c r="AL127" s="20">
        <f t="shared" si="58"/>
        <v>6.4758730798340893E-12</v>
      </c>
      <c r="AM127" s="59">
        <f t="shared" si="59"/>
        <v>293.33333333333979</v>
      </c>
      <c r="AN127" s="59">
        <f ca="1">AVERAGE(OFFSET($AM$3,0,0,'Données projet'!$E$10+1,1))-AVERAGE(OFFSET($H$3,0,0,'Données projet'!$E$10+1,1))</f>
        <v>253.16772905022714</v>
      </c>
      <c r="AO127" s="59">
        <f t="shared" si="90"/>
        <v>156.67965022779907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3.3154268564700472E-12</v>
      </c>
      <c r="AX127" s="21">
        <f t="shared" si="60"/>
        <v>3.3154268564700472E-12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-2.8421709430404007E-14</v>
      </c>
      <c r="BE127" s="13">
        <f>BD127*VLOOKUP('Données projet'!$B$11,Paramètres!$A$1:$I$89,3,0)*VLOOKUP('Données projet'!$B$11,Paramètres!$A$1:$I$89,5,0)</f>
        <v>-1.6996182239381599E-14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119.24399403036387</v>
      </c>
      <c r="BJ127" s="59">
        <f t="shared" si="92"/>
        <v>119.60076838354843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7.1036043009529831E-15</v>
      </c>
      <c r="BS127" s="22">
        <f t="shared" si="63"/>
        <v>7.1036043009529831E-15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5.6843418860808015E-14</v>
      </c>
      <c r="BZ127" s="13">
        <f>BY127*VLOOKUP('Données projet'!$B$12,Paramètres!$A$1:$I$89,3,0)*VLOOKUP('Données projet'!$B$12,Paramètres!$A$1:$I$89,5,0)</f>
        <v>5.4978954722173515E-14</v>
      </c>
      <c r="CA127" s="13">
        <f t="shared" si="93"/>
        <v>8.8550225887742724E-13</v>
      </c>
      <c r="CB127" s="20">
        <f t="shared" si="64"/>
        <v>1.6380047803526383E-12</v>
      </c>
      <c r="CC127" s="59">
        <f t="shared" si="65"/>
        <v>293.33333333333496</v>
      </c>
      <c r="CD127" s="59">
        <f ca="1">AVERAGE(OFFSET($CC$3,0,0,'Données projet'!$E$12+1,1))-AVERAGE(OFFSET($H$3,0,0,'Données projet'!$E$12+1,1))</f>
        <v>135.95692658150551</v>
      </c>
      <c r="CE127" s="59">
        <f t="shared" si="94"/>
        <v>79.394119001888612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63.297923497012604</v>
      </c>
      <c r="CL127" s="21">
        <f>EXP(-LN(2)/25)*CL126+(1-EXP(-LN(2)/25))/(LN(2)/25)*Calculateur!CG127*Calculateur!CI127*VLOOKUP('Données projet'!$B$12,Paramètres!$A$1:$I$89,3,0)*0.475*44/12</f>
        <v>1.1741979245067236</v>
      </c>
      <c r="CM127" s="21">
        <f>EXP(-LN(2)/2)*CM126+(1-EXP(-LN(2)/2))/(LN(2)/2)*CG127*CJ127*VLOOKUP('Données projet'!$B$12,Paramètres!$A$1:$I$89,3,0)*0.475*44/12</f>
        <v>0.75865815178411233</v>
      </c>
      <c r="CN127" s="22">
        <f t="shared" si="66"/>
        <v>65.230779573303451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5.6843418860808015E-14</v>
      </c>
      <c r="CU127" s="17">
        <f>CT127*VLOOKUP('Données projet'!$B$13,Paramètres!$A$1:$I$89,3,0)*VLOOKUP('Données projet'!$B$13,Paramètres!$A$1:$I$89,5,0)</f>
        <v>6.1186256061773749E-14</v>
      </c>
      <c r="CV127" s="13">
        <f t="shared" si="95"/>
        <v>9.7328366192051127E-13</v>
      </c>
      <c r="CW127" s="20">
        <f t="shared" si="67"/>
        <v>1.8017017738191463E-12</v>
      </c>
      <c r="CX127" s="59">
        <f t="shared" si="68"/>
        <v>293.33333333333513</v>
      </c>
      <c r="CY127" s="59">
        <f ca="1">AVERAGE(OFFSET($CX$3,0,0,'Données projet'!$E$13+1,1))-AVERAGE(OFFSET($H$3,0,0,'Données projet'!$E$13+1,1))</f>
        <v>158.74837032815333</v>
      </c>
      <c r="CZ127" s="59">
        <f t="shared" si="96"/>
        <v>92.286636088270086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70.444463246675312</v>
      </c>
      <c r="DG127" s="21">
        <f>EXP(-LN(2)/25)*DG126+(1-EXP(-LN(2)/25))/(LN(2)/25)*Calculateur!DB127*Calculateur!DD127*VLOOKUP('Données projet'!$B$13,Paramètres!$A$1:$I$89,3,0)*0.475*44/12</f>
        <v>1.3067686579187727</v>
      </c>
      <c r="DH127" s="21">
        <f>EXP(-LN(2)/2)*DH126+(1-EXP(-LN(2)/2))/(LN(2)/2)*DB127*DE127*VLOOKUP('Données projet'!$B$13,Paramètres!$A$1:$I$89,3,0)*0.475*44/12</f>
        <v>0.84431310440489882</v>
      </c>
      <c r="DI127" s="22">
        <f t="shared" si="69"/>
        <v>72.595545008998982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2.8421709430404007E-13</v>
      </c>
      <c r="O128" s="13">
        <f>N128*VLOOKUP('Données projet'!$B$9,Paramètres!$A$1:$I$89,3,0)*VLOOKUP('Données projet'!$B$9,Paramètres!$A$1:$I$89,5,0)</f>
        <v>2.3942448024172339E-13</v>
      </c>
      <c r="P128" s="13">
        <f t="shared" si="87"/>
        <v>3.2492669905861755E-12</v>
      </c>
      <c r="Q128" s="20">
        <f t="shared" si="107"/>
        <v>6.0761376450252573E-12</v>
      </c>
      <c r="R128" s="59">
        <f t="shared" si="55"/>
        <v>293.3333333333394</v>
      </c>
      <c r="S128" s="59">
        <f ca="1">AVERAGE(OFFSET($R$3,0,0,'Données projet'!$E$9+1,1))-AVERAGE(OFFSET($H$3,0,0,'Données projet'!$E$9+1,1))</f>
        <v>231.91408074258248</v>
      </c>
      <c r="T128" s="59">
        <f t="shared" si="88"/>
        <v>143.57726487417773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2.1826807566870741E-12</v>
      </c>
      <c r="AC128" s="22">
        <f t="shared" si="57"/>
        <v>2.1826807566870741E-12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2.8421709430404007E-13</v>
      </c>
      <c r="AJ128" s="13">
        <f>AI128*VLOOKUP('Données projet'!$B$10,Paramètres!$A$1:$I$89,3,0)*VLOOKUP('Données projet'!$B$10,Paramètres!$A$1:$I$89,5,0)</f>
        <v>2.5715962692629546E-13</v>
      </c>
      <c r="AK128" s="13">
        <f t="shared" si="89"/>
        <v>3.4610450122128953E-12</v>
      </c>
      <c r="AL128" s="20">
        <f t="shared" si="58"/>
        <v>6.4758730798340893E-12</v>
      </c>
      <c r="AM128" s="59">
        <f t="shared" si="59"/>
        <v>293.33333333333979</v>
      </c>
      <c r="AN128" s="59">
        <f ca="1">AVERAGE(OFFSET($AM$3,0,0,'Données projet'!$E$10+1,1))-AVERAGE(OFFSET($H$3,0,0,'Données projet'!$E$10+1,1))</f>
        <v>253.16772905022714</v>
      </c>
      <c r="AO128" s="59">
        <f t="shared" si="90"/>
        <v>156.67965022779907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2.3443608127379687E-12</v>
      </c>
      <c r="AX128" s="21">
        <f t="shared" si="60"/>
        <v>2.3443608127379687E-12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-2.8421709430404007E-14</v>
      </c>
      <c r="BE128" s="13">
        <f>BD128*VLOOKUP('Données projet'!$B$11,Paramètres!$A$1:$I$89,3,0)*VLOOKUP('Données projet'!$B$11,Paramètres!$A$1:$I$89,5,0)</f>
        <v>-1.6996182239381599E-14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119.24399403036387</v>
      </c>
      <c r="BJ128" s="59">
        <f t="shared" si="92"/>
        <v>119.60076838354843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5.0230067720697795E-15</v>
      </c>
      <c r="BS128" s="22">
        <f t="shared" si="63"/>
        <v>5.0230067720697795E-15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5.6843418860808015E-14</v>
      </c>
      <c r="BZ128" s="13">
        <f>BY128*VLOOKUP('Données projet'!$B$12,Paramètres!$A$1:$I$89,3,0)*VLOOKUP('Données projet'!$B$12,Paramètres!$A$1:$I$89,5,0)</f>
        <v>5.4978954722173515E-14</v>
      </c>
      <c r="CA128" s="13">
        <f t="shared" si="93"/>
        <v>8.8550225887742724E-13</v>
      </c>
      <c r="CB128" s="20">
        <f t="shared" si="64"/>
        <v>1.6380047803526383E-12</v>
      </c>
      <c r="CC128" s="59">
        <f t="shared" si="65"/>
        <v>293.33333333333496</v>
      </c>
      <c r="CD128" s="59">
        <f ca="1">AVERAGE(OFFSET($CC$3,0,0,'Données projet'!$E$12+1,1))-AVERAGE(OFFSET($H$3,0,0,'Données projet'!$E$12+1,1))</f>
        <v>135.95692658150551</v>
      </c>
      <c r="CE128" s="59">
        <f t="shared" si="94"/>
        <v>79.394119001888612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62.056689825157306</v>
      </c>
      <c r="CL128" s="21">
        <f>EXP(-LN(2)/25)*CL127+(1-EXP(-LN(2)/25))/(LN(2)/25)*Calculateur!CG128*Calculateur!CI128*VLOOKUP('Données projet'!$B$12,Paramètres!$A$1:$I$89,3,0)*0.475*44/12</f>
        <v>1.1420894205127021</v>
      </c>
      <c r="CM128" s="21">
        <f>EXP(-LN(2)/2)*CM127+(1-EXP(-LN(2)/2))/(LN(2)/2)*CG128*CJ128*VLOOKUP('Données projet'!$B$12,Paramètres!$A$1:$I$89,3,0)*0.475*44/12</f>
        <v>0.53645232372899887</v>
      </c>
      <c r="CN128" s="22">
        <f t="shared" si="66"/>
        <v>63.735231569399012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5.6843418860808015E-14</v>
      </c>
      <c r="CU128" s="17">
        <f>CT128*VLOOKUP('Données projet'!$B$13,Paramètres!$A$1:$I$89,3,0)*VLOOKUP('Données projet'!$B$13,Paramètres!$A$1:$I$89,5,0)</f>
        <v>6.1186256061773749E-14</v>
      </c>
      <c r="CV128" s="13">
        <f t="shared" si="95"/>
        <v>9.7328366192051127E-13</v>
      </c>
      <c r="CW128" s="20">
        <f t="shared" si="67"/>
        <v>1.8017017738191463E-12</v>
      </c>
      <c r="CX128" s="59">
        <f t="shared" si="68"/>
        <v>293.33333333333513</v>
      </c>
      <c r="CY128" s="59">
        <f ca="1">AVERAGE(OFFSET($CX$3,0,0,'Données projet'!$E$13+1,1))-AVERAGE(OFFSET($H$3,0,0,'Données projet'!$E$13+1,1))</f>
        <v>158.74837032815333</v>
      </c>
      <c r="CZ128" s="59">
        <f t="shared" si="96"/>
        <v>92.286636088270086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69.063090289287956</v>
      </c>
      <c r="DG128" s="21">
        <f>EXP(-LN(2)/25)*DG127+(1-EXP(-LN(2)/25))/(LN(2)/25)*Calculateur!DB128*Calculateur!DD128*VLOOKUP('Données projet'!$B$13,Paramètres!$A$1:$I$89,3,0)*0.475*44/12</f>
        <v>1.2710350002480069</v>
      </c>
      <c r="DH128" s="21">
        <f>EXP(-LN(2)/2)*DH127+(1-EXP(-LN(2)/2))/(LN(2)/2)*DB128*DE128*VLOOKUP('Données projet'!$B$13,Paramètres!$A$1:$I$89,3,0)*0.475*44/12</f>
        <v>0.59701952156936944</v>
      </c>
      <c r="DI128" s="22">
        <f t="shared" si="69"/>
        <v>70.931144811105327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2.8421709430404007E-13</v>
      </c>
      <c r="O129" s="13">
        <f>N129*VLOOKUP('Données projet'!$B$9,Paramètres!$A$1:$I$89,3,0)*VLOOKUP('Données projet'!$B$9,Paramètres!$A$1:$I$89,5,0)</f>
        <v>2.3942448024172339E-13</v>
      </c>
      <c r="P129" s="13">
        <f t="shared" si="87"/>
        <v>3.2492669905861755E-12</v>
      </c>
      <c r="Q129" s="20">
        <f t="shared" si="107"/>
        <v>6.0761376450252573E-12</v>
      </c>
      <c r="R129" s="59">
        <f t="shared" si="55"/>
        <v>293.3333333333394</v>
      </c>
      <c r="S129" s="59">
        <f ca="1">AVERAGE(OFFSET($R$3,0,0,'Données projet'!$E$9+1,1))-AVERAGE(OFFSET($H$3,0,0,'Données projet'!$E$9+1,1))</f>
        <v>231.91408074258248</v>
      </c>
      <c r="T129" s="59">
        <f t="shared" si="88"/>
        <v>143.57726487417773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1.5433883642188149E-12</v>
      </c>
      <c r="AC129" s="22">
        <f t="shared" si="57"/>
        <v>1.5433883642188149E-12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2.8421709430404007E-13</v>
      </c>
      <c r="AJ129" s="13">
        <f>AI129*VLOOKUP('Données projet'!$B$10,Paramètres!$A$1:$I$89,3,0)*VLOOKUP('Données projet'!$B$10,Paramètres!$A$1:$I$89,5,0)</f>
        <v>2.5715962692629546E-13</v>
      </c>
      <c r="AK129" s="13">
        <f t="shared" si="89"/>
        <v>3.4610450122128953E-12</v>
      </c>
      <c r="AL129" s="20">
        <f t="shared" si="58"/>
        <v>6.4758730798340893E-12</v>
      </c>
      <c r="AM129" s="59">
        <f t="shared" si="59"/>
        <v>293.33333333333979</v>
      </c>
      <c r="AN129" s="59">
        <f ca="1">AVERAGE(OFFSET($AM$3,0,0,'Données projet'!$E$10+1,1))-AVERAGE(OFFSET($H$3,0,0,'Données projet'!$E$10+1,1))</f>
        <v>253.16772905022714</v>
      </c>
      <c r="AO129" s="59">
        <f t="shared" si="90"/>
        <v>156.67965022779907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1.6577134282350236E-12</v>
      </c>
      <c r="AX129" s="21">
        <f t="shared" si="60"/>
        <v>1.6577134282350236E-12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-2.8421709430404007E-14</v>
      </c>
      <c r="BE129" s="13">
        <f>BD129*VLOOKUP('Données projet'!$B$11,Paramètres!$A$1:$I$89,3,0)*VLOOKUP('Données projet'!$B$11,Paramètres!$A$1:$I$89,5,0)</f>
        <v>-1.6996182239381599E-14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119.24399403036387</v>
      </c>
      <c r="BJ129" s="59">
        <f t="shared" si="92"/>
        <v>119.60076838354843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3.5518021504764924E-15</v>
      </c>
      <c r="BS129" s="22">
        <f t="shared" si="63"/>
        <v>3.5518021504764924E-15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5.6843418860808015E-14</v>
      </c>
      <c r="BZ129" s="13">
        <f>BY129*VLOOKUP('Données projet'!$B$12,Paramètres!$A$1:$I$89,3,0)*VLOOKUP('Données projet'!$B$12,Paramètres!$A$1:$I$89,5,0)</f>
        <v>5.4978954722173515E-14</v>
      </c>
      <c r="CA129" s="13">
        <f t="shared" si="93"/>
        <v>8.8550225887742724E-13</v>
      </c>
      <c r="CB129" s="20">
        <f t="shared" si="64"/>
        <v>1.6380047803526383E-12</v>
      </c>
      <c r="CC129" s="59">
        <f t="shared" si="65"/>
        <v>293.33333333333496</v>
      </c>
      <c r="CD129" s="59">
        <f ca="1">AVERAGE(OFFSET($CC$3,0,0,'Données projet'!$E$12+1,1))-AVERAGE(OFFSET($H$3,0,0,'Données projet'!$E$12+1,1))</f>
        <v>135.95692658150551</v>
      </c>
      <c r="CE129" s="59">
        <f t="shared" si="94"/>
        <v>79.394119001888612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60.839795988529303</v>
      </c>
      <c r="CL129" s="21">
        <f>EXP(-LN(2)/25)*CL128+(1-EXP(-LN(2)/25))/(LN(2)/25)*Calculateur!CG129*Calculateur!CI129*VLOOKUP('Données projet'!$B$12,Paramètres!$A$1:$I$89,3,0)*0.475*44/12</f>
        <v>1.1108589252489098</v>
      </c>
      <c r="CM129" s="21">
        <f>EXP(-LN(2)/2)*CM128+(1-EXP(-LN(2)/2))/(LN(2)/2)*CG129*CJ129*VLOOKUP('Données projet'!$B$12,Paramètres!$A$1:$I$89,3,0)*0.475*44/12</f>
        <v>0.37932907589205617</v>
      </c>
      <c r="CN129" s="22">
        <f t="shared" si="66"/>
        <v>62.329983989670275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5.6843418860808015E-14</v>
      </c>
      <c r="CU129" s="17">
        <f>CT129*VLOOKUP('Données projet'!$B$13,Paramètres!$A$1:$I$89,3,0)*VLOOKUP('Données projet'!$B$13,Paramètres!$A$1:$I$89,5,0)</f>
        <v>6.1186256061773749E-14</v>
      </c>
      <c r="CV129" s="13">
        <f t="shared" si="95"/>
        <v>9.7328366192051127E-13</v>
      </c>
      <c r="CW129" s="20">
        <f t="shared" si="67"/>
        <v>1.8017017738191463E-12</v>
      </c>
      <c r="CX129" s="59">
        <f t="shared" si="68"/>
        <v>293.33333333333513</v>
      </c>
      <c r="CY129" s="59">
        <f ca="1">AVERAGE(OFFSET($CX$3,0,0,'Données projet'!$E$13+1,1))-AVERAGE(OFFSET($H$3,0,0,'Données projet'!$E$13+1,1))</f>
        <v>158.74837032815333</v>
      </c>
      <c r="CZ129" s="59">
        <f t="shared" si="96"/>
        <v>92.286636088270086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67.708805213040662</v>
      </c>
      <c r="DG129" s="21">
        <f>EXP(-LN(2)/25)*DG128+(1-EXP(-LN(2)/25))/(LN(2)/25)*Calculateur!DB129*Calculateur!DD129*VLOOKUP('Données projet'!$B$13,Paramètres!$A$1:$I$89,3,0)*0.475*44/12</f>
        <v>1.2362784813253995</v>
      </c>
      <c r="DH129" s="21">
        <f>EXP(-LN(2)/2)*DH128+(1-EXP(-LN(2)/2))/(LN(2)/2)*DB129*DE129*VLOOKUP('Données projet'!$B$13,Paramètres!$A$1:$I$89,3,0)*0.475*44/12</f>
        <v>0.42215655220244941</v>
      </c>
      <c r="DI129" s="22">
        <f t="shared" si="69"/>
        <v>69.367240246568514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2.8421709430404007E-13</v>
      </c>
      <c r="O130" s="13">
        <f>N130*VLOOKUP('Données projet'!$B$9,Paramètres!$A$1:$I$89,3,0)*VLOOKUP('Données projet'!$B$9,Paramètres!$A$1:$I$89,5,0)</f>
        <v>2.3942448024172339E-13</v>
      </c>
      <c r="P130" s="13">
        <f t="shared" si="87"/>
        <v>3.2492669905861755E-12</v>
      </c>
      <c r="Q130" s="20">
        <f t="shared" si="107"/>
        <v>6.0761376450252573E-12</v>
      </c>
      <c r="R130" s="59">
        <f t="shared" si="55"/>
        <v>293.3333333333394</v>
      </c>
      <c r="S130" s="59">
        <f ca="1">AVERAGE(OFFSET($R$3,0,0,'Données projet'!$E$9+1,1))-AVERAGE(OFFSET($H$3,0,0,'Données projet'!$E$9+1,1))</f>
        <v>231.91408074258248</v>
      </c>
      <c r="T130" s="59">
        <f t="shared" si="88"/>
        <v>143.57726487417773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1.091340378343537E-12</v>
      </c>
      <c r="AC130" s="22">
        <f t="shared" si="57"/>
        <v>1.091340378343537E-12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2.8421709430404007E-13</v>
      </c>
      <c r="AJ130" s="13">
        <f>AI130*VLOOKUP('Données projet'!$B$10,Paramètres!$A$1:$I$89,3,0)*VLOOKUP('Données projet'!$B$10,Paramètres!$A$1:$I$89,5,0)</f>
        <v>2.5715962692629546E-13</v>
      </c>
      <c r="AK130" s="13">
        <f t="shared" si="89"/>
        <v>3.4610450122128953E-12</v>
      </c>
      <c r="AL130" s="20">
        <f t="shared" si="58"/>
        <v>6.4758730798340893E-12</v>
      </c>
      <c r="AM130" s="59">
        <f t="shared" si="59"/>
        <v>293.33333333333979</v>
      </c>
      <c r="AN130" s="59">
        <f ca="1">AVERAGE(OFFSET($AM$3,0,0,'Données projet'!$E$10+1,1))-AVERAGE(OFFSET($H$3,0,0,'Données projet'!$E$10+1,1))</f>
        <v>253.16772905022714</v>
      </c>
      <c r="AO130" s="59">
        <f t="shared" si="90"/>
        <v>156.67965022779907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1.1721804063689843E-12</v>
      </c>
      <c r="AX130" s="21">
        <f t="shared" si="60"/>
        <v>1.1721804063689843E-12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-2.8421709430404007E-14</v>
      </c>
      <c r="BE130" s="13">
        <f>BD130*VLOOKUP('Données projet'!$B$11,Paramètres!$A$1:$I$89,3,0)*VLOOKUP('Données projet'!$B$11,Paramètres!$A$1:$I$89,5,0)</f>
        <v>-1.6996182239381599E-14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119.24399403036387</v>
      </c>
      <c r="BJ130" s="59">
        <f t="shared" si="92"/>
        <v>119.60076838354843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2.5115033860348901E-15</v>
      </c>
      <c r="BS130" s="22">
        <f t="shared" si="63"/>
        <v>2.5115033860348901E-15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5.6843418860808015E-14</v>
      </c>
      <c r="BZ130" s="13">
        <f>BY130*VLOOKUP('Données projet'!$B$12,Paramètres!$A$1:$I$89,3,0)*VLOOKUP('Données projet'!$B$12,Paramètres!$A$1:$I$89,5,0)</f>
        <v>5.4978954722173515E-14</v>
      </c>
      <c r="CA130" s="13">
        <f t="shared" si="93"/>
        <v>8.8550225887742724E-13</v>
      </c>
      <c r="CB130" s="20">
        <f t="shared" si="64"/>
        <v>1.6380047803526383E-12</v>
      </c>
      <c r="CC130" s="59">
        <f t="shared" si="65"/>
        <v>293.33333333333496</v>
      </c>
      <c r="CD130" s="59">
        <f ca="1">AVERAGE(OFFSET($CC$3,0,0,'Données projet'!$E$12+1,1))-AVERAGE(OFFSET($H$3,0,0,'Données projet'!$E$12+1,1))</f>
        <v>135.95692658150551</v>
      </c>
      <c r="CE130" s="59">
        <f t="shared" si="94"/>
        <v>79.394119001888612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59.646764697805622</v>
      </c>
      <c r="CL130" s="21">
        <f>EXP(-LN(2)/25)*CL129+(1-EXP(-LN(2)/25))/(LN(2)/25)*Calculateur!CG130*Calculateur!CI130*VLOOKUP('Données projet'!$B$12,Paramètres!$A$1:$I$89,3,0)*0.475*44/12</f>
        <v>1.0804824295204465</v>
      </c>
      <c r="CM130" s="21">
        <f>EXP(-LN(2)/2)*CM129+(1-EXP(-LN(2)/2))/(LN(2)/2)*CG130*CJ130*VLOOKUP('Données projet'!$B$12,Paramètres!$A$1:$I$89,3,0)*0.475*44/12</f>
        <v>0.26822616186449943</v>
      </c>
      <c r="CN130" s="22">
        <f t="shared" si="66"/>
        <v>60.995473289190564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5.6843418860808015E-14</v>
      </c>
      <c r="CU130" s="17">
        <f>CT130*VLOOKUP('Données projet'!$B$13,Paramètres!$A$1:$I$89,3,0)*VLOOKUP('Données projet'!$B$13,Paramètres!$A$1:$I$89,5,0)</f>
        <v>6.1186256061773749E-14</v>
      </c>
      <c r="CV130" s="13">
        <f t="shared" si="95"/>
        <v>9.7328366192051127E-13</v>
      </c>
      <c r="CW130" s="20">
        <f t="shared" si="67"/>
        <v>1.8017017738191463E-12</v>
      </c>
      <c r="CX130" s="59">
        <f t="shared" si="68"/>
        <v>293.33333333333513</v>
      </c>
      <c r="CY130" s="59">
        <f ca="1">AVERAGE(OFFSET($CX$3,0,0,'Données projet'!$E$13+1,1))-AVERAGE(OFFSET($H$3,0,0,'Données projet'!$E$13+1,1))</f>
        <v>158.74837032815333</v>
      </c>
      <c r="CZ130" s="59">
        <f t="shared" si="96"/>
        <v>92.286636088270086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66.38107684110625</v>
      </c>
      <c r="DG130" s="21">
        <f>EXP(-LN(2)/25)*DG129+(1-EXP(-LN(2)/25))/(LN(2)/25)*Calculateur!DB130*Calculateur!DD130*VLOOKUP('Données projet'!$B$13,Paramètres!$A$1:$I$89,3,0)*0.475*44/12</f>
        <v>1.2024723812404967</v>
      </c>
      <c r="DH130" s="21">
        <f>EXP(-LN(2)/2)*DH129+(1-EXP(-LN(2)/2))/(LN(2)/2)*DB130*DE130*VLOOKUP('Données projet'!$B$13,Paramètres!$A$1:$I$89,3,0)*0.475*44/12</f>
        <v>0.29850976078468472</v>
      </c>
      <c r="DI130" s="22">
        <f t="shared" si="69"/>
        <v>67.882058983131429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2.8421709430404007E-13</v>
      </c>
      <c r="O131" s="13">
        <f>N131*VLOOKUP('Données projet'!$B$9,Paramètres!$A$1:$I$89,3,0)*VLOOKUP('Données projet'!$B$9,Paramètres!$A$1:$I$89,5,0)</f>
        <v>2.3942448024172339E-13</v>
      </c>
      <c r="P131" s="13">
        <f t="shared" si="87"/>
        <v>3.2492669905861755E-12</v>
      </c>
      <c r="Q131" s="20">
        <f t="shared" ref="Q131:Q153" si="108">(O131+P131)*0.475*44/12</f>
        <v>6.0761376450252573E-12</v>
      </c>
      <c r="R131" s="59">
        <f t="shared" ref="R131:R194" si="109">Q131+(I131+J131)*44/12</f>
        <v>293.3333333333394</v>
      </c>
      <c r="S131" s="59">
        <f ca="1">AVERAGE(OFFSET($R$3,0,0,'Données projet'!$E$9+1,1))-AVERAGE(OFFSET($H$3,0,0,'Données projet'!$E$9+1,1))</f>
        <v>231.91408074258248</v>
      </c>
      <c r="T131" s="59">
        <f t="shared" si="88"/>
        <v>143.57726487417773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7.7169418210940744E-13</v>
      </c>
      <c r="AC131" s="22">
        <f t="shared" si="57"/>
        <v>7.7169418210940744E-13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2.8421709430404007E-13</v>
      </c>
      <c r="AJ131" s="13">
        <f>AI131*VLOOKUP('Données projet'!$B$10,Paramètres!$A$1:$I$89,3,0)*VLOOKUP('Données projet'!$B$10,Paramètres!$A$1:$I$89,5,0)</f>
        <v>2.5715962692629546E-13</v>
      </c>
      <c r="AK131" s="13">
        <f t="shared" si="89"/>
        <v>3.4610450122128953E-12</v>
      </c>
      <c r="AL131" s="20">
        <f t="shared" si="58"/>
        <v>6.4758730798340893E-12</v>
      </c>
      <c r="AM131" s="59">
        <f t="shared" si="59"/>
        <v>293.33333333333979</v>
      </c>
      <c r="AN131" s="59">
        <f ca="1">AVERAGE(OFFSET($AM$3,0,0,'Données projet'!$E$10+1,1))-AVERAGE(OFFSET($H$3,0,0,'Données projet'!$E$10+1,1))</f>
        <v>253.16772905022714</v>
      </c>
      <c r="AO131" s="59">
        <f t="shared" si="90"/>
        <v>156.67965022779907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8.2885671411751179E-13</v>
      </c>
      <c r="AX131" s="21">
        <f t="shared" si="60"/>
        <v>8.2885671411751179E-13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-2.8421709430404007E-14</v>
      </c>
      <c r="BE131" s="13">
        <f>BD131*VLOOKUP('Données projet'!$B$11,Paramètres!$A$1:$I$89,3,0)*VLOOKUP('Données projet'!$B$11,Paramètres!$A$1:$I$89,5,0)</f>
        <v>-1.6996182239381599E-14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119.24399403036387</v>
      </c>
      <c r="BJ131" s="59">
        <f t="shared" si="92"/>
        <v>119.60076838354843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1.7759010752382464E-15</v>
      </c>
      <c r="BS131" s="22">
        <f t="shared" si="63"/>
        <v>1.7759010752382464E-15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5.6843418860808015E-14</v>
      </c>
      <c r="BZ131" s="13">
        <f>BY131*VLOOKUP('Données projet'!$B$12,Paramètres!$A$1:$I$89,3,0)*VLOOKUP('Données projet'!$B$12,Paramètres!$A$1:$I$89,5,0)</f>
        <v>5.4978954722173515E-14</v>
      </c>
      <c r="CA131" s="13">
        <f t="shared" si="93"/>
        <v>8.8550225887742724E-13</v>
      </c>
      <c r="CB131" s="20">
        <f t="shared" si="64"/>
        <v>1.6380047803526383E-12</v>
      </c>
      <c r="CC131" s="59">
        <f t="shared" si="65"/>
        <v>293.33333333333496</v>
      </c>
      <c r="CD131" s="59">
        <f ca="1">AVERAGE(OFFSET($CC$3,0,0,'Données projet'!$E$12+1,1))-AVERAGE(OFFSET($H$3,0,0,'Données projet'!$E$12+1,1))</f>
        <v>135.95692658150551</v>
      </c>
      <c r="CE131" s="59">
        <f t="shared" si="94"/>
        <v>79.394119001888612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58.477128023015801</v>
      </c>
      <c r="CL131" s="21">
        <f>EXP(-LN(2)/25)*CL130+(1-EXP(-LN(2)/25))/(LN(2)/25)*Calculateur!CG131*Calculateur!CI131*VLOOKUP('Données projet'!$B$12,Paramètres!$A$1:$I$89,3,0)*0.475*44/12</f>
        <v>1.0509365806651083</v>
      </c>
      <c r="CM131" s="21">
        <f>EXP(-LN(2)/2)*CM130+(1-EXP(-LN(2)/2))/(LN(2)/2)*CG131*CJ131*VLOOKUP('Données projet'!$B$12,Paramètres!$A$1:$I$89,3,0)*0.475*44/12</f>
        <v>0.18966453794602808</v>
      </c>
      <c r="CN131" s="22">
        <f t="shared" si="66"/>
        <v>59.71772914162694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5.6843418860808015E-14</v>
      </c>
      <c r="CU131" s="17">
        <f>CT131*VLOOKUP('Données projet'!$B$13,Paramètres!$A$1:$I$89,3,0)*VLOOKUP('Données projet'!$B$13,Paramètres!$A$1:$I$89,5,0)</f>
        <v>6.1186256061773749E-14</v>
      </c>
      <c r="CV131" s="13">
        <f t="shared" si="95"/>
        <v>9.7328366192051127E-13</v>
      </c>
      <c r="CW131" s="20">
        <f t="shared" si="67"/>
        <v>1.8017017738191463E-12</v>
      </c>
      <c r="CX131" s="59">
        <f t="shared" si="68"/>
        <v>293.33333333333513</v>
      </c>
      <c r="CY131" s="59">
        <f ca="1">AVERAGE(OFFSET($CX$3,0,0,'Données projet'!$E$13+1,1))-AVERAGE(OFFSET($H$3,0,0,'Données projet'!$E$13+1,1))</f>
        <v>158.74837032815333</v>
      </c>
      <c r="CZ131" s="59">
        <f t="shared" si="96"/>
        <v>92.286636088270086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65.079384412711121</v>
      </c>
      <c r="DG131" s="21">
        <f>EXP(-LN(2)/25)*DG130+(1-EXP(-LN(2)/25))/(LN(2)/25)*Calculateur!DB131*Calculateur!DD131*VLOOKUP('Données projet'!$B$13,Paramètres!$A$1:$I$89,3,0)*0.475*44/12</f>
        <v>1.169590710740201</v>
      </c>
      <c r="DH131" s="21">
        <f>EXP(-LN(2)/2)*DH130+(1-EXP(-LN(2)/2))/(LN(2)/2)*DB131*DE131*VLOOKUP('Données projet'!$B$13,Paramètres!$A$1:$I$89,3,0)*0.475*44/12</f>
        <v>0.2110782761012247</v>
      </c>
      <c r="DI131" s="22">
        <f t="shared" si="69"/>
        <v>66.460053399552535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2.8421709430404007E-13</v>
      </c>
      <c r="O132" s="13">
        <f>N132*VLOOKUP('Données projet'!$B$9,Paramètres!$A$1:$I$89,3,0)*VLOOKUP('Données projet'!$B$9,Paramètres!$A$1:$I$89,5,0)</f>
        <v>2.3942448024172339E-13</v>
      </c>
      <c r="P132" s="13">
        <f t="shared" si="87"/>
        <v>3.2492669905861755E-12</v>
      </c>
      <c r="Q132" s="20">
        <f t="shared" si="108"/>
        <v>6.0761376450252573E-12</v>
      </c>
      <c r="R132" s="59">
        <f t="shared" si="109"/>
        <v>293.3333333333394</v>
      </c>
      <c r="S132" s="59">
        <f ca="1">AVERAGE(OFFSET($R$3,0,0,'Données projet'!$E$9+1,1))-AVERAGE(OFFSET($H$3,0,0,'Données projet'!$E$9+1,1))</f>
        <v>231.91408074258248</v>
      </c>
      <c r="T132" s="59">
        <f t="shared" si="88"/>
        <v>143.57726487417773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5.4567018917176851E-13</v>
      </c>
      <c r="AC132" s="22">
        <f t="shared" ref="AC132:AC153" si="111">SUM(Z132:AB132)</f>
        <v>5.4567018917176851E-13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2.8421709430404007E-13</v>
      </c>
      <c r="AJ132" s="13">
        <f>AI132*VLOOKUP('Données projet'!$B$10,Paramètres!$A$1:$I$89,3,0)*VLOOKUP('Données projet'!$B$10,Paramètres!$A$1:$I$89,5,0)</f>
        <v>2.5715962692629546E-13</v>
      </c>
      <c r="AK132" s="13">
        <f t="shared" si="89"/>
        <v>3.4610450122128953E-12</v>
      </c>
      <c r="AL132" s="20">
        <f t="shared" ref="AL132:AL153" si="112">(AJ132+AK132)*0.475*44/12</f>
        <v>6.4758730798340893E-12</v>
      </c>
      <c r="AM132" s="59">
        <f t="shared" ref="AM132:AM195" si="113">AL132+(AD132+AE132)*44/12</f>
        <v>293.33333333333979</v>
      </c>
      <c r="AN132" s="59">
        <f ca="1">AVERAGE(OFFSET($AM$3,0,0,'Données projet'!$E$10+1,1))-AVERAGE(OFFSET($H$3,0,0,'Données projet'!$E$10+1,1))</f>
        <v>253.16772905022714</v>
      </c>
      <c r="AO132" s="59">
        <f t="shared" si="90"/>
        <v>156.67965022779907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5.8609020318449217E-13</v>
      </c>
      <c r="AX132" s="21">
        <f t="shared" ref="AX132:AX153" si="114">SUM(AU132:AW132)</f>
        <v>5.8609020318449217E-13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-2.8421709430404007E-14</v>
      </c>
      <c r="BE132" s="13">
        <f>BD132*VLOOKUP('Données projet'!$B$11,Paramètres!$A$1:$I$89,3,0)*VLOOKUP('Données projet'!$B$11,Paramètres!$A$1:$I$89,5,0)</f>
        <v>-1.6996182239381599E-14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119.24399403036387</v>
      </c>
      <c r="BJ132" s="59">
        <f t="shared" si="92"/>
        <v>119.60076838354843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1.2557516930174453E-15</v>
      </c>
      <c r="BS132" s="22">
        <f t="shared" ref="BS132:BS153" si="117">SUM(BP132:BR132)</f>
        <v>1.2557516930174453E-15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5.6843418860808015E-14</v>
      </c>
      <c r="BZ132" s="13">
        <f>BY132*VLOOKUP('Données projet'!$B$12,Paramètres!$A$1:$I$89,3,0)*VLOOKUP('Données projet'!$B$12,Paramètres!$A$1:$I$89,5,0)</f>
        <v>5.4978954722173515E-14</v>
      </c>
      <c r="CA132" s="13">
        <f t="shared" si="93"/>
        <v>8.8550225887742724E-13</v>
      </c>
      <c r="CB132" s="20">
        <f t="shared" ref="CB132:CB153" si="118">(BZ132+CA132)*0.475*44/12</f>
        <v>1.6380047803526383E-12</v>
      </c>
      <c r="CC132" s="59">
        <f t="shared" ref="CC132:CC195" si="119">CB132+(BT132+BU132)*44/12</f>
        <v>293.33333333333496</v>
      </c>
      <c r="CD132" s="59">
        <f ca="1">AVERAGE(OFFSET($CC$3,0,0,'Données projet'!$E$12+1,1))-AVERAGE(OFFSET($H$3,0,0,'Données projet'!$E$12+1,1))</f>
        <v>135.95692658150551</v>
      </c>
      <c r="CE132" s="59">
        <f t="shared" si="94"/>
        <v>79.394119001888612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57.330427210010683</v>
      </c>
      <c r="CL132" s="21">
        <f>EXP(-LN(2)/25)*CL131+(1-EXP(-LN(2)/25))/(LN(2)/25)*Calculateur!CG132*Calculateur!CI132*VLOOKUP('Données projet'!$B$12,Paramètres!$A$1:$I$89,3,0)*0.475*44/12</f>
        <v>1.0221986646004682</v>
      </c>
      <c r="CM132" s="21">
        <f>EXP(-LN(2)/2)*CM131+(1-EXP(-LN(2)/2))/(LN(2)/2)*CG132*CJ132*VLOOKUP('Données projet'!$B$12,Paramètres!$A$1:$I$89,3,0)*0.475*44/12</f>
        <v>0.13411308093224972</v>
      </c>
      <c r="CN132" s="22">
        <f t="shared" ref="CN132:CN153" si="120">SUM(CK132:CM132)</f>
        <v>58.486738955543402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5.6843418860808015E-14</v>
      </c>
      <c r="CU132" s="17">
        <f>CT132*VLOOKUP('Données projet'!$B$13,Paramètres!$A$1:$I$89,3,0)*VLOOKUP('Données projet'!$B$13,Paramètres!$A$1:$I$89,5,0)</f>
        <v>6.1186256061773749E-14</v>
      </c>
      <c r="CV132" s="13">
        <f t="shared" si="95"/>
        <v>9.7328366192051127E-13</v>
      </c>
      <c r="CW132" s="20">
        <f t="shared" ref="CW132:CW153" si="121">(CU132+CV132)*0.475*44/12</f>
        <v>1.8017017738191463E-12</v>
      </c>
      <c r="CX132" s="59">
        <f t="shared" ref="CX132:CX195" si="122">CW132+(CO132+CP132)*44/12</f>
        <v>293.33333333333513</v>
      </c>
      <c r="CY132" s="59">
        <f ca="1">AVERAGE(OFFSET($CX$3,0,0,'Données projet'!$E$13+1,1))-AVERAGE(OFFSET($H$3,0,0,'Données projet'!$E$13+1,1))</f>
        <v>158.74837032815333</v>
      </c>
      <c r="CZ132" s="59">
        <f t="shared" si="96"/>
        <v>92.286636088270086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63.803217378882842</v>
      </c>
      <c r="DG132" s="21">
        <f>EXP(-LN(2)/25)*DG131+(1-EXP(-LN(2)/25))/(LN(2)/25)*Calculateur!DB132*Calculateur!DD132*VLOOKUP('Données projet'!$B$13,Paramètres!$A$1:$I$89,3,0)*0.475*44/12</f>
        <v>1.137608191248908</v>
      </c>
      <c r="DH132" s="21">
        <f>EXP(-LN(2)/2)*DH131+(1-EXP(-LN(2)/2))/(LN(2)/2)*DB132*DE132*VLOOKUP('Données projet'!$B$13,Paramètres!$A$1:$I$89,3,0)*0.475*44/12</f>
        <v>0.14925488039234236</v>
      </c>
      <c r="DI132" s="22">
        <f t="shared" ref="DI132:DI153" si="123">SUM(DF132:DH132)</f>
        <v>65.090080450524098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2.8421709430404007E-13</v>
      </c>
      <c r="O133" s="13">
        <f>N133*VLOOKUP('Données projet'!$B$9,Paramètres!$A$1:$I$89,3,0)*VLOOKUP('Données projet'!$B$9,Paramètres!$A$1:$I$89,5,0)</f>
        <v>2.3942448024172339E-13</v>
      </c>
      <c r="P133" s="13">
        <f t="shared" ref="P133:P196" si="141">EXP(-1.0587+0.8836*LN(O133)+0.284)</f>
        <v>3.2492669905861755E-12</v>
      </c>
      <c r="Q133" s="20">
        <f t="shared" si="108"/>
        <v>6.0761376450252573E-12</v>
      </c>
      <c r="R133" s="59">
        <f t="shared" si="109"/>
        <v>293.3333333333394</v>
      </c>
      <c r="S133" s="59">
        <f ca="1">AVERAGE(OFFSET($R$3,0,0,'Données projet'!$E$9+1,1))-AVERAGE(OFFSET($H$3,0,0,'Données projet'!$E$9+1,1))</f>
        <v>231.91408074258248</v>
      </c>
      <c r="T133" s="59">
        <f t="shared" ref="T133:T196" si="142">$T$3</f>
        <v>143.57726487417773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3.8584709105470372E-13</v>
      </c>
      <c r="AC133" s="22">
        <f t="shared" si="111"/>
        <v>3.8584709105470372E-13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2.8421709430404007E-13</v>
      </c>
      <c r="AJ133" s="13">
        <f>AI133*VLOOKUP('Données projet'!$B$10,Paramètres!$A$1:$I$89,3,0)*VLOOKUP('Données projet'!$B$10,Paramètres!$A$1:$I$89,5,0)</f>
        <v>2.5715962692629546E-13</v>
      </c>
      <c r="AK133" s="13">
        <f t="shared" ref="AK133:AK153" si="143">EXP(-1.0587+0.8836*LN(AJ133)+0.284)</f>
        <v>3.4610450122128953E-12</v>
      </c>
      <c r="AL133" s="20">
        <f t="shared" si="112"/>
        <v>6.4758730798340893E-12</v>
      </c>
      <c r="AM133" s="59">
        <f t="shared" si="113"/>
        <v>293.33333333333979</v>
      </c>
      <c r="AN133" s="59">
        <f ca="1">AVERAGE(OFFSET($AM$3,0,0,'Données projet'!$E$10+1,1))-AVERAGE(OFFSET($H$3,0,0,'Données projet'!$E$10+1,1))</f>
        <v>253.16772905022714</v>
      </c>
      <c r="AO133" s="59">
        <f t="shared" ref="AO133:AO196" si="144">$AO$3</f>
        <v>156.67965022779907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4.1442835705875589E-13</v>
      </c>
      <c r="AX133" s="21">
        <f t="shared" si="114"/>
        <v>4.1442835705875589E-13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-2.8421709430404007E-14</v>
      </c>
      <c r="BE133" s="13">
        <f>BD133*VLOOKUP('Données projet'!$B$11,Paramètres!$A$1:$I$89,3,0)*VLOOKUP('Données projet'!$B$11,Paramètres!$A$1:$I$89,5,0)</f>
        <v>-1.6996182239381599E-14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119.24399403036387</v>
      </c>
      <c r="BJ133" s="59">
        <f t="shared" ref="BJ133:BJ196" si="146">$BJ$3</f>
        <v>119.60076838354843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8.8795053761912329E-16</v>
      </c>
      <c r="BS133" s="22">
        <f t="shared" si="117"/>
        <v>8.8795053761912329E-16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5.6843418860808015E-14</v>
      </c>
      <c r="BZ133" s="13">
        <f>BY133*VLOOKUP('Données projet'!$B$12,Paramètres!$A$1:$I$89,3,0)*VLOOKUP('Données projet'!$B$12,Paramètres!$A$1:$I$89,5,0)</f>
        <v>5.4978954722173515E-14</v>
      </c>
      <c r="CA133" s="13">
        <f t="shared" ref="CA133:CA153" si="147">EXP(-1.0587+0.8836*LN(BZ133)+0.284)</f>
        <v>8.8550225887742724E-13</v>
      </c>
      <c r="CB133" s="20">
        <f t="shared" si="118"/>
        <v>1.6380047803526383E-12</v>
      </c>
      <c r="CC133" s="59">
        <f t="shared" si="119"/>
        <v>293.33333333333496</v>
      </c>
      <c r="CD133" s="59">
        <f ca="1">AVERAGE(OFFSET($CC$3,0,0,'Données projet'!$E$12+1,1))-AVERAGE(OFFSET($H$3,0,0,'Données projet'!$E$12+1,1))</f>
        <v>135.95692658150551</v>
      </c>
      <c r="CE133" s="59">
        <f t="shared" ref="CE133:CE196" si="148">$CE$3</f>
        <v>79.394119001888612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56.206212500530157</v>
      </c>
      <c r="CL133" s="21">
        <f>EXP(-LN(2)/25)*CL132+(1-EXP(-LN(2)/25))/(LN(2)/25)*Calculateur!CG133*Calculateur!CI133*VLOOKUP('Données projet'!$B$12,Paramètres!$A$1:$I$89,3,0)*0.475*44/12</f>
        <v>0.99424658836187685</v>
      </c>
      <c r="CM133" s="21">
        <f>EXP(-LN(2)/2)*CM132+(1-EXP(-LN(2)/2))/(LN(2)/2)*CG133*CJ133*VLOOKUP('Données projet'!$B$12,Paramètres!$A$1:$I$89,3,0)*0.475*44/12</f>
        <v>9.4832268973014042E-2</v>
      </c>
      <c r="CN133" s="22">
        <f t="shared" si="120"/>
        <v>57.295291357865047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5.6843418860808015E-14</v>
      </c>
      <c r="CU133" s="17">
        <f>CT133*VLOOKUP('Données projet'!$B$13,Paramètres!$A$1:$I$89,3,0)*VLOOKUP('Données projet'!$B$13,Paramètres!$A$1:$I$89,5,0)</f>
        <v>6.1186256061773749E-14</v>
      </c>
      <c r="CV133" s="13">
        <f t="shared" ref="CV133:CV153" si="149">EXP(-1.0587+0.8836*LN(CU133)+0.284)</f>
        <v>9.7328366192051127E-13</v>
      </c>
      <c r="CW133" s="20">
        <f t="shared" si="121"/>
        <v>1.8017017738191463E-12</v>
      </c>
      <c r="CX133" s="59">
        <f t="shared" si="122"/>
        <v>293.33333333333513</v>
      </c>
      <c r="CY133" s="59">
        <f ca="1">AVERAGE(OFFSET($CX$3,0,0,'Données projet'!$E$13+1,1))-AVERAGE(OFFSET($H$3,0,0,'Données projet'!$E$13+1,1))</f>
        <v>158.74837032815333</v>
      </c>
      <c r="CZ133" s="59">
        <f t="shared" ref="CZ133:CZ196" si="150">$CZ$3</f>
        <v>92.286636088270086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62.5520752022029</v>
      </c>
      <c r="DG133" s="21">
        <f>EXP(-LN(2)/25)*DG132+(1-EXP(-LN(2)/25))/(LN(2)/25)*Calculateur!DB133*Calculateur!DD133*VLOOKUP('Données projet'!$B$13,Paramètres!$A$1:$I$89,3,0)*0.475*44/12</f>
        <v>1.1065002354349918</v>
      </c>
      <c r="DH133" s="21">
        <f>EXP(-LN(2)/2)*DH132+(1-EXP(-LN(2)/2))/(LN(2)/2)*DB133*DE133*VLOOKUP('Données projet'!$B$13,Paramètres!$A$1:$I$89,3,0)*0.475*44/12</f>
        <v>0.10553913805061235</v>
      </c>
      <c r="DI133" s="22">
        <f t="shared" si="123"/>
        <v>63.764114575688502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2.8421709430404007E-13</v>
      </c>
      <c r="O134" s="13">
        <f>N134*VLOOKUP('Données projet'!$B$9,Paramètres!$A$1:$I$89,3,0)*VLOOKUP('Données projet'!$B$9,Paramètres!$A$1:$I$89,5,0)</f>
        <v>2.3942448024172339E-13</v>
      </c>
      <c r="P134" s="13">
        <f t="shared" si="141"/>
        <v>3.2492669905861755E-12</v>
      </c>
      <c r="Q134" s="20">
        <f t="shared" si="108"/>
        <v>6.0761376450252573E-12</v>
      </c>
      <c r="R134" s="59">
        <f t="shared" si="109"/>
        <v>293.3333333333394</v>
      </c>
      <c r="S134" s="59">
        <f ca="1">AVERAGE(OFFSET($R$3,0,0,'Données projet'!$E$9+1,1))-AVERAGE(OFFSET($H$3,0,0,'Données projet'!$E$9+1,1))</f>
        <v>231.91408074258248</v>
      </c>
      <c r="T134" s="59">
        <f t="shared" si="142"/>
        <v>143.57726487417773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2.7283509458588426E-13</v>
      </c>
      <c r="AC134" s="22">
        <f t="shared" si="111"/>
        <v>2.7283509458588426E-13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2.8421709430404007E-13</v>
      </c>
      <c r="AJ134" s="13">
        <f>AI134*VLOOKUP('Données projet'!$B$10,Paramètres!$A$1:$I$89,3,0)*VLOOKUP('Données projet'!$B$10,Paramètres!$A$1:$I$89,5,0)</f>
        <v>2.5715962692629546E-13</v>
      </c>
      <c r="AK134" s="13">
        <f t="shared" si="143"/>
        <v>3.4610450122128953E-12</v>
      </c>
      <c r="AL134" s="20">
        <f t="shared" si="112"/>
        <v>6.4758730798340893E-12</v>
      </c>
      <c r="AM134" s="59">
        <f t="shared" si="113"/>
        <v>293.33333333333979</v>
      </c>
      <c r="AN134" s="59">
        <f ca="1">AVERAGE(OFFSET($AM$3,0,0,'Données projet'!$E$10+1,1))-AVERAGE(OFFSET($H$3,0,0,'Données projet'!$E$10+1,1))</f>
        <v>253.16772905022714</v>
      </c>
      <c r="AO134" s="59">
        <f t="shared" si="144"/>
        <v>156.67965022779907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2.9304510159224609E-13</v>
      </c>
      <c r="AX134" s="21">
        <f t="shared" si="114"/>
        <v>2.9304510159224609E-13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-2.8421709430404007E-14</v>
      </c>
      <c r="BE134" s="13">
        <f>BD134*VLOOKUP('Données projet'!$B$11,Paramètres!$A$1:$I$89,3,0)*VLOOKUP('Données projet'!$B$11,Paramètres!$A$1:$I$89,5,0)</f>
        <v>-1.6996182239381599E-14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119.24399403036387</v>
      </c>
      <c r="BJ134" s="59">
        <f t="shared" si="146"/>
        <v>119.60076838354843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6.2787584650872273E-16</v>
      </c>
      <c r="BS134" s="22">
        <f t="shared" si="117"/>
        <v>6.2787584650872273E-16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5.6843418860808015E-14</v>
      </c>
      <c r="BZ134" s="13">
        <f>BY134*VLOOKUP('Données projet'!$B$12,Paramètres!$A$1:$I$89,3,0)*VLOOKUP('Données projet'!$B$12,Paramètres!$A$1:$I$89,5,0)</f>
        <v>5.4978954722173515E-14</v>
      </c>
      <c r="CA134" s="13">
        <f t="shared" si="147"/>
        <v>8.8550225887742724E-13</v>
      </c>
      <c r="CB134" s="20">
        <f t="shared" si="118"/>
        <v>1.6380047803526383E-12</v>
      </c>
      <c r="CC134" s="59">
        <f t="shared" si="119"/>
        <v>293.33333333333496</v>
      </c>
      <c r="CD134" s="59">
        <f ca="1">AVERAGE(OFFSET($CC$3,0,0,'Données projet'!$E$12+1,1))-AVERAGE(OFFSET($H$3,0,0,'Données projet'!$E$12+1,1))</f>
        <v>135.95692658150551</v>
      </c>
      <c r="CE134" s="59">
        <f t="shared" si="148"/>
        <v>79.394119001888612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55.104042955799279</v>
      </c>
      <c r="CL134" s="21">
        <f>EXP(-LN(2)/25)*CL133+(1-EXP(-LN(2)/25))/(LN(2)/25)*Calculateur!CG134*Calculateur!CI134*VLOOKUP('Données projet'!$B$12,Paramètres!$A$1:$I$89,3,0)*0.475*44/12</f>
        <v>0.96705886311796563</v>
      </c>
      <c r="CM134" s="21">
        <f>EXP(-LN(2)/2)*CM133+(1-EXP(-LN(2)/2))/(LN(2)/2)*CG134*CJ134*VLOOKUP('Données projet'!$B$12,Paramètres!$A$1:$I$89,3,0)*0.475*44/12</f>
        <v>6.7056540466124859E-2</v>
      </c>
      <c r="CN134" s="22">
        <f t="shared" si="120"/>
        <v>56.138158359383368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5.6843418860808015E-14</v>
      </c>
      <c r="CU134" s="17">
        <f>CT134*VLOOKUP('Données projet'!$B$13,Paramètres!$A$1:$I$89,3,0)*VLOOKUP('Données projet'!$B$13,Paramètres!$A$1:$I$89,5,0)</f>
        <v>6.1186256061773749E-14</v>
      </c>
      <c r="CV134" s="13">
        <f t="shared" si="149"/>
        <v>9.7328366192051127E-13</v>
      </c>
      <c r="CW134" s="20">
        <f t="shared" si="121"/>
        <v>1.8017017738191463E-12</v>
      </c>
      <c r="CX134" s="59">
        <f t="shared" si="122"/>
        <v>293.33333333333513</v>
      </c>
      <c r="CY134" s="59">
        <f ca="1">AVERAGE(OFFSET($CX$3,0,0,'Données projet'!$E$13+1,1))-AVERAGE(OFFSET($H$3,0,0,'Données projet'!$E$13+1,1))</f>
        <v>158.74837032815333</v>
      </c>
      <c r="CZ134" s="59">
        <f t="shared" si="150"/>
        <v>92.286636088270086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61.325467160486276</v>
      </c>
      <c r="DG134" s="21">
        <f>EXP(-LN(2)/25)*DG133+(1-EXP(-LN(2)/25))/(LN(2)/25)*Calculateur!DB134*Calculateur!DD134*VLOOKUP('Données projet'!$B$13,Paramètres!$A$1:$I$89,3,0)*0.475*44/12</f>
        <v>1.0762429283087034</v>
      </c>
      <c r="DH134" s="21">
        <f>EXP(-LN(2)/2)*DH133+(1-EXP(-LN(2)/2))/(LN(2)/2)*DB134*DE134*VLOOKUP('Données projet'!$B$13,Paramètres!$A$1:$I$89,3,0)*0.475*44/12</f>
        <v>7.462744019617118E-2</v>
      </c>
      <c r="DI134" s="22">
        <f t="shared" si="123"/>
        <v>62.476337528991152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2.8421709430404007E-13</v>
      </c>
      <c r="O135" s="13">
        <f>N135*VLOOKUP('Données projet'!$B$9,Paramètres!$A$1:$I$89,3,0)*VLOOKUP('Données projet'!$B$9,Paramètres!$A$1:$I$89,5,0)</f>
        <v>2.3942448024172339E-13</v>
      </c>
      <c r="P135" s="13">
        <f t="shared" si="141"/>
        <v>3.2492669905861755E-12</v>
      </c>
      <c r="Q135" s="20">
        <f t="shared" si="108"/>
        <v>6.0761376450252573E-12</v>
      </c>
      <c r="R135" s="59">
        <f t="shared" si="109"/>
        <v>293.3333333333394</v>
      </c>
      <c r="S135" s="59">
        <f ca="1">AVERAGE(OFFSET($R$3,0,0,'Données projet'!$E$9+1,1))-AVERAGE(OFFSET($H$3,0,0,'Données projet'!$E$9+1,1))</f>
        <v>231.91408074258248</v>
      </c>
      <c r="T135" s="59">
        <f t="shared" si="142"/>
        <v>143.57726487417773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1.9292354552735186E-13</v>
      </c>
      <c r="AC135" s="22">
        <f t="shared" si="111"/>
        <v>1.9292354552735186E-13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2.8421709430404007E-13</v>
      </c>
      <c r="AJ135" s="13">
        <f>AI135*VLOOKUP('Données projet'!$B$10,Paramètres!$A$1:$I$89,3,0)*VLOOKUP('Données projet'!$B$10,Paramètres!$A$1:$I$89,5,0)</f>
        <v>2.5715962692629546E-13</v>
      </c>
      <c r="AK135" s="13">
        <f t="shared" si="143"/>
        <v>3.4610450122128953E-12</v>
      </c>
      <c r="AL135" s="20">
        <f t="shared" si="112"/>
        <v>6.4758730798340893E-12</v>
      </c>
      <c r="AM135" s="59">
        <f t="shared" si="113"/>
        <v>293.33333333333979</v>
      </c>
      <c r="AN135" s="59">
        <f ca="1">AVERAGE(OFFSET($AM$3,0,0,'Données projet'!$E$10+1,1))-AVERAGE(OFFSET($H$3,0,0,'Données projet'!$E$10+1,1))</f>
        <v>253.16772905022714</v>
      </c>
      <c r="AO135" s="59">
        <f t="shared" si="144"/>
        <v>156.67965022779907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2.0721417852937795E-13</v>
      </c>
      <c r="AX135" s="21">
        <f t="shared" si="114"/>
        <v>2.0721417852937795E-13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-2.8421709430404007E-14</v>
      </c>
      <c r="BE135" s="13">
        <f>BD135*VLOOKUP('Données projet'!$B$11,Paramètres!$A$1:$I$89,3,0)*VLOOKUP('Données projet'!$B$11,Paramètres!$A$1:$I$89,5,0)</f>
        <v>-1.6996182239381599E-14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119.24399403036387</v>
      </c>
      <c r="BJ135" s="59">
        <f t="shared" si="146"/>
        <v>119.60076838354843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4.4397526880956174E-16</v>
      </c>
      <c r="BS135" s="22">
        <f t="shared" si="117"/>
        <v>4.4397526880956174E-16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5.6843418860808015E-14</v>
      </c>
      <c r="BZ135" s="13">
        <f>BY135*VLOOKUP('Données projet'!$B$12,Paramètres!$A$1:$I$89,3,0)*VLOOKUP('Données projet'!$B$12,Paramètres!$A$1:$I$89,5,0)</f>
        <v>5.4978954722173515E-14</v>
      </c>
      <c r="CA135" s="13">
        <f t="shared" si="147"/>
        <v>8.8550225887742724E-13</v>
      </c>
      <c r="CB135" s="20">
        <f t="shared" si="118"/>
        <v>1.6380047803526383E-12</v>
      </c>
      <c r="CC135" s="59">
        <f t="shared" si="119"/>
        <v>293.33333333333496</v>
      </c>
      <c r="CD135" s="59">
        <f ca="1">AVERAGE(OFFSET($CC$3,0,0,'Données projet'!$E$12+1,1))-AVERAGE(OFFSET($H$3,0,0,'Données projet'!$E$12+1,1))</f>
        <v>135.95692658150551</v>
      </c>
      <c r="CE135" s="59">
        <f t="shared" si="148"/>
        <v>79.394119001888612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54.02348628358353</v>
      </c>
      <c r="CL135" s="21">
        <f>EXP(-LN(2)/25)*CL134+(1-EXP(-LN(2)/25))/(LN(2)/25)*Calculateur!CG135*Calculateur!CI135*VLOOKUP('Données projet'!$B$12,Paramètres!$A$1:$I$89,3,0)*0.475*44/12</f>
        <v>0.94061458765058947</v>
      </c>
      <c r="CM135" s="21">
        <f>EXP(-LN(2)/2)*CM134+(1-EXP(-LN(2)/2))/(LN(2)/2)*CG135*CJ135*VLOOKUP('Données projet'!$B$12,Paramètres!$A$1:$I$89,3,0)*0.475*44/12</f>
        <v>4.7416134486507021E-2</v>
      </c>
      <c r="CN135" s="22">
        <f t="shared" si="120"/>
        <v>55.01151700572062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5.6843418860808015E-14</v>
      </c>
      <c r="CU135" s="17">
        <f>CT135*VLOOKUP('Données projet'!$B$13,Paramètres!$A$1:$I$89,3,0)*VLOOKUP('Données projet'!$B$13,Paramètres!$A$1:$I$89,5,0)</f>
        <v>6.1186256061773749E-14</v>
      </c>
      <c r="CV135" s="13">
        <f t="shared" si="149"/>
        <v>9.7328366192051127E-13</v>
      </c>
      <c r="CW135" s="20">
        <f t="shared" si="121"/>
        <v>1.8017017738191463E-12</v>
      </c>
      <c r="CX135" s="59">
        <f t="shared" si="122"/>
        <v>293.33333333333513</v>
      </c>
      <c r="CY135" s="59">
        <f ca="1">AVERAGE(OFFSET($CX$3,0,0,'Données projet'!$E$13+1,1))-AVERAGE(OFFSET($H$3,0,0,'Données projet'!$E$13+1,1))</f>
        <v>158.74837032815333</v>
      </c>
      <c r="CZ135" s="59">
        <f t="shared" si="150"/>
        <v>92.286636088270086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60.12291215431069</v>
      </c>
      <c r="DG135" s="21">
        <f>EXP(-LN(2)/25)*DG134+(1-EXP(-LN(2)/25))/(LN(2)/25)*Calculateur!DB135*Calculateur!DD135*VLOOKUP('Données projet'!$B$13,Paramètres!$A$1:$I$89,3,0)*0.475*44/12</f>
        <v>1.0468130088369461</v>
      </c>
      <c r="DH135" s="21">
        <f>EXP(-LN(2)/2)*DH134+(1-EXP(-LN(2)/2))/(LN(2)/2)*DB135*DE135*VLOOKUP('Données projet'!$B$13,Paramètres!$A$1:$I$89,3,0)*0.475*44/12</f>
        <v>5.2769569025306176E-2</v>
      </c>
      <c r="DI135" s="22">
        <f t="shared" si="123"/>
        <v>61.222494732172947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2.8421709430404007E-13</v>
      </c>
      <c r="O136" s="13">
        <f>N136*VLOOKUP('Données projet'!$B$9,Paramètres!$A$1:$I$89,3,0)*VLOOKUP('Données projet'!$B$9,Paramètres!$A$1:$I$89,5,0)</f>
        <v>2.3942448024172339E-13</v>
      </c>
      <c r="P136" s="13">
        <f t="shared" si="141"/>
        <v>3.2492669905861755E-12</v>
      </c>
      <c r="Q136" s="20">
        <f t="shared" si="108"/>
        <v>6.0761376450252573E-12</v>
      </c>
      <c r="R136" s="59">
        <f t="shared" si="109"/>
        <v>293.3333333333394</v>
      </c>
      <c r="S136" s="59">
        <f ca="1">AVERAGE(OFFSET($R$3,0,0,'Données projet'!$E$9+1,1))-AVERAGE(OFFSET($H$3,0,0,'Données projet'!$E$9+1,1))</f>
        <v>231.91408074258248</v>
      </c>
      <c r="T136" s="59">
        <f t="shared" si="142"/>
        <v>143.57726487417773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1.3641754729294213E-13</v>
      </c>
      <c r="AC136" s="22">
        <f t="shared" si="111"/>
        <v>1.3641754729294213E-13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2.8421709430404007E-13</v>
      </c>
      <c r="AJ136" s="13">
        <f>AI136*VLOOKUP('Données projet'!$B$10,Paramètres!$A$1:$I$89,3,0)*VLOOKUP('Données projet'!$B$10,Paramètres!$A$1:$I$89,5,0)</f>
        <v>2.5715962692629546E-13</v>
      </c>
      <c r="AK136" s="13">
        <f t="shared" si="143"/>
        <v>3.4610450122128953E-12</v>
      </c>
      <c r="AL136" s="20">
        <f t="shared" si="112"/>
        <v>6.4758730798340893E-12</v>
      </c>
      <c r="AM136" s="59">
        <f t="shared" si="113"/>
        <v>293.33333333333979</v>
      </c>
      <c r="AN136" s="59">
        <f ca="1">AVERAGE(OFFSET($AM$3,0,0,'Données projet'!$E$10+1,1))-AVERAGE(OFFSET($H$3,0,0,'Données projet'!$E$10+1,1))</f>
        <v>253.16772905022714</v>
      </c>
      <c r="AO136" s="59">
        <f t="shared" si="144"/>
        <v>156.67965022779907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1.4652255079612304E-13</v>
      </c>
      <c r="AX136" s="21">
        <f t="shared" si="114"/>
        <v>1.4652255079612304E-13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-2.8421709430404007E-14</v>
      </c>
      <c r="BE136" s="13">
        <f>BD136*VLOOKUP('Données projet'!$B$11,Paramètres!$A$1:$I$89,3,0)*VLOOKUP('Données projet'!$B$11,Paramètres!$A$1:$I$89,5,0)</f>
        <v>-1.6996182239381599E-14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119.24399403036387</v>
      </c>
      <c r="BJ136" s="59">
        <f t="shared" si="146"/>
        <v>119.60076838354843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3.1393792325436141E-16</v>
      </c>
      <c r="BS136" s="22">
        <f t="shared" si="117"/>
        <v>3.1393792325436141E-16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5.6843418860808015E-14</v>
      </c>
      <c r="BZ136" s="13">
        <f>BY136*VLOOKUP('Données projet'!$B$12,Paramètres!$A$1:$I$89,3,0)*VLOOKUP('Données projet'!$B$12,Paramètres!$A$1:$I$89,5,0)</f>
        <v>5.4978954722173515E-14</v>
      </c>
      <c r="CA136" s="13">
        <f t="shared" si="147"/>
        <v>8.8550225887742724E-13</v>
      </c>
      <c r="CB136" s="20">
        <f t="shared" si="118"/>
        <v>1.6380047803526383E-12</v>
      </c>
      <c r="CC136" s="59">
        <f t="shared" si="119"/>
        <v>293.33333333333496</v>
      </c>
      <c r="CD136" s="59">
        <f ca="1">AVERAGE(OFFSET($CC$3,0,0,'Données projet'!$E$12+1,1))-AVERAGE(OFFSET($H$3,0,0,'Données projet'!$E$12+1,1))</f>
        <v>135.95692658150551</v>
      </c>
      <c r="CE136" s="59">
        <f t="shared" si="148"/>
        <v>79.394119001888612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52.964118668635443</v>
      </c>
      <c r="CL136" s="21">
        <f>EXP(-LN(2)/25)*CL135+(1-EXP(-LN(2)/25))/(LN(2)/25)*Calculateur!CG136*Calculateur!CI136*VLOOKUP('Données projet'!$B$12,Paramètres!$A$1:$I$89,3,0)*0.475*44/12</f>
        <v>0.91489343228651276</v>
      </c>
      <c r="CM136" s="21">
        <f>EXP(-LN(2)/2)*CM135+(1-EXP(-LN(2)/2))/(LN(2)/2)*CG136*CJ136*VLOOKUP('Données projet'!$B$12,Paramètres!$A$1:$I$89,3,0)*0.475*44/12</f>
        <v>3.3528270233062429E-2</v>
      </c>
      <c r="CN136" s="22">
        <f t="shared" si="120"/>
        <v>53.912540371155018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5.6843418860808015E-14</v>
      </c>
      <c r="CU136" s="17">
        <f>CT136*VLOOKUP('Données projet'!$B$13,Paramètres!$A$1:$I$89,3,0)*VLOOKUP('Données projet'!$B$13,Paramètres!$A$1:$I$89,5,0)</f>
        <v>6.1186256061773749E-14</v>
      </c>
      <c r="CV136" s="13">
        <f t="shared" si="149"/>
        <v>9.7328366192051127E-13</v>
      </c>
      <c r="CW136" s="20">
        <f t="shared" si="121"/>
        <v>1.8017017738191463E-12</v>
      </c>
      <c r="CX136" s="59">
        <f t="shared" si="122"/>
        <v>293.33333333333513</v>
      </c>
      <c r="CY136" s="59">
        <f ca="1">AVERAGE(OFFSET($CX$3,0,0,'Données projet'!$E$13+1,1))-AVERAGE(OFFSET($H$3,0,0,'Données projet'!$E$13+1,1))</f>
        <v>158.74837032815333</v>
      </c>
      <c r="CZ136" s="59">
        <f t="shared" si="150"/>
        <v>92.286636088270086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58.943938518320074</v>
      </c>
      <c r="DG136" s="21">
        <f>EXP(-LN(2)/25)*DG135+(1-EXP(-LN(2)/25))/(LN(2)/25)*Calculateur!DB136*Calculateur!DD136*VLOOKUP('Données projet'!$B$13,Paramètres!$A$1:$I$89,3,0)*0.475*44/12</f>
        <v>1.0181878520607961</v>
      </c>
      <c r="DH136" s="21">
        <f>EXP(-LN(2)/2)*DH135+(1-EXP(-LN(2)/2))/(LN(2)/2)*DB136*DE136*VLOOKUP('Données projet'!$B$13,Paramètres!$A$1:$I$89,3,0)*0.475*44/12</f>
        <v>3.731372009808559E-2</v>
      </c>
      <c r="DI136" s="22">
        <f t="shared" si="123"/>
        <v>59.999440090478956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2.8421709430404007E-13</v>
      </c>
      <c r="O137" s="13">
        <f>N137*VLOOKUP('Données projet'!$B$9,Paramètres!$A$1:$I$89,3,0)*VLOOKUP('Données projet'!$B$9,Paramètres!$A$1:$I$89,5,0)</f>
        <v>2.3942448024172339E-13</v>
      </c>
      <c r="P137" s="13">
        <f t="shared" si="141"/>
        <v>3.2492669905861755E-12</v>
      </c>
      <c r="Q137" s="20">
        <f t="shared" si="108"/>
        <v>6.0761376450252573E-12</v>
      </c>
      <c r="R137" s="59">
        <f t="shared" si="109"/>
        <v>293.3333333333394</v>
      </c>
      <c r="S137" s="59">
        <f ca="1">AVERAGE(OFFSET($R$3,0,0,'Données projet'!$E$9+1,1))-AVERAGE(OFFSET($H$3,0,0,'Données projet'!$E$9+1,1))</f>
        <v>231.91408074258248</v>
      </c>
      <c r="T137" s="59">
        <f t="shared" si="142"/>
        <v>143.57726487417773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9.646177276367593E-14</v>
      </c>
      <c r="AC137" s="22">
        <f t="shared" si="111"/>
        <v>9.646177276367593E-14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2.8421709430404007E-13</v>
      </c>
      <c r="AJ137" s="13">
        <f>AI137*VLOOKUP('Données projet'!$B$10,Paramètres!$A$1:$I$89,3,0)*VLOOKUP('Données projet'!$B$10,Paramètres!$A$1:$I$89,5,0)</f>
        <v>2.5715962692629546E-13</v>
      </c>
      <c r="AK137" s="13">
        <f t="shared" si="143"/>
        <v>3.4610450122128953E-12</v>
      </c>
      <c r="AL137" s="20">
        <f t="shared" si="112"/>
        <v>6.4758730798340893E-12</v>
      </c>
      <c r="AM137" s="59">
        <f t="shared" si="113"/>
        <v>293.33333333333979</v>
      </c>
      <c r="AN137" s="59">
        <f ca="1">AVERAGE(OFFSET($AM$3,0,0,'Données projet'!$E$10+1,1))-AVERAGE(OFFSET($H$3,0,0,'Données projet'!$E$10+1,1))</f>
        <v>253.16772905022714</v>
      </c>
      <c r="AO137" s="59">
        <f t="shared" si="144"/>
        <v>156.67965022779907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1.0360708926468897E-13</v>
      </c>
      <c r="AX137" s="21">
        <f t="shared" si="114"/>
        <v>1.0360708926468897E-13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-2.8421709430404007E-14</v>
      </c>
      <c r="BE137" s="13">
        <f>BD137*VLOOKUP('Données projet'!$B$11,Paramètres!$A$1:$I$89,3,0)*VLOOKUP('Données projet'!$B$11,Paramètres!$A$1:$I$89,5,0)</f>
        <v>-1.6996182239381599E-14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119.24399403036387</v>
      </c>
      <c r="BJ137" s="59">
        <f t="shared" si="146"/>
        <v>119.60076838354843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2.219876344047809E-16</v>
      </c>
      <c r="BS137" s="22">
        <f t="shared" si="117"/>
        <v>2.219876344047809E-16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5.6843418860808015E-14</v>
      </c>
      <c r="BZ137" s="13">
        <f>BY137*VLOOKUP('Données projet'!$B$12,Paramètres!$A$1:$I$89,3,0)*VLOOKUP('Données projet'!$B$12,Paramètres!$A$1:$I$89,5,0)</f>
        <v>5.4978954722173515E-14</v>
      </c>
      <c r="CA137" s="13">
        <f t="shared" si="147"/>
        <v>8.8550225887742724E-13</v>
      </c>
      <c r="CB137" s="20">
        <f t="shared" si="118"/>
        <v>1.6380047803526383E-12</v>
      </c>
      <c r="CC137" s="59">
        <f t="shared" si="119"/>
        <v>293.33333333333496</v>
      </c>
      <c r="CD137" s="59">
        <f ca="1">AVERAGE(OFFSET($CC$3,0,0,'Données projet'!$E$12+1,1))-AVERAGE(OFFSET($H$3,0,0,'Données projet'!$E$12+1,1))</f>
        <v>135.95692658150551</v>
      </c>
      <c r="CE137" s="59">
        <f t="shared" si="148"/>
        <v>79.394119001888612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51.925524606466041</v>
      </c>
      <c r="CL137" s="21">
        <f>EXP(-LN(2)/25)*CL136+(1-EXP(-LN(2)/25))/(LN(2)/25)*Calculateur!CG137*Calculateur!CI137*VLOOKUP('Données projet'!$B$12,Paramètres!$A$1:$I$89,3,0)*0.475*44/12</f>
        <v>0.88987562326848346</v>
      </c>
      <c r="CM137" s="21">
        <f>EXP(-LN(2)/2)*CM136+(1-EXP(-LN(2)/2))/(LN(2)/2)*CG137*CJ137*VLOOKUP('Données projet'!$B$12,Paramètres!$A$1:$I$89,3,0)*0.475*44/12</f>
        <v>2.370806724325351E-2</v>
      </c>
      <c r="CN137" s="22">
        <f t="shared" si="120"/>
        <v>52.839108296977777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5.6843418860808015E-14</v>
      </c>
      <c r="CU137" s="17">
        <f>CT137*VLOOKUP('Données projet'!$B$13,Paramètres!$A$1:$I$89,3,0)*VLOOKUP('Données projet'!$B$13,Paramètres!$A$1:$I$89,5,0)</f>
        <v>6.1186256061773749E-14</v>
      </c>
      <c r="CV137" s="13">
        <f t="shared" si="149"/>
        <v>9.7328366192051127E-13</v>
      </c>
      <c r="CW137" s="20">
        <f t="shared" si="121"/>
        <v>1.8017017738191463E-12</v>
      </c>
      <c r="CX137" s="59">
        <f t="shared" si="122"/>
        <v>293.33333333333513</v>
      </c>
      <c r="CY137" s="59">
        <f ca="1">AVERAGE(OFFSET($CX$3,0,0,'Données projet'!$E$13+1,1))-AVERAGE(OFFSET($H$3,0,0,'Données projet'!$E$13+1,1))</f>
        <v>158.74837032815333</v>
      </c>
      <c r="CZ137" s="59">
        <f t="shared" si="150"/>
        <v>92.286636088270086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57.788083836228324</v>
      </c>
      <c r="DG137" s="21">
        <f>EXP(-LN(2)/25)*DG136+(1-EXP(-LN(2)/25))/(LN(2)/25)*Calculateur!DB137*Calculateur!DD137*VLOOKUP('Données projet'!$B$13,Paramètres!$A$1:$I$89,3,0)*0.475*44/12</f>
        <v>0.9903454517020216</v>
      </c>
      <c r="DH137" s="21">
        <f>EXP(-LN(2)/2)*DH136+(1-EXP(-LN(2)/2))/(LN(2)/2)*DB137*DE137*VLOOKUP('Données projet'!$B$13,Paramètres!$A$1:$I$89,3,0)*0.475*44/12</f>
        <v>2.6384784512653088E-2</v>
      </c>
      <c r="DI137" s="22">
        <f t="shared" si="123"/>
        <v>58.804814072442994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2.8421709430404007E-13</v>
      </c>
      <c r="O138" s="13">
        <f>N138*VLOOKUP('Données projet'!$B$9,Paramètres!$A$1:$I$89,3,0)*VLOOKUP('Données projet'!$B$9,Paramètres!$A$1:$I$89,5,0)</f>
        <v>2.3942448024172339E-13</v>
      </c>
      <c r="P138" s="13">
        <f t="shared" si="141"/>
        <v>3.2492669905861755E-12</v>
      </c>
      <c r="Q138" s="20">
        <f t="shared" si="108"/>
        <v>6.0761376450252573E-12</v>
      </c>
      <c r="R138" s="59">
        <f t="shared" si="109"/>
        <v>293.3333333333394</v>
      </c>
      <c r="S138" s="59">
        <f ca="1">AVERAGE(OFFSET($R$3,0,0,'Données projet'!$E$9+1,1))-AVERAGE(OFFSET($H$3,0,0,'Données projet'!$E$9+1,1))</f>
        <v>231.91408074258248</v>
      </c>
      <c r="T138" s="59">
        <f t="shared" si="142"/>
        <v>143.57726487417773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6.8208773646471064E-14</v>
      </c>
      <c r="AC138" s="22">
        <f t="shared" si="111"/>
        <v>6.8208773646471064E-14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2.8421709430404007E-13</v>
      </c>
      <c r="AJ138" s="13">
        <f>AI138*VLOOKUP('Données projet'!$B$10,Paramètres!$A$1:$I$89,3,0)*VLOOKUP('Données projet'!$B$10,Paramètres!$A$1:$I$89,5,0)</f>
        <v>2.5715962692629546E-13</v>
      </c>
      <c r="AK138" s="13">
        <f t="shared" si="143"/>
        <v>3.4610450122128953E-12</v>
      </c>
      <c r="AL138" s="20">
        <f t="shared" si="112"/>
        <v>6.4758730798340893E-12</v>
      </c>
      <c r="AM138" s="59">
        <f t="shared" si="113"/>
        <v>293.33333333333979</v>
      </c>
      <c r="AN138" s="59">
        <f ca="1">AVERAGE(OFFSET($AM$3,0,0,'Données projet'!$E$10+1,1))-AVERAGE(OFFSET($H$3,0,0,'Données projet'!$E$10+1,1))</f>
        <v>253.16772905022714</v>
      </c>
      <c r="AO138" s="59">
        <f t="shared" si="144"/>
        <v>156.67965022779907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7.3261275398061522E-14</v>
      </c>
      <c r="AX138" s="21">
        <f t="shared" si="114"/>
        <v>7.3261275398061522E-14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-2.8421709430404007E-14</v>
      </c>
      <c r="BE138" s="13">
        <f>BD138*VLOOKUP('Données projet'!$B$11,Paramètres!$A$1:$I$89,3,0)*VLOOKUP('Données projet'!$B$11,Paramètres!$A$1:$I$89,5,0)</f>
        <v>-1.6996182239381599E-14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119.24399403036387</v>
      </c>
      <c r="BJ138" s="59">
        <f t="shared" si="146"/>
        <v>119.60076838354843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1.5696896162718073E-16</v>
      </c>
      <c r="BS138" s="22">
        <f t="shared" si="117"/>
        <v>1.5696896162718073E-16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5.6843418860808015E-14</v>
      </c>
      <c r="BZ138" s="13">
        <f>BY138*VLOOKUP('Données projet'!$B$12,Paramètres!$A$1:$I$89,3,0)*VLOOKUP('Données projet'!$B$12,Paramètres!$A$1:$I$89,5,0)</f>
        <v>5.4978954722173515E-14</v>
      </c>
      <c r="CA138" s="13">
        <f t="shared" si="147"/>
        <v>8.8550225887742724E-13</v>
      </c>
      <c r="CB138" s="20">
        <f t="shared" si="118"/>
        <v>1.6380047803526383E-12</v>
      </c>
      <c r="CC138" s="59">
        <f t="shared" si="119"/>
        <v>293.33333333333496</v>
      </c>
      <c r="CD138" s="59">
        <f ca="1">AVERAGE(OFFSET($CC$3,0,0,'Données projet'!$E$12+1,1))-AVERAGE(OFFSET($H$3,0,0,'Données projet'!$E$12+1,1))</f>
        <v>135.95692658150551</v>
      </c>
      <c r="CE138" s="59">
        <f t="shared" si="148"/>
        <v>79.394119001888612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50.907296740375955</v>
      </c>
      <c r="CL138" s="21">
        <f>EXP(-LN(2)/25)*CL137+(1-EXP(-LN(2)/25))/(LN(2)/25)*Calculateur!CG138*Calculateur!CI138*VLOOKUP('Données projet'!$B$12,Paramètres!$A$1:$I$89,3,0)*0.475*44/12</f>
        <v>0.86554192755368164</v>
      </c>
      <c r="CM138" s="21">
        <f>EXP(-LN(2)/2)*CM137+(1-EXP(-LN(2)/2))/(LN(2)/2)*CG138*CJ138*VLOOKUP('Données projet'!$B$12,Paramètres!$A$1:$I$89,3,0)*0.475*44/12</f>
        <v>1.6764135116531215E-2</v>
      </c>
      <c r="CN138" s="22">
        <f t="shared" si="120"/>
        <v>51.789602803046165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5.6843418860808015E-14</v>
      </c>
      <c r="CU138" s="17">
        <f>CT138*VLOOKUP('Données projet'!$B$13,Paramètres!$A$1:$I$89,3,0)*VLOOKUP('Données projet'!$B$13,Paramètres!$A$1:$I$89,5,0)</f>
        <v>6.1186256061773749E-14</v>
      </c>
      <c r="CV138" s="13">
        <f t="shared" si="149"/>
        <v>9.7328366192051127E-13</v>
      </c>
      <c r="CW138" s="20">
        <f t="shared" si="121"/>
        <v>1.8017017738191463E-12</v>
      </c>
      <c r="CX138" s="59">
        <f t="shared" si="122"/>
        <v>293.33333333333513</v>
      </c>
      <c r="CY138" s="59">
        <f ca="1">AVERAGE(OFFSET($CX$3,0,0,'Données projet'!$E$13+1,1))-AVERAGE(OFFSET($H$3,0,0,'Données projet'!$E$13+1,1))</f>
        <v>158.74837032815333</v>
      </c>
      <c r="CZ138" s="59">
        <f t="shared" si="150"/>
        <v>92.286636088270086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56.654894759450649</v>
      </c>
      <c r="DG138" s="21">
        <f>EXP(-LN(2)/25)*DG137+(1-EXP(-LN(2)/25))/(LN(2)/25)*Calculateur!DB138*Calculateur!DD138*VLOOKUP('Données projet'!$B$13,Paramètres!$A$1:$I$89,3,0)*0.475*44/12</f>
        <v>0.963264403245226</v>
      </c>
      <c r="DH138" s="21">
        <f>EXP(-LN(2)/2)*DH137+(1-EXP(-LN(2)/2))/(LN(2)/2)*DB138*DE138*VLOOKUP('Données projet'!$B$13,Paramètres!$A$1:$I$89,3,0)*0.475*44/12</f>
        <v>1.8656860049042795E-2</v>
      </c>
      <c r="DI138" s="22">
        <f t="shared" si="123"/>
        <v>57.636816022744917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2.8421709430404007E-13</v>
      </c>
      <c r="O139" s="13">
        <f>N139*VLOOKUP('Données projet'!$B$9,Paramètres!$A$1:$I$89,3,0)*VLOOKUP('Données projet'!$B$9,Paramètres!$A$1:$I$89,5,0)</f>
        <v>2.3942448024172339E-13</v>
      </c>
      <c r="P139" s="13">
        <f t="shared" si="141"/>
        <v>3.2492669905861755E-12</v>
      </c>
      <c r="Q139" s="20">
        <f t="shared" si="108"/>
        <v>6.0761376450252573E-12</v>
      </c>
      <c r="R139" s="59">
        <f t="shared" si="109"/>
        <v>293.3333333333394</v>
      </c>
      <c r="S139" s="59">
        <f ca="1">AVERAGE(OFFSET($R$3,0,0,'Données projet'!$E$9+1,1))-AVERAGE(OFFSET($H$3,0,0,'Données projet'!$E$9+1,1))</f>
        <v>231.91408074258248</v>
      </c>
      <c r="T139" s="59">
        <f t="shared" si="142"/>
        <v>143.57726487417773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4.8230886381837965E-14</v>
      </c>
      <c r="AC139" s="22">
        <f t="shared" si="111"/>
        <v>4.8230886381837965E-14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2.8421709430404007E-13</v>
      </c>
      <c r="AJ139" s="13">
        <f>AI139*VLOOKUP('Données projet'!$B$10,Paramètres!$A$1:$I$89,3,0)*VLOOKUP('Données projet'!$B$10,Paramètres!$A$1:$I$89,5,0)</f>
        <v>2.5715962692629546E-13</v>
      </c>
      <c r="AK139" s="13">
        <f t="shared" si="143"/>
        <v>3.4610450122128953E-12</v>
      </c>
      <c r="AL139" s="20">
        <f t="shared" si="112"/>
        <v>6.4758730798340893E-12</v>
      </c>
      <c r="AM139" s="59">
        <f t="shared" si="113"/>
        <v>293.33333333333979</v>
      </c>
      <c r="AN139" s="59">
        <f ca="1">AVERAGE(OFFSET($AM$3,0,0,'Données projet'!$E$10+1,1))-AVERAGE(OFFSET($H$3,0,0,'Données projet'!$E$10+1,1))</f>
        <v>253.16772905022714</v>
      </c>
      <c r="AO139" s="59">
        <f t="shared" si="144"/>
        <v>156.67965022779907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5.1803544632344487E-14</v>
      </c>
      <c r="AX139" s="21">
        <f t="shared" si="114"/>
        <v>5.1803544632344487E-14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-2.8421709430404007E-14</v>
      </c>
      <c r="BE139" s="13">
        <f>BD139*VLOOKUP('Données projet'!$B$11,Paramètres!$A$1:$I$89,3,0)*VLOOKUP('Données projet'!$B$11,Paramètres!$A$1:$I$89,5,0)</f>
        <v>-1.6996182239381599E-14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119.24399403036387</v>
      </c>
      <c r="BJ139" s="59">
        <f t="shared" si="146"/>
        <v>119.60076838354843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1.1099381720239047E-16</v>
      </c>
      <c r="BS139" s="22">
        <f t="shared" si="117"/>
        <v>1.1099381720239047E-16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5.6843418860808015E-14</v>
      </c>
      <c r="BZ139" s="13">
        <f>BY139*VLOOKUP('Données projet'!$B$12,Paramètres!$A$1:$I$89,3,0)*VLOOKUP('Données projet'!$B$12,Paramètres!$A$1:$I$89,5,0)</f>
        <v>5.4978954722173515E-14</v>
      </c>
      <c r="CA139" s="13">
        <f t="shared" si="147"/>
        <v>8.8550225887742724E-13</v>
      </c>
      <c r="CB139" s="20">
        <f t="shared" si="118"/>
        <v>1.6380047803526383E-12</v>
      </c>
      <c r="CC139" s="59">
        <f t="shared" si="119"/>
        <v>293.33333333333496</v>
      </c>
      <c r="CD139" s="59">
        <f ca="1">AVERAGE(OFFSET($CC$3,0,0,'Données projet'!$E$12+1,1))-AVERAGE(OFFSET($H$3,0,0,'Données projet'!$E$12+1,1))</f>
        <v>135.95692658150551</v>
      </c>
      <c r="CE139" s="59">
        <f t="shared" si="148"/>
        <v>79.394119001888612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49.909035701682221</v>
      </c>
      <c r="CL139" s="21">
        <f>EXP(-LN(2)/25)*CL138+(1-EXP(-LN(2)/25))/(LN(2)/25)*Calculateur!CG139*Calculateur!CI139*VLOOKUP('Données projet'!$B$12,Paramètres!$A$1:$I$89,3,0)*0.475*44/12</f>
        <v>0.84187363802785442</v>
      </c>
      <c r="CM139" s="21">
        <f>EXP(-LN(2)/2)*CM138+(1-EXP(-LN(2)/2))/(LN(2)/2)*CG139*CJ139*VLOOKUP('Données projet'!$B$12,Paramètres!$A$1:$I$89,3,0)*0.475*44/12</f>
        <v>1.1854033621626755E-2</v>
      </c>
      <c r="CN139" s="22">
        <f t="shared" si="120"/>
        <v>50.762763373331701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5.6843418860808015E-14</v>
      </c>
      <c r="CU139" s="17">
        <f>CT139*VLOOKUP('Données projet'!$B$13,Paramètres!$A$1:$I$89,3,0)*VLOOKUP('Données projet'!$B$13,Paramètres!$A$1:$I$89,5,0)</f>
        <v>6.1186256061773749E-14</v>
      </c>
      <c r="CV139" s="13">
        <f t="shared" si="149"/>
        <v>9.7328366192051127E-13</v>
      </c>
      <c r="CW139" s="20">
        <f t="shared" si="121"/>
        <v>1.8017017738191463E-12</v>
      </c>
      <c r="CX139" s="59">
        <f t="shared" si="122"/>
        <v>293.33333333333513</v>
      </c>
      <c r="CY139" s="59">
        <f ca="1">AVERAGE(OFFSET($CX$3,0,0,'Données projet'!$E$13+1,1))-AVERAGE(OFFSET($H$3,0,0,'Données projet'!$E$13+1,1))</f>
        <v>158.74837032815333</v>
      </c>
      <c r="CZ139" s="59">
        <f t="shared" si="150"/>
        <v>92.286636088270086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55.543926829291493</v>
      </c>
      <c r="DG139" s="21">
        <f>EXP(-LN(2)/25)*DG138+(1-EXP(-LN(2)/25))/(LN(2)/25)*Calculateur!DB139*Calculateur!DD139*VLOOKUP('Données projet'!$B$13,Paramètres!$A$1:$I$89,3,0)*0.475*44/12</f>
        <v>0.93692388748261191</v>
      </c>
      <c r="DH139" s="21">
        <f>EXP(-LN(2)/2)*DH138+(1-EXP(-LN(2)/2))/(LN(2)/2)*DB139*DE139*VLOOKUP('Données projet'!$B$13,Paramètres!$A$1:$I$89,3,0)*0.475*44/12</f>
        <v>1.3192392256326544E-2</v>
      </c>
      <c r="DI139" s="22">
        <f t="shared" si="123"/>
        <v>56.494043109030436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2.8421709430404007E-13</v>
      </c>
      <c r="O140" s="13">
        <f>N140*VLOOKUP('Données projet'!$B$9,Paramètres!$A$1:$I$89,3,0)*VLOOKUP('Données projet'!$B$9,Paramètres!$A$1:$I$89,5,0)</f>
        <v>2.3942448024172339E-13</v>
      </c>
      <c r="P140" s="13">
        <f t="shared" si="141"/>
        <v>3.2492669905861755E-12</v>
      </c>
      <c r="Q140" s="20">
        <f t="shared" si="108"/>
        <v>6.0761376450252573E-12</v>
      </c>
      <c r="R140" s="59">
        <f t="shared" si="109"/>
        <v>293.3333333333394</v>
      </c>
      <c r="S140" s="59">
        <f ca="1">AVERAGE(OFFSET($R$3,0,0,'Données projet'!$E$9+1,1))-AVERAGE(OFFSET($H$3,0,0,'Données projet'!$E$9+1,1))</f>
        <v>231.91408074258248</v>
      </c>
      <c r="T140" s="59">
        <f t="shared" si="142"/>
        <v>143.57726487417773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3.4104386823235532E-14</v>
      </c>
      <c r="AC140" s="22">
        <f t="shared" si="111"/>
        <v>3.4104386823235532E-14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2.8421709430404007E-13</v>
      </c>
      <c r="AJ140" s="13">
        <f>AI140*VLOOKUP('Données projet'!$B$10,Paramètres!$A$1:$I$89,3,0)*VLOOKUP('Données projet'!$B$10,Paramètres!$A$1:$I$89,5,0)</f>
        <v>2.5715962692629546E-13</v>
      </c>
      <c r="AK140" s="13">
        <f t="shared" si="143"/>
        <v>3.4610450122128953E-12</v>
      </c>
      <c r="AL140" s="20">
        <f t="shared" si="112"/>
        <v>6.4758730798340893E-12</v>
      </c>
      <c r="AM140" s="59">
        <f t="shared" si="113"/>
        <v>293.33333333333979</v>
      </c>
      <c r="AN140" s="59">
        <f ca="1">AVERAGE(OFFSET($AM$3,0,0,'Données projet'!$E$10+1,1))-AVERAGE(OFFSET($H$3,0,0,'Données projet'!$E$10+1,1))</f>
        <v>253.16772905022714</v>
      </c>
      <c r="AO140" s="59">
        <f t="shared" si="144"/>
        <v>156.67965022779907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3.6630637699030761E-14</v>
      </c>
      <c r="AX140" s="21">
        <f t="shared" si="114"/>
        <v>3.6630637699030761E-14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-2.8421709430404007E-14</v>
      </c>
      <c r="BE140" s="13">
        <f>BD140*VLOOKUP('Données projet'!$B$11,Paramètres!$A$1:$I$89,3,0)*VLOOKUP('Données projet'!$B$11,Paramètres!$A$1:$I$89,5,0)</f>
        <v>-1.6996182239381599E-14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119.24399403036387</v>
      </c>
      <c r="BJ140" s="59">
        <f t="shared" si="146"/>
        <v>119.60076838354843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7.8484480813590378E-17</v>
      </c>
      <c r="BS140" s="22">
        <f t="shared" si="117"/>
        <v>7.8484480813590378E-17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5.6843418860808015E-14</v>
      </c>
      <c r="BZ140" s="13">
        <f>BY140*VLOOKUP('Données projet'!$B$12,Paramètres!$A$1:$I$89,3,0)*VLOOKUP('Données projet'!$B$12,Paramètres!$A$1:$I$89,5,0)</f>
        <v>5.4978954722173515E-14</v>
      </c>
      <c r="CA140" s="13">
        <f t="shared" si="147"/>
        <v>8.8550225887742724E-13</v>
      </c>
      <c r="CB140" s="20">
        <f t="shared" si="118"/>
        <v>1.6380047803526383E-12</v>
      </c>
      <c r="CC140" s="59">
        <f t="shared" si="119"/>
        <v>293.33333333333496</v>
      </c>
      <c r="CD140" s="59">
        <f ca="1">AVERAGE(OFFSET($CC$3,0,0,'Données projet'!$E$12+1,1))-AVERAGE(OFFSET($H$3,0,0,'Données projet'!$E$12+1,1))</f>
        <v>135.95692658150551</v>
      </c>
      <c r="CE140" s="59">
        <f t="shared" si="148"/>
        <v>79.394119001888612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48.930349953078164</v>
      </c>
      <c r="CL140" s="21">
        <f>EXP(-LN(2)/25)*CL139+(1-EXP(-LN(2)/25))/(LN(2)/25)*Calculateur!CG140*Calculateur!CI140*VLOOKUP('Données projet'!$B$12,Paramètres!$A$1:$I$89,3,0)*0.475*44/12</f>
        <v>0.81885255912377219</v>
      </c>
      <c r="CM140" s="21">
        <f>EXP(-LN(2)/2)*CM139+(1-EXP(-LN(2)/2))/(LN(2)/2)*CG140*CJ140*VLOOKUP('Données projet'!$B$12,Paramètres!$A$1:$I$89,3,0)*0.475*44/12</f>
        <v>8.3820675582656073E-3</v>
      </c>
      <c r="CN140" s="22">
        <f t="shared" si="120"/>
        <v>49.757584579760199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5.6843418860808015E-14</v>
      </c>
      <c r="CU140" s="17">
        <f>CT140*VLOOKUP('Données projet'!$B$13,Paramètres!$A$1:$I$89,3,0)*VLOOKUP('Données projet'!$B$13,Paramètres!$A$1:$I$89,5,0)</f>
        <v>6.1186256061773749E-14</v>
      </c>
      <c r="CV140" s="13">
        <f t="shared" si="149"/>
        <v>9.7328366192051127E-13</v>
      </c>
      <c r="CW140" s="20">
        <f t="shared" si="121"/>
        <v>1.8017017738191463E-12</v>
      </c>
      <c r="CX140" s="59">
        <f t="shared" si="122"/>
        <v>293.33333333333513</v>
      </c>
      <c r="CY140" s="59">
        <f ca="1">AVERAGE(OFFSET($CX$3,0,0,'Données projet'!$E$13+1,1))-AVERAGE(OFFSET($H$3,0,0,'Données projet'!$E$13+1,1))</f>
        <v>158.74837032815333</v>
      </c>
      <c r="CZ140" s="59">
        <f t="shared" si="150"/>
        <v>92.286636088270086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54.454744302619233</v>
      </c>
      <c r="DG140" s="21">
        <f>EXP(-LN(2)/25)*DG139+(1-EXP(-LN(2)/25))/(LN(2)/25)*Calculateur!DB140*Calculateur!DD140*VLOOKUP('Données projet'!$B$13,Paramètres!$A$1:$I$89,3,0)*0.475*44/12</f>
        <v>0.91130365450871398</v>
      </c>
      <c r="DH140" s="21">
        <f>EXP(-LN(2)/2)*DH139+(1-EXP(-LN(2)/2))/(LN(2)/2)*DB140*DE140*VLOOKUP('Données projet'!$B$13,Paramètres!$A$1:$I$89,3,0)*0.475*44/12</f>
        <v>9.3284300245213975E-3</v>
      </c>
      <c r="DI140" s="22">
        <f t="shared" si="123"/>
        <v>55.375376387152471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2.8421709430404007E-13</v>
      </c>
      <c r="O141" s="13">
        <f>N141*VLOOKUP('Données projet'!$B$9,Paramètres!$A$1:$I$89,3,0)*VLOOKUP('Données projet'!$B$9,Paramètres!$A$1:$I$89,5,0)</f>
        <v>2.3942448024172339E-13</v>
      </c>
      <c r="P141" s="13">
        <f t="shared" si="141"/>
        <v>3.2492669905861755E-12</v>
      </c>
      <c r="Q141" s="20">
        <f t="shared" si="108"/>
        <v>6.0761376450252573E-12</v>
      </c>
      <c r="R141" s="59">
        <f t="shared" si="109"/>
        <v>293.3333333333394</v>
      </c>
      <c r="S141" s="59">
        <f ca="1">AVERAGE(OFFSET($R$3,0,0,'Données projet'!$E$9+1,1))-AVERAGE(OFFSET($H$3,0,0,'Données projet'!$E$9+1,1))</f>
        <v>231.91408074258248</v>
      </c>
      <c r="T141" s="59">
        <f t="shared" si="142"/>
        <v>143.57726487417773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2.4115443190918983E-14</v>
      </c>
      <c r="AC141" s="22">
        <f t="shared" si="111"/>
        <v>2.4115443190918983E-14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2.8421709430404007E-13</v>
      </c>
      <c r="AJ141" s="13">
        <f>AI141*VLOOKUP('Données projet'!$B$10,Paramètres!$A$1:$I$89,3,0)*VLOOKUP('Données projet'!$B$10,Paramètres!$A$1:$I$89,5,0)</f>
        <v>2.5715962692629546E-13</v>
      </c>
      <c r="AK141" s="13">
        <f t="shared" si="143"/>
        <v>3.4610450122128953E-12</v>
      </c>
      <c r="AL141" s="20">
        <f t="shared" si="112"/>
        <v>6.4758730798340893E-12</v>
      </c>
      <c r="AM141" s="59">
        <f t="shared" si="113"/>
        <v>293.33333333333979</v>
      </c>
      <c r="AN141" s="59">
        <f ca="1">AVERAGE(OFFSET($AM$3,0,0,'Données projet'!$E$10+1,1))-AVERAGE(OFFSET($H$3,0,0,'Données projet'!$E$10+1,1))</f>
        <v>253.16772905022714</v>
      </c>
      <c r="AO141" s="59">
        <f t="shared" si="144"/>
        <v>156.67965022779907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2.5901772316172243E-14</v>
      </c>
      <c r="AX141" s="21">
        <f t="shared" si="114"/>
        <v>2.5901772316172243E-14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-2.8421709430404007E-14</v>
      </c>
      <c r="BE141" s="13">
        <f>BD141*VLOOKUP('Données projet'!$B$11,Paramètres!$A$1:$I$89,3,0)*VLOOKUP('Données projet'!$B$11,Paramètres!$A$1:$I$89,5,0)</f>
        <v>-1.6996182239381599E-14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119.24399403036387</v>
      </c>
      <c r="BJ141" s="59">
        <f t="shared" si="146"/>
        <v>119.60076838354843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5.5496908601195242E-17</v>
      </c>
      <c r="BS141" s="22">
        <f t="shared" si="117"/>
        <v>5.5496908601195242E-17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5.6843418860808015E-14</v>
      </c>
      <c r="BZ141" s="13">
        <f>BY141*VLOOKUP('Données projet'!$B$12,Paramètres!$A$1:$I$89,3,0)*VLOOKUP('Données projet'!$B$12,Paramètres!$A$1:$I$89,5,0)</f>
        <v>5.4978954722173515E-14</v>
      </c>
      <c r="CA141" s="13">
        <f t="shared" si="147"/>
        <v>8.8550225887742724E-13</v>
      </c>
      <c r="CB141" s="20">
        <f t="shared" si="118"/>
        <v>1.6380047803526383E-12</v>
      </c>
      <c r="CC141" s="59">
        <f t="shared" si="119"/>
        <v>293.33333333333496</v>
      </c>
      <c r="CD141" s="59">
        <f ca="1">AVERAGE(OFFSET($CC$3,0,0,'Données projet'!$E$12+1,1))-AVERAGE(OFFSET($H$3,0,0,'Données projet'!$E$12+1,1))</f>
        <v>135.95692658150551</v>
      </c>
      <c r="CE141" s="59">
        <f t="shared" si="148"/>
        <v>79.394119001888612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47.970855635064865</v>
      </c>
      <c r="CL141" s="21">
        <f>EXP(-LN(2)/25)*CL140+(1-EXP(-LN(2)/25))/(LN(2)/25)*Calculateur!CG141*Calculateur!CI141*VLOOKUP('Données projet'!$B$12,Paramètres!$A$1:$I$89,3,0)*0.475*44/12</f>
        <v>0.79646099283294802</v>
      </c>
      <c r="CM141" s="21">
        <f>EXP(-LN(2)/2)*CM140+(1-EXP(-LN(2)/2))/(LN(2)/2)*CG141*CJ141*VLOOKUP('Données projet'!$B$12,Paramètres!$A$1:$I$89,3,0)*0.475*44/12</f>
        <v>5.9270168108133776E-3</v>
      </c>
      <c r="CN141" s="22">
        <f t="shared" si="120"/>
        <v>48.773243644708629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5.6843418860808015E-14</v>
      </c>
      <c r="CU141" s="17">
        <f>CT141*VLOOKUP('Données projet'!$B$13,Paramètres!$A$1:$I$89,3,0)*VLOOKUP('Données projet'!$B$13,Paramètres!$A$1:$I$89,5,0)</f>
        <v>6.1186256061773749E-14</v>
      </c>
      <c r="CV141" s="13">
        <f t="shared" si="149"/>
        <v>9.7328366192051127E-13</v>
      </c>
      <c r="CW141" s="20">
        <f t="shared" si="121"/>
        <v>1.8017017738191463E-12</v>
      </c>
      <c r="CX141" s="59">
        <f t="shared" si="122"/>
        <v>293.33333333333513</v>
      </c>
      <c r="CY141" s="59">
        <f ca="1">AVERAGE(OFFSET($CX$3,0,0,'Données projet'!$E$13+1,1))-AVERAGE(OFFSET($H$3,0,0,'Données projet'!$E$13+1,1))</f>
        <v>158.74837032815333</v>
      </c>
      <c r="CZ141" s="59">
        <f t="shared" si="150"/>
        <v>92.286636088270086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53.38691998095927</v>
      </c>
      <c r="DG141" s="21">
        <f>EXP(-LN(2)/25)*DG140+(1-EXP(-LN(2)/25))/(LN(2)/25)*Calculateur!DB141*Calculateur!DD141*VLOOKUP('Données projet'!$B$13,Paramètres!$A$1:$I$89,3,0)*0.475*44/12</f>
        <v>0.88638400815279683</v>
      </c>
      <c r="DH141" s="21">
        <f>EXP(-LN(2)/2)*DH140+(1-EXP(-LN(2)/2))/(LN(2)/2)*DB141*DE141*VLOOKUP('Données projet'!$B$13,Paramètres!$A$1:$I$89,3,0)*0.475*44/12</f>
        <v>6.596196128163272E-3</v>
      </c>
      <c r="DI141" s="22">
        <f t="shared" si="123"/>
        <v>54.27990018524023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2.8421709430404007E-13</v>
      </c>
      <c r="O142" s="13">
        <f>N142*VLOOKUP('Données projet'!$B$9,Paramètres!$A$1:$I$89,3,0)*VLOOKUP('Données projet'!$B$9,Paramètres!$A$1:$I$89,5,0)</f>
        <v>2.3942448024172339E-13</v>
      </c>
      <c r="P142" s="13">
        <f t="shared" si="141"/>
        <v>3.2492669905861755E-12</v>
      </c>
      <c r="Q142" s="20">
        <f t="shared" si="108"/>
        <v>6.0761376450252573E-12</v>
      </c>
      <c r="R142" s="59">
        <f t="shared" si="109"/>
        <v>293.3333333333394</v>
      </c>
      <c r="S142" s="59">
        <f ca="1">AVERAGE(OFFSET($R$3,0,0,'Données projet'!$E$9+1,1))-AVERAGE(OFFSET($H$3,0,0,'Données projet'!$E$9+1,1))</f>
        <v>231.91408074258248</v>
      </c>
      <c r="T142" s="59">
        <f t="shared" si="142"/>
        <v>143.57726487417773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1.7052193411617766E-14</v>
      </c>
      <c r="AC142" s="22">
        <f t="shared" si="111"/>
        <v>1.7052193411617766E-14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2.8421709430404007E-13</v>
      </c>
      <c r="AJ142" s="13">
        <f>AI142*VLOOKUP('Données projet'!$B$10,Paramètres!$A$1:$I$89,3,0)*VLOOKUP('Données projet'!$B$10,Paramètres!$A$1:$I$89,5,0)</f>
        <v>2.5715962692629546E-13</v>
      </c>
      <c r="AK142" s="13">
        <f t="shared" si="143"/>
        <v>3.4610450122128953E-12</v>
      </c>
      <c r="AL142" s="20">
        <f t="shared" si="112"/>
        <v>6.4758730798340893E-12</v>
      </c>
      <c r="AM142" s="59">
        <f t="shared" si="113"/>
        <v>293.33333333333979</v>
      </c>
      <c r="AN142" s="59">
        <f ca="1">AVERAGE(OFFSET($AM$3,0,0,'Données projet'!$E$10+1,1))-AVERAGE(OFFSET($H$3,0,0,'Données projet'!$E$10+1,1))</f>
        <v>253.16772905022714</v>
      </c>
      <c r="AO142" s="59">
        <f t="shared" si="144"/>
        <v>156.67965022779907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1.831531884951538E-14</v>
      </c>
      <c r="AX142" s="21">
        <f t="shared" si="114"/>
        <v>1.831531884951538E-14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-2.8421709430404007E-14</v>
      </c>
      <c r="BE142" s="13">
        <f>BD142*VLOOKUP('Données projet'!$B$11,Paramètres!$A$1:$I$89,3,0)*VLOOKUP('Données projet'!$B$11,Paramètres!$A$1:$I$89,5,0)</f>
        <v>-1.6996182239381599E-14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119.24399403036387</v>
      </c>
      <c r="BJ142" s="59">
        <f t="shared" si="146"/>
        <v>119.60076838354843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3.9242240406795195E-17</v>
      </c>
      <c r="BS142" s="22">
        <f t="shared" si="117"/>
        <v>3.9242240406795195E-17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5.6843418860808015E-14</v>
      </c>
      <c r="BZ142" s="13">
        <f>BY142*VLOOKUP('Données projet'!$B$12,Paramètres!$A$1:$I$89,3,0)*VLOOKUP('Données projet'!$B$12,Paramètres!$A$1:$I$89,5,0)</f>
        <v>5.4978954722173515E-14</v>
      </c>
      <c r="CA142" s="13">
        <f t="shared" si="147"/>
        <v>8.8550225887742724E-13</v>
      </c>
      <c r="CB142" s="20">
        <f t="shared" si="118"/>
        <v>1.6380047803526383E-12</v>
      </c>
      <c r="CC142" s="59">
        <f t="shared" si="119"/>
        <v>293.33333333333496</v>
      </c>
      <c r="CD142" s="59">
        <f ca="1">AVERAGE(OFFSET($CC$3,0,0,'Données projet'!$E$12+1,1))-AVERAGE(OFFSET($H$3,0,0,'Données projet'!$E$12+1,1))</f>
        <v>135.95692658150551</v>
      </c>
      <c r="CE142" s="59">
        <f t="shared" si="148"/>
        <v>79.394119001888612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47.03017641539406</v>
      </c>
      <c r="CL142" s="21">
        <f>EXP(-LN(2)/25)*CL141+(1-EXP(-LN(2)/25))/(LN(2)/25)*Calculateur!CG142*Calculateur!CI142*VLOOKUP('Données projet'!$B$12,Paramètres!$A$1:$I$89,3,0)*0.475*44/12</f>
        <v>0.77468172509986777</v>
      </c>
      <c r="CM142" s="21">
        <f>EXP(-LN(2)/2)*CM141+(1-EXP(-LN(2)/2))/(LN(2)/2)*CG142*CJ142*VLOOKUP('Données projet'!$B$12,Paramètres!$A$1:$I$89,3,0)*0.475*44/12</f>
        <v>4.1910337791328037E-3</v>
      </c>
      <c r="CN142" s="22">
        <f t="shared" si="120"/>
        <v>47.809049174273056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5.6843418860808015E-14</v>
      </c>
      <c r="CU142" s="17">
        <f>CT142*VLOOKUP('Données projet'!$B$13,Paramètres!$A$1:$I$89,3,0)*VLOOKUP('Données projet'!$B$13,Paramètres!$A$1:$I$89,5,0)</f>
        <v>6.1186256061773749E-14</v>
      </c>
      <c r="CV142" s="13">
        <f t="shared" si="149"/>
        <v>9.7328366192051127E-13</v>
      </c>
      <c r="CW142" s="20">
        <f t="shared" si="121"/>
        <v>1.8017017738191463E-12</v>
      </c>
      <c r="CX142" s="59">
        <f t="shared" si="122"/>
        <v>293.33333333333513</v>
      </c>
      <c r="CY142" s="59">
        <f ca="1">AVERAGE(OFFSET($CX$3,0,0,'Données projet'!$E$13+1,1))-AVERAGE(OFFSET($H$3,0,0,'Données projet'!$E$13+1,1))</f>
        <v>158.74837032815333</v>
      </c>
      <c r="CZ142" s="59">
        <f t="shared" si="150"/>
        <v>92.286636088270086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52.340035042938538</v>
      </c>
      <c r="DG142" s="21">
        <f>EXP(-LN(2)/25)*DG141+(1-EXP(-LN(2)/25))/(LN(2)/25)*Calculateur!DB142*Calculateur!DD142*VLOOKUP('Données projet'!$B$13,Paramètres!$A$1:$I$89,3,0)*0.475*44/12</f>
        <v>0.86214579083694942</v>
      </c>
      <c r="DH142" s="21">
        <f>EXP(-LN(2)/2)*DH141+(1-EXP(-LN(2)/2))/(LN(2)/2)*DB142*DE142*VLOOKUP('Données projet'!$B$13,Paramètres!$A$1:$I$89,3,0)*0.475*44/12</f>
        <v>4.6642150122606987E-3</v>
      </c>
      <c r="DI142" s="22">
        <f t="shared" si="123"/>
        <v>53.206845048787748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2.8421709430404007E-13</v>
      </c>
      <c r="O143" s="13">
        <f>N143*VLOOKUP('Données projet'!$B$9,Paramètres!$A$1:$I$89,3,0)*VLOOKUP('Données projet'!$B$9,Paramètres!$A$1:$I$89,5,0)</f>
        <v>2.3942448024172339E-13</v>
      </c>
      <c r="P143" s="13">
        <f t="shared" si="141"/>
        <v>3.2492669905861755E-12</v>
      </c>
      <c r="Q143" s="20">
        <f t="shared" si="108"/>
        <v>6.0761376450252573E-12</v>
      </c>
      <c r="R143" s="59">
        <f t="shared" si="109"/>
        <v>293.3333333333394</v>
      </c>
      <c r="S143" s="59">
        <f ca="1">AVERAGE(OFFSET($R$3,0,0,'Données projet'!$E$9+1,1))-AVERAGE(OFFSET($H$3,0,0,'Données projet'!$E$9+1,1))</f>
        <v>231.91408074258248</v>
      </c>
      <c r="T143" s="59">
        <f t="shared" si="142"/>
        <v>143.57726487417773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1.2057721595459491E-14</v>
      </c>
      <c r="AC143" s="22">
        <f t="shared" si="111"/>
        <v>1.2057721595459491E-14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2.8421709430404007E-13</v>
      </c>
      <c r="AJ143" s="13">
        <f>AI143*VLOOKUP('Données projet'!$B$10,Paramètres!$A$1:$I$89,3,0)*VLOOKUP('Données projet'!$B$10,Paramètres!$A$1:$I$89,5,0)</f>
        <v>2.5715962692629546E-13</v>
      </c>
      <c r="AK143" s="13">
        <f t="shared" si="143"/>
        <v>3.4610450122128953E-12</v>
      </c>
      <c r="AL143" s="20">
        <f t="shared" si="112"/>
        <v>6.4758730798340893E-12</v>
      </c>
      <c r="AM143" s="59">
        <f t="shared" si="113"/>
        <v>293.33333333333979</v>
      </c>
      <c r="AN143" s="59">
        <f ca="1">AVERAGE(OFFSET($AM$3,0,0,'Données projet'!$E$10+1,1))-AVERAGE(OFFSET($H$3,0,0,'Données projet'!$E$10+1,1))</f>
        <v>253.16772905022714</v>
      </c>
      <c r="AO143" s="59">
        <f t="shared" si="144"/>
        <v>156.67965022779907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1.2950886158086122E-14</v>
      </c>
      <c r="AX143" s="21">
        <f t="shared" si="114"/>
        <v>1.2950886158086122E-14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-2.8421709430404007E-14</v>
      </c>
      <c r="BE143" s="13">
        <f>BD143*VLOOKUP('Données projet'!$B$11,Paramètres!$A$1:$I$89,3,0)*VLOOKUP('Données projet'!$B$11,Paramètres!$A$1:$I$89,5,0)</f>
        <v>-1.6996182239381599E-14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119.24399403036387</v>
      </c>
      <c r="BJ143" s="59">
        <f t="shared" si="146"/>
        <v>119.60076838354843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2.7748454300597624E-17</v>
      </c>
      <c r="BS143" s="22">
        <f t="shared" si="117"/>
        <v>2.7748454300597624E-17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5.6843418860808015E-14</v>
      </c>
      <c r="BZ143" s="13">
        <f>BY143*VLOOKUP('Données projet'!$B$12,Paramètres!$A$1:$I$89,3,0)*VLOOKUP('Données projet'!$B$12,Paramètres!$A$1:$I$89,5,0)</f>
        <v>5.4978954722173515E-14</v>
      </c>
      <c r="CA143" s="13">
        <f t="shared" si="147"/>
        <v>8.8550225887742724E-13</v>
      </c>
      <c r="CB143" s="20">
        <f t="shared" si="118"/>
        <v>1.6380047803526383E-12</v>
      </c>
      <c r="CC143" s="59">
        <f t="shared" si="119"/>
        <v>293.33333333333496</v>
      </c>
      <c r="CD143" s="59">
        <f ca="1">AVERAGE(OFFSET($CC$3,0,0,'Données projet'!$E$12+1,1))-AVERAGE(OFFSET($H$3,0,0,'Données projet'!$E$12+1,1))</f>
        <v>135.95692658150551</v>
      </c>
      <c r="CE143" s="59">
        <f t="shared" si="148"/>
        <v>79.394119001888612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46.107943341463333</v>
      </c>
      <c r="CL143" s="21">
        <f>EXP(-LN(2)/25)*CL142+(1-EXP(-LN(2)/25))/(LN(2)/25)*Calculateur!CG143*Calculateur!CI143*VLOOKUP('Données projet'!$B$12,Paramètres!$A$1:$I$89,3,0)*0.475*44/12</f>
        <v>0.75349801258827054</v>
      </c>
      <c r="CM143" s="21">
        <f>EXP(-LN(2)/2)*CM142+(1-EXP(-LN(2)/2))/(LN(2)/2)*CG143*CJ143*VLOOKUP('Données projet'!$B$12,Paramètres!$A$1:$I$89,3,0)*0.475*44/12</f>
        <v>2.9635084054066888E-3</v>
      </c>
      <c r="CN143" s="22">
        <f t="shared" si="120"/>
        <v>46.864404862457015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5.6843418860808015E-14</v>
      </c>
      <c r="CU143" s="17">
        <f>CT143*VLOOKUP('Données projet'!$B$13,Paramètres!$A$1:$I$89,3,0)*VLOOKUP('Données projet'!$B$13,Paramètres!$A$1:$I$89,5,0)</f>
        <v>6.1186256061773749E-14</v>
      </c>
      <c r="CV143" s="13">
        <f t="shared" si="149"/>
        <v>9.7328366192051127E-13</v>
      </c>
      <c r="CW143" s="20">
        <f t="shared" si="121"/>
        <v>1.8017017738191463E-12</v>
      </c>
      <c r="CX143" s="59">
        <f t="shared" si="122"/>
        <v>293.33333333333513</v>
      </c>
      <c r="CY143" s="59">
        <f ca="1">AVERAGE(OFFSET($CX$3,0,0,'Données projet'!$E$13+1,1))-AVERAGE(OFFSET($H$3,0,0,'Données projet'!$E$13+1,1))</f>
        <v>158.74837032815333</v>
      </c>
      <c r="CZ143" s="59">
        <f t="shared" si="150"/>
        <v>92.286636088270086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51.31367888001563</v>
      </c>
      <c r="DG143" s="21">
        <f>EXP(-LN(2)/25)*DG142+(1-EXP(-LN(2)/25))/(LN(2)/25)*Calculateur!DB143*Calculateur!DD143*VLOOKUP('Données projet'!$B$13,Paramètres!$A$1:$I$89,3,0)*0.475*44/12</f>
        <v>0.83857036884823632</v>
      </c>
      <c r="DH143" s="21">
        <f>EXP(-LN(2)/2)*DH142+(1-EXP(-LN(2)/2))/(LN(2)/2)*DB143*DE143*VLOOKUP('Données projet'!$B$13,Paramètres!$A$1:$I$89,3,0)*0.475*44/12</f>
        <v>3.298098064081636E-3</v>
      </c>
      <c r="DI143" s="22">
        <f t="shared" si="123"/>
        <v>52.155547346927946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2.8421709430404007E-13</v>
      </c>
      <c r="O144" s="13">
        <f>N144*VLOOKUP('Données projet'!$B$9,Paramètres!$A$1:$I$89,3,0)*VLOOKUP('Données projet'!$B$9,Paramètres!$A$1:$I$89,5,0)</f>
        <v>2.3942448024172339E-13</v>
      </c>
      <c r="P144" s="13">
        <f t="shared" si="141"/>
        <v>3.2492669905861755E-12</v>
      </c>
      <c r="Q144" s="20">
        <f t="shared" si="108"/>
        <v>6.0761376450252573E-12</v>
      </c>
      <c r="R144" s="59">
        <f t="shared" si="109"/>
        <v>293.3333333333394</v>
      </c>
      <c r="S144" s="59">
        <f ca="1">AVERAGE(OFFSET($R$3,0,0,'Données projet'!$E$9+1,1))-AVERAGE(OFFSET($H$3,0,0,'Données projet'!$E$9+1,1))</f>
        <v>231.91408074258248</v>
      </c>
      <c r="T144" s="59">
        <f t="shared" si="142"/>
        <v>143.57726487417773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8.526096705808883E-15</v>
      </c>
      <c r="AC144" s="22">
        <f t="shared" si="111"/>
        <v>8.526096705808883E-15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2.8421709430404007E-13</v>
      </c>
      <c r="AJ144" s="13">
        <f>AI144*VLOOKUP('Données projet'!$B$10,Paramètres!$A$1:$I$89,3,0)*VLOOKUP('Données projet'!$B$10,Paramètres!$A$1:$I$89,5,0)</f>
        <v>2.5715962692629546E-13</v>
      </c>
      <c r="AK144" s="13">
        <f t="shared" si="143"/>
        <v>3.4610450122128953E-12</v>
      </c>
      <c r="AL144" s="20">
        <f t="shared" si="112"/>
        <v>6.4758730798340893E-12</v>
      </c>
      <c r="AM144" s="59">
        <f t="shared" si="113"/>
        <v>293.33333333333979</v>
      </c>
      <c r="AN144" s="59">
        <f ca="1">AVERAGE(OFFSET($AM$3,0,0,'Données projet'!$E$10+1,1))-AVERAGE(OFFSET($H$3,0,0,'Données projet'!$E$10+1,1))</f>
        <v>253.16772905022714</v>
      </c>
      <c r="AO144" s="59">
        <f t="shared" si="144"/>
        <v>156.67965022779907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9.1576594247576902E-15</v>
      </c>
      <c r="AX144" s="21">
        <f t="shared" si="114"/>
        <v>9.1576594247576902E-15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-2.8421709430404007E-14</v>
      </c>
      <c r="BE144" s="13">
        <f>BD144*VLOOKUP('Données projet'!$B$11,Paramètres!$A$1:$I$89,3,0)*VLOOKUP('Données projet'!$B$11,Paramètres!$A$1:$I$89,5,0)</f>
        <v>-1.6996182239381599E-14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119.24399403036387</v>
      </c>
      <c r="BJ144" s="59">
        <f t="shared" si="146"/>
        <v>119.60076838354843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1.9621120203397601E-17</v>
      </c>
      <c r="BS144" s="22">
        <f t="shared" si="117"/>
        <v>1.9621120203397601E-17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5.6843418860808015E-14</v>
      </c>
      <c r="BZ144" s="13">
        <f>BY144*VLOOKUP('Données projet'!$B$12,Paramètres!$A$1:$I$89,3,0)*VLOOKUP('Données projet'!$B$12,Paramètres!$A$1:$I$89,5,0)</f>
        <v>5.4978954722173515E-14</v>
      </c>
      <c r="CA144" s="13">
        <f t="shared" si="147"/>
        <v>8.8550225887742724E-13</v>
      </c>
      <c r="CB144" s="20">
        <f t="shared" si="118"/>
        <v>1.6380047803526383E-12</v>
      </c>
      <c r="CC144" s="59">
        <f t="shared" si="119"/>
        <v>293.33333333333496</v>
      </c>
      <c r="CD144" s="59">
        <f ca="1">AVERAGE(OFFSET($CC$3,0,0,'Données projet'!$E$12+1,1))-AVERAGE(OFFSET($H$3,0,0,'Données projet'!$E$12+1,1))</f>
        <v>135.95692658150551</v>
      </c>
      <c r="CE144" s="59">
        <f t="shared" si="148"/>
        <v>79.394119001888612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45.203794695605751</v>
      </c>
      <c r="CL144" s="21">
        <f>EXP(-LN(2)/25)*CL143+(1-EXP(-LN(2)/25))/(LN(2)/25)*Calculateur!CG144*Calculateur!CI144*VLOOKUP('Données projet'!$B$12,Paramètres!$A$1:$I$89,3,0)*0.475*44/12</f>
        <v>0.73289356980930598</v>
      </c>
      <c r="CM144" s="21">
        <f>EXP(-LN(2)/2)*CM143+(1-EXP(-LN(2)/2))/(LN(2)/2)*CG144*CJ144*VLOOKUP('Données projet'!$B$12,Paramètres!$A$1:$I$89,3,0)*0.475*44/12</f>
        <v>2.0955168895664018E-3</v>
      </c>
      <c r="CN144" s="22">
        <f t="shared" si="120"/>
        <v>45.938783782304625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5.6843418860808015E-14</v>
      </c>
      <c r="CU144" s="17">
        <f>CT144*VLOOKUP('Données projet'!$B$13,Paramètres!$A$1:$I$89,3,0)*VLOOKUP('Données projet'!$B$13,Paramètres!$A$1:$I$89,5,0)</f>
        <v>6.1186256061773749E-14</v>
      </c>
      <c r="CV144" s="13">
        <f t="shared" si="149"/>
        <v>9.7328366192051127E-13</v>
      </c>
      <c r="CW144" s="20">
        <f t="shared" si="121"/>
        <v>1.8017017738191463E-12</v>
      </c>
      <c r="CX144" s="59">
        <f t="shared" si="122"/>
        <v>293.33333333333513</v>
      </c>
      <c r="CY144" s="59">
        <f ca="1">AVERAGE(OFFSET($CX$3,0,0,'Données projet'!$E$13+1,1))-AVERAGE(OFFSET($H$3,0,0,'Données projet'!$E$13+1,1))</f>
        <v>158.74837032815333</v>
      </c>
      <c r="CZ144" s="59">
        <f t="shared" si="150"/>
        <v>92.286636088270086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50.307448935432191</v>
      </c>
      <c r="DG144" s="21">
        <f>EXP(-LN(2)/25)*DG143+(1-EXP(-LN(2)/25))/(LN(2)/25)*Calculateur!DB144*Calculateur!DD144*VLOOKUP('Données projet'!$B$13,Paramètres!$A$1:$I$89,3,0)*0.475*44/12</f>
        <v>0.8156396180135822</v>
      </c>
      <c r="DH144" s="21">
        <f>EXP(-LN(2)/2)*DH143+(1-EXP(-LN(2)/2))/(LN(2)/2)*DB144*DE144*VLOOKUP('Données projet'!$B$13,Paramètres!$A$1:$I$89,3,0)*0.475*44/12</f>
        <v>2.3321075061303494E-3</v>
      </c>
      <c r="DI144" s="22">
        <f t="shared" si="123"/>
        <v>51.125420660951903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2.8421709430404007E-13</v>
      </c>
      <c r="O145" s="13">
        <f>N145*VLOOKUP('Données projet'!$B$9,Paramètres!$A$1:$I$89,3,0)*VLOOKUP('Données projet'!$B$9,Paramètres!$A$1:$I$89,5,0)</f>
        <v>2.3942448024172339E-13</v>
      </c>
      <c r="P145" s="13">
        <f t="shared" si="141"/>
        <v>3.2492669905861755E-12</v>
      </c>
      <c r="Q145" s="20">
        <f t="shared" si="108"/>
        <v>6.0761376450252573E-12</v>
      </c>
      <c r="R145" s="59">
        <f t="shared" si="109"/>
        <v>293.3333333333394</v>
      </c>
      <c r="S145" s="59">
        <f ca="1">AVERAGE(OFFSET($R$3,0,0,'Données projet'!$E$9+1,1))-AVERAGE(OFFSET($H$3,0,0,'Données projet'!$E$9+1,1))</f>
        <v>231.91408074258248</v>
      </c>
      <c r="T145" s="59">
        <f t="shared" si="142"/>
        <v>143.57726487417773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6.0288607977297456E-15</v>
      </c>
      <c r="AC145" s="22">
        <f t="shared" si="111"/>
        <v>6.0288607977297456E-15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2.8421709430404007E-13</v>
      </c>
      <c r="AJ145" s="13">
        <f>AI145*VLOOKUP('Données projet'!$B$10,Paramètres!$A$1:$I$89,3,0)*VLOOKUP('Données projet'!$B$10,Paramètres!$A$1:$I$89,5,0)</f>
        <v>2.5715962692629546E-13</v>
      </c>
      <c r="AK145" s="13">
        <f t="shared" si="143"/>
        <v>3.4610450122128953E-12</v>
      </c>
      <c r="AL145" s="20">
        <f t="shared" si="112"/>
        <v>6.4758730798340893E-12</v>
      </c>
      <c r="AM145" s="59">
        <f t="shared" si="113"/>
        <v>293.33333333333979</v>
      </c>
      <c r="AN145" s="59">
        <f ca="1">AVERAGE(OFFSET($AM$3,0,0,'Données projet'!$E$10+1,1))-AVERAGE(OFFSET($H$3,0,0,'Données projet'!$E$10+1,1))</f>
        <v>253.16772905022714</v>
      </c>
      <c r="AO145" s="59">
        <f t="shared" si="144"/>
        <v>156.67965022779907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6.4754430790430608E-15</v>
      </c>
      <c r="AX145" s="21">
        <f t="shared" si="114"/>
        <v>6.4754430790430608E-15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-2.8421709430404007E-14</v>
      </c>
      <c r="BE145" s="13">
        <f>BD145*VLOOKUP('Données projet'!$B$11,Paramètres!$A$1:$I$89,3,0)*VLOOKUP('Données projet'!$B$11,Paramètres!$A$1:$I$89,5,0)</f>
        <v>-1.6996182239381599E-14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119.24399403036387</v>
      </c>
      <c r="BJ145" s="59">
        <f t="shared" si="146"/>
        <v>119.60076838354843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1.3874227150298815E-17</v>
      </c>
      <c r="BS145" s="22">
        <f t="shared" si="117"/>
        <v>1.3874227150298815E-17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5.6843418860808015E-14</v>
      </c>
      <c r="BZ145" s="13">
        <f>BY145*VLOOKUP('Données projet'!$B$12,Paramètres!$A$1:$I$89,3,0)*VLOOKUP('Données projet'!$B$12,Paramètres!$A$1:$I$89,5,0)</f>
        <v>5.4978954722173515E-14</v>
      </c>
      <c r="CA145" s="13">
        <f t="shared" si="147"/>
        <v>8.8550225887742724E-13</v>
      </c>
      <c r="CB145" s="20">
        <f t="shared" si="118"/>
        <v>1.6380047803526383E-12</v>
      </c>
      <c r="CC145" s="59">
        <f t="shared" si="119"/>
        <v>293.33333333333496</v>
      </c>
      <c r="CD145" s="59">
        <f ca="1">AVERAGE(OFFSET($CC$3,0,0,'Données projet'!$E$12+1,1))-AVERAGE(OFFSET($H$3,0,0,'Données projet'!$E$12+1,1))</f>
        <v>135.95692658150551</v>
      </c>
      <c r="CE145" s="59">
        <f t="shared" si="148"/>
        <v>79.394119001888612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44.317375853217222</v>
      </c>
      <c r="CL145" s="21">
        <f>EXP(-LN(2)/25)*CL144+(1-EXP(-LN(2)/25))/(LN(2)/25)*Calculateur!CG145*Calculateur!CI145*VLOOKUP('Données projet'!$B$12,Paramètres!$A$1:$I$89,3,0)*0.475*44/12</f>
        <v>0.71285255660167268</v>
      </c>
      <c r="CM145" s="21">
        <f>EXP(-LN(2)/2)*CM144+(1-EXP(-LN(2)/2))/(LN(2)/2)*CG145*CJ145*VLOOKUP('Données projet'!$B$12,Paramètres!$A$1:$I$89,3,0)*0.475*44/12</f>
        <v>1.4817542027033444E-3</v>
      </c>
      <c r="CN145" s="22">
        <f t="shared" si="120"/>
        <v>45.031710164021597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5.6843418860808015E-14</v>
      </c>
      <c r="CU145" s="17">
        <f>CT145*VLOOKUP('Données projet'!$B$13,Paramètres!$A$1:$I$89,3,0)*VLOOKUP('Données projet'!$B$13,Paramètres!$A$1:$I$89,5,0)</f>
        <v>6.1186256061773749E-14</v>
      </c>
      <c r="CV145" s="13">
        <f t="shared" si="149"/>
        <v>9.7328366192051127E-13</v>
      </c>
      <c r="CW145" s="20">
        <f t="shared" si="121"/>
        <v>1.8017017738191463E-12</v>
      </c>
      <c r="CX145" s="59">
        <f t="shared" si="122"/>
        <v>293.33333333333513</v>
      </c>
      <c r="CY145" s="59">
        <f ca="1">AVERAGE(OFFSET($CX$3,0,0,'Données projet'!$E$13+1,1))-AVERAGE(OFFSET($H$3,0,0,'Données projet'!$E$13+1,1))</f>
        <v>158.74837032815333</v>
      </c>
      <c r="CZ145" s="59">
        <f t="shared" si="150"/>
        <v>92.286636088270086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49.320950546322372</v>
      </c>
      <c r="DG145" s="21">
        <f>EXP(-LN(2)/25)*DG144+(1-EXP(-LN(2)/25))/(LN(2)/25)*Calculateur!DB145*Calculateur!DD145*VLOOKUP('Données projet'!$B$13,Paramètres!$A$1:$I$89,3,0)*0.475*44/12</f>
        <v>0.79333590976637747</v>
      </c>
      <c r="DH145" s="21">
        <f>EXP(-LN(2)/2)*DH144+(1-EXP(-LN(2)/2))/(LN(2)/2)*DB145*DE145*VLOOKUP('Données projet'!$B$13,Paramètres!$A$1:$I$89,3,0)*0.475*44/12</f>
        <v>1.649049032040818E-3</v>
      </c>
      <c r="DI145" s="22">
        <f t="shared" si="123"/>
        <v>50.115935505120788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2.8421709430404007E-13</v>
      </c>
      <c r="O146" s="13">
        <f>N146*VLOOKUP('Données projet'!$B$9,Paramètres!$A$1:$I$89,3,0)*VLOOKUP('Données projet'!$B$9,Paramètres!$A$1:$I$89,5,0)</f>
        <v>2.3942448024172339E-13</v>
      </c>
      <c r="P146" s="13">
        <f t="shared" si="141"/>
        <v>3.2492669905861755E-12</v>
      </c>
      <c r="Q146" s="20">
        <f t="shared" si="108"/>
        <v>6.0761376450252573E-12</v>
      </c>
      <c r="R146" s="59">
        <f t="shared" si="109"/>
        <v>293.3333333333394</v>
      </c>
      <c r="S146" s="59">
        <f ca="1">AVERAGE(OFFSET($R$3,0,0,'Données projet'!$E$9+1,1))-AVERAGE(OFFSET($H$3,0,0,'Données projet'!$E$9+1,1))</f>
        <v>231.91408074258248</v>
      </c>
      <c r="T146" s="59">
        <f t="shared" si="142"/>
        <v>143.57726487417773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4.2630483529044415E-15</v>
      </c>
      <c r="AC146" s="22">
        <f t="shared" si="111"/>
        <v>4.2630483529044415E-15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2.8421709430404007E-13</v>
      </c>
      <c r="AJ146" s="13">
        <f>AI146*VLOOKUP('Données projet'!$B$10,Paramètres!$A$1:$I$89,3,0)*VLOOKUP('Données projet'!$B$10,Paramètres!$A$1:$I$89,5,0)</f>
        <v>2.5715962692629546E-13</v>
      </c>
      <c r="AK146" s="13">
        <f t="shared" si="143"/>
        <v>3.4610450122128953E-12</v>
      </c>
      <c r="AL146" s="20">
        <f t="shared" si="112"/>
        <v>6.4758730798340893E-12</v>
      </c>
      <c r="AM146" s="59">
        <f t="shared" si="113"/>
        <v>293.33333333333979</v>
      </c>
      <c r="AN146" s="59">
        <f ca="1">AVERAGE(OFFSET($AM$3,0,0,'Données projet'!$E$10+1,1))-AVERAGE(OFFSET($H$3,0,0,'Données projet'!$E$10+1,1))</f>
        <v>253.16772905022714</v>
      </c>
      <c r="AO146" s="59">
        <f t="shared" si="144"/>
        <v>156.67965022779907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4.5788297123788451E-15</v>
      </c>
      <c r="AX146" s="21">
        <f t="shared" si="114"/>
        <v>4.5788297123788451E-15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-2.8421709430404007E-14</v>
      </c>
      <c r="BE146" s="13">
        <f>BD146*VLOOKUP('Données projet'!$B$11,Paramètres!$A$1:$I$89,3,0)*VLOOKUP('Données projet'!$B$11,Paramètres!$A$1:$I$89,5,0)</f>
        <v>-1.6996182239381599E-14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119.24399403036387</v>
      </c>
      <c r="BJ146" s="59">
        <f t="shared" si="146"/>
        <v>119.60076838354843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9.8105601016988019E-18</v>
      </c>
      <c r="BS146" s="22">
        <f t="shared" si="117"/>
        <v>9.8105601016988019E-18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5.6843418860808015E-14</v>
      </c>
      <c r="BZ146" s="13">
        <f>BY146*VLOOKUP('Données projet'!$B$12,Paramètres!$A$1:$I$89,3,0)*VLOOKUP('Données projet'!$B$12,Paramètres!$A$1:$I$89,5,0)</f>
        <v>5.4978954722173515E-14</v>
      </c>
      <c r="CA146" s="13">
        <f t="shared" si="147"/>
        <v>8.8550225887742724E-13</v>
      </c>
      <c r="CB146" s="20">
        <f t="shared" si="118"/>
        <v>1.6380047803526383E-12</v>
      </c>
      <c r="CC146" s="59">
        <f t="shared" si="119"/>
        <v>293.33333333333496</v>
      </c>
      <c r="CD146" s="59">
        <f ca="1">AVERAGE(OFFSET($CC$3,0,0,'Données projet'!$E$12+1,1))-AVERAGE(OFFSET($H$3,0,0,'Données projet'!$E$12+1,1))</f>
        <v>135.95692658150551</v>
      </c>
      <c r="CE146" s="59">
        <f t="shared" si="148"/>
        <v>79.394119001888612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43.44833914366582</v>
      </c>
      <c r="CL146" s="21">
        <f>EXP(-LN(2)/25)*CL145+(1-EXP(-LN(2)/25))/(LN(2)/25)*Calculateur!CG146*Calculateur!CI146*VLOOKUP('Données projet'!$B$12,Paramètres!$A$1:$I$89,3,0)*0.475*44/12</f>
        <v>0.69335956595411319</v>
      </c>
      <c r="CM146" s="21">
        <f>EXP(-LN(2)/2)*CM145+(1-EXP(-LN(2)/2))/(LN(2)/2)*CG146*CJ146*VLOOKUP('Données projet'!$B$12,Paramètres!$A$1:$I$89,3,0)*0.475*44/12</f>
        <v>1.0477584447832009E-3</v>
      </c>
      <c r="CN146" s="22">
        <f t="shared" si="120"/>
        <v>44.142746468064715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5.6843418860808015E-14</v>
      </c>
      <c r="CU146" s="17">
        <f>CT146*VLOOKUP('Données projet'!$B$13,Paramètres!$A$1:$I$89,3,0)*VLOOKUP('Données projet'!$B$13,Paramètres!$A$1:$I$89,5,0)</f>
        <v>6.1186256061773749E-14</v>
      </c>
      <c r="CV146" s="13">
        <f t="shared" si="149"/>
        <v>9.7328366192051127E-13</v>
      </c>
      <c r="CW146" s="20">
        <f t="shared" si="121"/>
        <v>1.8017017738191463E-12</v>
      </c>
      <c r="CX146" s="59">
        <f t="shared" si="122"/>
        <v>293.33333333333513</v>
      </c>
      <c r="CY146" s="59">
        <f ca="1">AVERAGE(OFFSET($CX$3,0,0,'Données projet'!$E$13+1,1))-AVERAGE(OFFSET($H$3,0,0,'Données projet'!$E$13+1,1))</f>
        <v>158.74837032815333</v>
      </c>
      <c r="CZ146" s="59">
        <f t="shared" si="150"/>
        <v>92.286636088270086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48.353796788918395</v>
      </c>
      <c r="DG146" s="21">
        <f>EXP(-LN(2)/25)*DG145+(1-EXP(-LN(2)/25))/(LN(2)/25)*Calculateur!DB146*Calculateur!DD146*VLOOKUP('Données projet'!$B$13,Paramètres!$A$1:$I$89,3,0)*0.475*44/12</f>
        <v>0.77164209759409352</v>
      </c>
      <c r="DH146" s="21">
        <f>EXP(-LN(2)/2)*DH145+(1-EXP(-LN(2)/2))/(LN(2)/2)*DB146*DE146*VLOOKUP('Données projet'!$B$13,Paramètres!$A$1:$I$89,3,0)*0.475*44/12</f>
        <v>1.1660537530651747E-3</v>
      </c>
      <c r="DI146" s="22">
        <f t="shared" si="123"/>
        <v>49.126604940265558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2.8421709430404007E-13</v>
      </c>
      <c r="O147" s="13">
        <f>N147*VLOOKUP('Données projet'!$B$9,Paramètres!$A$1:$I$89,3,0)*VLOOKUP('Données projet'!$B$9,Paramètres!$A$1:$I$89,5,0)</f>
        <v>2.3942448024172339E-13</v>
      </c>
      <c r="P147" s="13">
        <f t="shared" si="141"/>
        <v>3.2492669905861755E-12</v>
      </c>
      <c r="Q147" s="20">
        <f t="shared" si="108"/>
        <v>6.0761376450252573E-12</v>
      </c>
      <c r="R147" s="59">
        <f t="shared" si="109"/>
        <v>293.3333333333394</v>
      </c>
      <c r="S147" s="59">
        <f ca="1">AVERAGE(OFFSET($R$3,0,0,'Données projet'!$E$9+1,1))-AVERAGE(OFFSET($H$3,0,0,'Données projet'!$E$9+1,1))</f>
        <v>231.91408074258248</v>
      </c>
      <c r="T147" s="59">
        <f t="shared" si="142"/>
        <v>143.57726487417773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3.0144303988648728E-15</v>
      </c>
      <c r="AC147" s="22">
        <f t="shared" si="111"/>
        <v>3.0144303988648728E-15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2.8421709430404007E-13</v>
      </c>
      <c r="AJ147" s="13">
        <f>AI147*VLOOKUP('Données projet'!$B$10,Paramètres!$A$1:$I$89,3,0)*VLOOKUP('Données projet'!$B$10,Paramètres!$A$1:$I$89,5,0)</f>
        <v>2.5715962692629546E-13</v>
      </c>
      <c r="AK147" s="13">
        <f t="shared" si="143"/>
        <v>3.4610450122128953E-12</v>
      </c>
      <c r="AL147" s="20">
        <f t="shared" si="112"/>
        <v>6.4758730798340893E-12</v>
      </c>
      <c r="AM147" s="59">
        <f t="shared" si="113"/>
        <v>293.33333333333979</v>
      </c>
      <c r="AN147" s="59">
        <f ca="1">AVERAGE(OFFSET($AM$3,0,0,'Données projet'!$E$10+1,1))-AVERAGE(OFFSET($H$3,0,0,'Données projet'!$E$10+1,1))</f>
        <v>253.16772905022714</v>
      </c>
      <c r="AO147" s="59">
        <f t="shared" si="144"/>
        <v>156.67965022779907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3.2377215395215304E-15</v>
      </c>
      <c r="AX147" s="21">
        <f t="shared" si="114"/>
        <v>3.2377215395215304E-15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-2.8421709430404007E-14</v>
      </c>
      <c r="BE147" s="13">
        <f>BD147*VLOOKUP('Données projet'!$B$11,Paramètres!$A$1:$I$89,3,0)*VLOOKUP('Données projet'!$B$11,Paramètres!$A$1:$I$89,5,0)</f>
        <v>-1.6996182239381599E-14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119.24399403036387</v>
      </c>
      <c r="BJ147" s="59">
        <f t="shared" si="146"/>
        <v>119.60076838354843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6.9371135751494084E-18</v>
      </c>
      <c r="BS147" s="22">
        <f t="shared" si="117"/>
        <v>6.9371135751494084E-18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5.6843418860808015E-14</v>
      </c>
      <c r="BZ147" s="13">
        <f>BY147*VLOOKUP('Données projet'!$B$12,Paramètres!$A$1:$I$89,3,0)*VLOOKUP('Données projet'!$B$12,Paramètres!$A$1:$I$89,5,0)</f>
        <v>5.4978954722173515E-14</v>
      </c>
      <c r="CA147" s="13">
        <f t="shared" si="147"/>
        <v>8.8550225887742724E-13</v>
      </c>
      <c r="CB147" s="20">
        <f t="shared" si="118"/>
        <v>1.6380047803526383E-12</v>
      </c>
      <c r="CC147" s="59">
        <f t="shared" si="119"/>
        <v>293.33333333333496</v>
      </c>
      <c r="CD147" s="59">
        <f ca="1">AVERAGE(OFFSET($CC$3,0,0,'Données projet'!$E$12+1,1))-AVERAGE(OFFSET($H$3,0,0,'Données projet'!$E$12+1,1))</f>
        <v>135.95692658150551</v>
      </c>
      <c r="CE147" s="59">
        <f t="shared" si="148"/>
        <v>79.394119001888612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42.596343713928668</v>
      </c>
      <c r="CL147" s="21">
        <f>EXP(-LN(2)/25)*CL146+(1-EXP(-LN(2)/25))/(LN(2)/25)*Calculateur!CG147*Calculateur!CI147*VLOOKUP('Données projet'!$B$12,Paramètres!$A$1:$I$89,3,0)*0.475*44/12</f>
        <v>0.67439961216090305</v>
      </c>
      <c r="CM147" s="21">
        <f>EXP(-LN(2)/2)*CM146+(1-EXP(-LN(2)/2))/(LN(2)/2)*CG147*CJ147*VLOOKUP('Données projet'!$B$12,Paramètres!$A$1:$I$89,3,0)*0.475*44/12</f>
        <v>7.408771013516722E-4</v>
      </c>
      <c r="CN147" s="22">
        <f t="shared" si="120"/>
        <v>43.271484203190923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5.6843418860808015E-14</v>
      </c>
      <c r="CU147" s="17">
        <f>CT147*VLOOKUP('Données projet'!$B$13,Paramètres!$A$1:$I$89,3,0)*VLOOKUP('Données projet'!$B$13,Paramètres!$A$1:$I$89,5,0)</f>
        <v>6.1186256061773749E-14</v>
      </c>
      <c r="CV147" s="13">
        <f t="shared" si="149"/>
        <v>9.7328366192051127E-13</v>
      </c>
      <c r="CW147" s="20">
        <f t="shared" si="121"/>
        <v>1.8017017738191463E-12</v>
      </c>
      <c r="CX147" s="59">
        <f t="shared" si="122"/>
        <v>293.33333333333513</v>
      </c>
      <c r="CY147" s="59">
        <f ca="1">AVERAGE(OFFSET($CX$3,0,0,'Données projet'!$E$13+1,1))-AVERAGE(OFFSET($H$3,0,0,'Données projet'!$E$13+1,1))</f>
        <v>158.74837032815333</v>
      </c>
      <c r="CZ147" s="59">
        <f t="shared" si="150"/>
        <v>92.286636088270086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47.405608326791565</v>
      </c>
      <c r="DG147" s="21">
        <f>EXP(-LN(2)/25)*DG146+(1-EXP(-LN(2)/25))/(LN(2)/25)*Calculateur!DB147*Calculateur!DD147*VLOOKUP('Données projet'!$B$13,Paramètres!$A$1:$I$89,3,0)*0.475*44/12</f>
        <v>0.75054150385648877</v>
      </c>
      <c r="DH147" s="21">
        <f>EXP(-LN(2)/2)*DH146+(1-EXP(-LN(2)/2))/(LN(2)/2)*DB147*DE147*VLOOKUP('Données projet'!$B$13,Paramètres!$A$1:$I$89,3,0)*0.475*44/12</f>
        <v>8.24524516020409E-4</v>
      </c>
      <c r="DI147" s="22">
        <f t="shared" si="123"/>
        <v>48.156974355164074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2.8421709430404007E-13</v>
      </c>
      <c r="O148" s="13">
        <f>N148*VLOOKUP('Données projet'!$B$9,Paramètres!$A$1:$I$89,3,0)*VLOOKUP('Données projet'!$B$9,Paramètres!$A$1:$I$89,5,0)</f>
        <v>2.3942448024172339E-13</v>
      </c>
      <c r="P148" s="13">
        <f t="shared" si="141"/>
        <v>3.2492669905861755E-12</v>
      </c>
      <c r="Q148" s="20">
        <f t="shared" si="108"/>
        <v>6.0761376450252573E-12</v>
      </c>
      <c r="R148" s="59">
        <f t="shared" si="109"/>
        <v>293.3333333333394</v>
      </c>
      <c r="S148" s="59">
        <f ca="1">AVERAGE(OFFSET($R$3,0,0,'Données projet'!$E$9+1,1))-AVERAGE(OFFSET($H$3,0,0,'Données projet'!$E$9+1,1))</f>
        <v>231.91408074258248</v>
      </c>
      <c r="T148" s="59">
        <f t="shared" si="142"/>
        <v>143.57726487417773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2.1315241764522208E-15</v>
      </c>
      <c r="AC148" s="22">
        <f t="shared" si="111"/>
        <v>2.1315241764522208E-15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2.8421709430404007E-13</v>
      </c>
      <c r="AJ148" s="13">
        <f>AI148*VLOOKUP('Données projet'!$B$10,Paramètres!$A$1:$I$89,3,0)*VLOOKUP('Données projet'!$B$10,Paramètres!$A$1:$I$89,5,0)</f>
        <v>2.5715962692629546E-13</v>
      </c>
      <c r="AK148" s="13">
        <f t="shared" si="143"/>
        <v>3.4610450122128953E-12</v>
      </c>
      <c r="AL148" s="20">
        <f t="shared" si="112"/>
        <v>6.4758730798340893E-12</v>
      </c>
      <c r="AM148" s="59">
        <f t="shared" si="113"/>
        <v>293.33333333333979</v>
      </c>
      <c r="AN148" s="59">
        <f ca="1">AVERAGE(OFFSET($AM$3,0,0,'Données projet'!$E$10+1,1))-AVERAGE(OFFSET($H$3,0,0,'Données projet'!$E$10+1,1))</f>
        <v>253.16772905022714</v>
      </c>
      <c r="AO148" s="59">
        <f t="shared" si="144"/>
        <v>156.67965022779907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2.2894148561894226E-15</v>
      </c>
      <c r="AX148" s="21">
        <f t="shared" si="114"/>
        <v>2.2894148561894226E-15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-2.8421709430404007E-14</v>
      </c>
      <c r="BE148" s="13">
        <f>BD148*VLOOKUP('Données projet'!$B$11,Paramètres!$A$1:$I$89,3,0)*VLOOKUP('Données projet'!$B$11,Paramètres!$A$1:$I$89,5,0)</f>
        <v>-1.6996182239381599E-14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119.24399403036387</v>
      </c>
      <c r="BJ148" s="59">
        <f t="shared" si="146"/>
        <v>119.60076838354843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4.9052800508494017E-18</v>
      </c>
      <c r="BS148" s="22">
        <f t="shared" si="117"/>
        <v>4.9052800508494017E-18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5.6843418860808015E-14</v>
      </c>
      <c r="BZ148" s="13">
        <f>BY148*VLOOKUP('Données projet'!$B$12,Paramètres!$A$1:$I$89,3,0)*VLOOKUP('Données projet'!$B$12,Paramètres!$A$1:$I$89,5,0)</f>
        <v>5.4978954722173515E-14</v>
      </c>
      <c r="CA148" s="13">
        <f t="shared" si="147"/>
        <v>8.8550225887742724E-13</v>
      </c>
      <c r="CB148" s="20">
        <f t="shared" si="118"/>
        <v>1.6380047803526383E-12</v>
      </c>
      <c r="CC148" s="59">
        <f t="shared" si="119"/>
        <v>293.33333333333496</v>
      </c>
      <c r="CD148" s="59">
        <f ca="1">AVERAGE(OFFSET($CC$3,0,0,'Données projet'!$E$12+1,1))-AVERAGE(OFFSET($H$3,0,0,'Données projet'!$E$12+1,1))</f>
        <v>135.95692658150551</v>
      </c>
      <c r="CE148" s="59">
        <f t="shared" si="148"/>
        <v>79.394119001888612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41.761055394902762</v>
      </c>
      <c r="CL148" s="21">
        <f>EXP(-LN(2)/25)*CL147+(1-EXP(-LN(2)/25))/(LN(2)/25)*Calculateur!CG148*Calculateur!CI148*VLOOKUP('Données projet'!$B$12,Paramètres!$A$1:$I$89,3,0)*0.475*44/12</f>
        <v>0.65595811930122894</v>
      </c>
      <c r="CM148" s="21">
        <f>EXP(-LN(2)/2)*CM147+(1-EXP(-LN(2)/2))/(LN(2)/2)*CG148*CJ148*VLOOKUP('Données projet'!$B$12,Paramètres!$A$1:$I$89,3,0)*0.475*44/12</f>
        <v>5.2387922239160046E-4</v>
      </c>
      <c r="CN148" s="22">
        <f t="shared" si="120"/>
        <v>42.417537393426386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5.6843418860808015E-14</v>
      </c>
      <c r="CU148" s="17">
        <f>CT148*VLOOKUP('Données projet'!$B$13,Paramètres!$A$1:$I$89,3,0)*VLOOKUP('Données projet'!$B$13,Paramètres!$A$1:$I$89,5,0)</f>
        <v>6.1186256061773749E-14</v>
      </c>
      <c r="CV148" s="13">
        <f t="shared" si="149"/>
        <v>9.7328366192051127E-13</v>
      </c>
      <c r="CW148" s="20">
        <f t="shared" si="121"/>
        <v>1.8017017738191463E-12</v>
      </c>
      <c r="CX148" s="59">
        <f t="shared" si="122"/>
        <v>293.33333333333513</v>
      </c>
      <c r="CY148" s="59">
        <f ca="1">AVERAGE(OFFSET($CX$3,0,0,'Données projet'!$E$13+1,1))-AVERAGE(OFFSET($H$3,0,0,'Données projet'!$E$13+1,1))</f>
        <v>158.74837032815333</v>
      </c>
      <c r="CZ148" s="59">
        <f t="shared" si="150"/>
        <v>92.286636088270086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46.476013262069188</v>
      </c>
      <c r="DG148" s="21">
        <f>EXP(-LN(2)/25)*DG147+(1-EXP(-LN(2)/25))/(LN(2)/25)*Calculateur!DB148*Calculateur!DD148*VLOOKUP('Données projet'!$B$13,Paramètres!$A$1:$I$89,3,0)*0.475*44/12</f>
        <v>0.73001790696427082</v>
      </c>
      <c r="DH148" s="21">
        <f>EXP(-LN(2)/2)*DH147+(1-EXP(-LN(2)/2))/(LN(2)/2)*DB148*DE148*VLOOKUP('Données projet'!$B$13,Paramètres!$A$1:$I$89,3,0)*0.475*44/12</f>
        <v>5.8302687653258734E-4</v>
      </c>
      <c r="DI148" s="22">
        <f t="shared" si="123"/>
        <v>47.206614195909992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2.8421709430404007E-13</v>
      </c>
      <c r="O149" s="13">
        <f>N149*VLOOKUP('Données projet'!$B$9,Paramètres!$A$1:$I$89,3,0)*VLOOKUP('Données projet'!$B$9,Paramètres!$A$1:$I$89,5,0)</f>
        <v>2.3942448024172339E-13</v>
      </c>
      <c r="P149" s="13">
        <f t="shared" si="141"/>
        <v>3.2492669905861755E-12</v>
      </c>
      <c r="Q149" s="20">
        <f t="shared" si="108"/>
        <v>6.0761376450252573E-12</v>
      </c>
      <c r="R149" s="59">
        <f t="shared" si="109"/>
        <v>293.3333333333394</v>
      </c>
      <c r="S149" s="59">
        <f ca="1">AVERAGE(OFFSET($R$3,0,0,'Données projet'!$E$9+1,1))-AVERAGE(OFFSET($H$3,0,0,'Données projet'!$E$9+1,1))</f>
        <v>231.91408074258248</v>
      </c>
      <c r="T149" s="59">
        <f t="shared" si="142"/>
        <v>143.57726487417773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1.5072151994324364E-15</v>
      </c>
      <c r="AC149" s="22">
        <f t="shared" si="111"/>
        <v>1.5072151994324364E-15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2.8421709430404007E-13</v>
      </c>
      <c r="AJ149" s="13">
        <f>AI149*VLOOKUP('Données projet'!$B$10,Paramètres!$A$1:$I$89,3,0)*VLOOKUP('Données projet'!$B$10,Paramètres!$A$1:$I$89,5,0)</f>
        <v>2.5715962692629546E-13</v>
      </c>
      <c r="AK149" s="13">
        <f t="shared" si="143"/>
        <v>3.4610450122128953E-12</v>
      </c>
      <c r="AL149" s="20">
        <f t="shared" si="112"/>
        <v>6.4758730798340893E-12</v>
      </c>
      <c r="AM149" s="59">
        <f t="shared" si="113"/>
        <v>293.33333333333979</v>
      </c>
      <c r="AN149" s="59">
        <f ca="1">AVERAGE(OFFSET($AM$3,0,0,'Données projet'!$E$10+1,1))-AVERAGE(OFFSET($H$3,0,0,'Données projet'!$E$10+1,1))</f>
        <v>253.16772905022714</v>
      </c>
      <c r="AO149" s="59">
        <f t="shared" si="144"/>
        <v>156.67965022779907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1.6188607697607652E-15</v>
      </c>
      <c r="AX149" s="21">
        <f t="shared" si="114"/>
        <v>1.6188607697607652E-15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-2.8421709430404007E-14</v>
      </c>
      <c r="BE149" s="13">
        <f>BD149*VLOOKUP('Données projet'!$B$11,Paramètres!$A$1:$I$89,3,0)*VLOOKUP('Données projet'!$B$11,Paramètres!$A$1:$I$89,5,0)</f>
        <v>-1.6996182239381599E-14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119.24399403036387</v>
      </c>
      <c r="BJ149" s="59">
        <f t="shared" si="146"/>
        <v>119.60076838354843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3.468556787574705E-18</v>
      </c>
      <c r="BS149" s="22">
        <f t="shared" si="117"/>
        <v>3.468556787574705E-18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5.6843418860808015E-14</v>
      </c>
      <c r="BZ149" s="13">
        <f>BY149*VLOOKUP('Données projet'!$B$12,Paramètres!$A$1:$I$89,3,0)*VLOOKUP('Données projet'!$B$12,Paramètres!$A$1:$I$89,5,0)</f>
        <v>5.4978954722173515E-14</v>
      </c>
      <c r="CA149" s="13">
        <f t="shared" si="147"/>
        <v>8.8550225887742724E-13</v>
      </c>
      <c r="CB149" s="20">
        <f t="shared" si="118"/>
        <v>1.6380047803526383E-12</v>
      </c>
      <c r="CC149" s="59">
        <f t="shared" si="119"/>
        <v>293.33333333333496</v>
      </c>
      <c r="CD149" s="59">
        <f ca="1">AVERAGE(OFFSET($CC$3,0,0,'Données projet'!$E$12+1,1))-AVERAGE(OFFSET($H$3,0,0,'Données projet'!$E$12+1,1))</f>
        <v>135.95692658150551</v>
      </c>
      <c r="CE149" s="59">
        <f t="shared" si="148"/>
        <v>79.394119001888612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40.942146570337385</v>
      </c>
      <c r="CL149" s="21">
        <f>EXP(-LN(2)/25)*CL148+(1-EXP(-LN(2)/25))/(LN(2)/25)*Calculateur!CG149*Calculateur!CI149*VLOOKUP('Données projet'!$B$12,Paramètres!$A$1:$I$89,3,0)*0.475*44/12</f>
        <v>0.63802091003359851</v>
      </c>
      <c r="CM149" s="21">
        <f>EXP(-LN(2)/2)*CM148+(1-EXP(-LN(2)/2))/(LN(2)/2)*CG149*CJ149*VLOOKUP('Données projet'!$B$12,Paramètres!$A$1:$I$89,3,0)*0.475*44/12</f>
        <v>3.704385506758361E-4</v>
      </c>
      <c r="CN149" s="22">
        <f t="shared" si="120"/>
        <v>41.580537918921657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5.6843418860808015E-14</v>
      </c>
      <c r="CU149" s="17">
        <f>CT149*VLOOKUP('Données projet'!$B$13,Paramètres!$A$1:$I$89,3,0)*VLOOKUP('Données projet'!$B$13,Paramètres!$A$1:$I$89,5,0)</f>
        <v>6.1186256061773749E-14</v>
      </c>
      <c r="CV149" s="13">
        <f t="shared" si="149"/>
        <v>9.7328366192051127E-13</v>
      </c>
      <c r="CW149" s="20">
        <f t="shared" si="121"/>
        <v>1.8017017738191463E-12</v>
      </c>
      <c r="CX149" s="59">
        <f t="shared" si="122"/>
        <v>293.33333333333513</v>
      </c>
      <c r="CY149" s="59">
        <f ca="1">AVERAGE(OFFSET($CX$3,0,0,'Données projet'!$E$13+1,1))-AVERAGE(OFFSET($H$3,0,0,'Données projet'!$E$13+1,1))</f>
        <v>158.74837032815333</v>
      </c>
      <c r="CZ149" s="59">
        <f t="shared" si="150"/>
        <v>92.286636088270086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45.564646989569013</v>
      </c>
      <c r="DG149" s="21">
        <f>EXP(-LN(2)/25)*DG148+(1-EXP(-LN(2)/25))/(LN(2)/25)*Calculateur!DB149*Calculateur!DD149*VLOOKUP('Données projet'!$B$13,Paramètres!$A$1:$I$89,3,0)*0.475*44/12</f>
        <v>0.71005552890835955</v>
      </c>
      <c r="DH149" s="21">
        <f>EXP(-LN(2)/2)*DH148+(1-EXP(-LN(2)/2))/(LN(2)/2)*DB149*DE149*VLOOKUP('Données projet'!$B$13,Paramètres!$A$1:$I$89,3,0)*0.475*44/12</f>
        <v>4.122622580102045E-4</v>
      </c>
      <c r="DI149" s="22">
        <f t="shared" si="123"/>
        <v>46.275114780735386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2.8421709430404007E-13</v>
      </c>
      <c r="O150" s="13">
        <f>N150*VLOOKUP('Données projet'!$B$9,Paramètres!$A$1:$I$89,3,0)*VLOOKUP('Données projet'!$B$9,Paramètres!$A$1:$I$89,5,0)</f>
        <v>2.3942448024172339E-13</v>
      </c>
      <c r="P150" s="13">
        <f t="shared" si="141"/>
        <v>3.2492669905861755E-12</v>
      </c>
      <c r="Q150" s="20">
        <f t="shared" si="108"/>
        <v>6.0761376450252573E-12</v>
      </c>
      <c r="R150" s="59">
        <f t="shared" si="109"/>
        <v>293.3333333333394</v>
      </c>
      <c r="S150" s="59">
        <f ca="1">AVERAGE(OFFSET($R$3,0,0,'Données projet'!$E$9+1,1))-AVERAGE(OFFSET($H$3,0,0,'Données projet'!$E$9+1,1))</f>
        <v>231.91408074258248</v>
      </c>
      <c r="T150" s="59">
        <f t="shared" si="142"/>
        <v>143.57726487417773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1.0657620882261104E-15</v>
      </c>
      <c r="AC150" s="22">
        <f t="shared" si="111"/>
        <v>1.0657620882261104E-15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2.8421709430404007E-13</v>
      </c>
      <c r="AJ150" s="13">
        <f>AI150*VLOOKUP('Données projet'!$B$10,Paramètres!$A$1:$I$89,3,0)*VLOOKUP('Données projet'!$B$10,Paramètres!$A$1:$I$89,5,0)</f>
        <v>2.5715962692629546E-13</v>
      </c>
      <c r="AK150" s="13">
        <f t="shared" si="143"/>
        <v>3.4610450122128953E-12</v>
      </c>
      <c r="AL150" s="20">
        <f t="shared" si="112"/>
        <v>6.4758730798340893E-12</v>
      </c>
      <c r="AM150" s="59">
        <f t="shared" si="113"/>
        <v>293.33333333333979</v>
      </c>
      <c r="AN150" s="59">
        <f ca="1">AVERAGE(OFFSET($AM$3,0,0,'Données projet'!$E$10+1,1))-AVERAGE(OFFSET($H$3,0,0,'Données projet'!$E$10+1,1))</f>
        <v>253.16772905022714</v>
      </c>
      <c r="AO150" s="59">
        <f t="shared" si="144"/>
        <v>156.67965022779907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1.1447074280947113E-15</v>
      </c>
      <c r="AX150" s="21">
        <f t="shared" si="114"/>
        <v>1.1447074280947113E-15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-2.8421709430404007E-14</v>
      </c>
      <c r="BE150" s="13">
        <f>BD150*VLOOKUP('Données projet'!$B$11,Paramètres!$A$1:$I$89,3,0)*VLOOKUP('Données projet'!$B$11,Paramètres!$A$1:$I$89,5,0)</f>
        <v>-1.6996182239381599E-14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119.24399403036387</v>
      </c>
      <c r="BJ150" s="59">
        <f t="shared" si="146"/>
        <v>119.60076838354843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2.4526400254247012E-18</v>
      </c>
      <c r="BS150" s="22">
        <f t="shared" si="117"/>
        <v>2.4526400254247012E-18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5.6843418860808015E-14</v>
      </c>
      <c r="BZ150" s="13">
        <f>BY150*VLOOKUP('Données projet'!$B$12,Paramètres!$A$1:$I$89,3,0)*VLOOKUP('Données projet'!$B$12,Paramètres!$A$1:$I$89,5,0)</f>
        <v>5.4978954722173515E-14</v>
      </c>
      <c r="CA150" s="13">
        <f t="shared" si="147"/>
        <v>8.8550225887742724E-13</v>
      </c>
      <c r="CB150" s="20">
        <f t="shared" si="118"/>
        <v>1.6380047803526383E-12</v>
      </c>
      <c r="CC150" s="59">
        <f t="shared" si="119"/>
        <v>293.33333333333496</v>
      </c>
      <c r="CD150" s="59">
        <f ca="1">AVERAGE(OFFSET($CC$3,0,0,'Données projet'!$E$12+1,1))-AVERAGE(OFFSET($H$3,0,0,'Données projet'!$E$12+1,1))</f>
        <v>135.95692658150551</v>
      </c>
      <c r="CE150" s="59">
        <f t="shared" si="148"/>
        <v>79.394119001888612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40.139296048336675</v>
      </c>
      <c r="CL150" s="21">
        <f>EXP(-LN(2)/25)*CL149+(1-EXP(-LN(2)/25))/(LN(2)/25)*Calculateur!CG150*Calculateur!CI150*VLOOKUP('Données projet'!$B$12,Paramètres!$A$1:$I$89,3,0)*0.475*44/12</f>
        <v>0.6205741946966683</v>
      </c>
      <c r="CM150" s="21">
        <f>EXP(-LN(2)/2)*CM149+(1-EXP(-LN(2)/2))/(LN(2)/2)*CG150*CJ150*VLOOKUP('Données projet'!$B$12,Paramètres!$A$1:$I$89,3,0)*0.475*44/12</f>
        <v>2.6193961119580023E-4</v>
      </c>
      <c r="CN150" s="22">
        <f t="shared" si="120"/>
        <v>40.760132182644533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5.6843418860808015E-14</v>
      </c>
      <c r="CU150" s="17">
        <f>CT150*VLOOKUP('Données projet'!$B$13,Paramètres!$A$1:$I$89,3,0)*VLOOKUP('Données projet'!$B$13,Paramètres!$A$1:$I$89,5,0)</f>
        <v>6.1186256061773749E-14</v>
      </c>
      <c r="CV150" s="13">
        <f t="shared" si="149"/>
        <v>9.7328366192051127E-13</v>
      </c>
      <c r="CW150" s="20">
        <f t="shared" si="121"/>
        <v>1.8017017738191463E-12</v>
      </c>
      <c r="CX150" s="59">
        <f t="shared" si="122"/>
        <v>293.33333333333513</v>
      </c>
      <c r="CY150" s="59">
        <f ca="1">AVERAGE(OFFSET($CX$3,0,0,'Données projet'!$E$13+1,1))-AVERAGE(OFFSET($H$3,0,0,'Données projet'!$E$13+1,1))</f>
        <v>158.74837032815333</v>
      </c>
      <c r="CZ150" s="59">
        <f t="shared" si="150"/>
        <v>92.286636088270086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44.671152053794025</v>
      </c>
      <c r="DG150" s="21">
        <f>EXP(-LN(2)/25)*DG149+(1-EXP(-LN(2)/25))/(LN(2)/25)*Calculateur!DB150*Calculateur!DD150*VLOOKUP('Données projet'!$B$13,Paramètres!$A$1:$I$89,3,0)*0.475*44/12</f>
        <v>0.69063902313016301</v>
      </c>
      <c r="DH150" s="21">
        <f>EXP(-LN(2)/2)*DH149+(1-EXP(-LN(2)/2))/(LN(2)/2)*DB150*DE150*VLOOKUP('Données projet'!$B$13,Paramètres!$A$1:$I$89,3,0)*0.475*44/12</f>
        <v>2.9151343826629367E-4</v>
      </c>
      <c r="DI150" s="22">
        <f t="shared" si="123"/>
        <v>45.362082590362448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2.8421709430404007E-13</v>
      </c>
      <c r="O151" s="13">
        <f>N151*VLOOKUP('Données projet'!$B$9,Paramètres!$A$1:$I$89,3,0)*VLOOKUP('Données projet'!$B$9,Paramètres!$A$1:$I$89,5,0)</f>
        <v>2.3942448024172339E-13</v>
      </c>
      <c r="P151" s="13">
        <f t="shared" si="141"/>
        <v>3.2492669905861755E-12</v>
      </c>
      <c r="Q151" s="20">
        <f t="shared" si="108"/>
        <v>6.0761376450252573E-12</v>
      </c>
      <c r="R151" s="59">
        <f t="shared" si="109"/>
        <v>293.3333333333394</v>
      </c>
      <c r="S151" s="59">
        <f ca="1">AVERAGE(OFFSET($R$3,0,0,'Données projet'!$E$9+1,1))-AVERAGE(OFFSET($H$3,0,0,'Données projet'!$E$9+1,1))</f>
        <v>231.91408074258248</v>
      </c>
      <c r="T151" s="59">
        <f t="shared" si="142"/>
        <v>143.57726487417773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7.5360759971621821E-16</v>
      </c>
      <c r="AC151" s="22">
        <f t="shared" si="111"/>
        <v>7.5360759971621821E-16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2.8421709430404007E-13</v>
      </c>
      <c r="AJ151" s="13">
        <f>AI151*VLOOKUP('Données projet'!$B$10,Paramètres!$A$1:$I$89,3,0)*VLOOKUP('Données projet'!$B$10,Paramètres!$A$1:$I$89,5,0)</f>
        <v>2.5715962692629546E-13</v>
      </c>
      <c r="AK151" s="13">
        <f t="shared" si="143"/>
        <v>3.4610450122128953E-12</v>
      </c>
      <c r="AL151" s="20">
        <f t="shared" si="112"/>
        <v>6.4758730798340893E-12</v>
      </c>
      <c r="AM151" s="59">
        <f t="shared" si="113"/>
        <v>293.33333333333979</v>
      </c>
      <c r="AN151" s="59">
        <f ca="1">AVERAGE(OFFSET($AM$3,0,0,'Données projet'!$E$10+1,1))-AVERAGE(OFFSET($H$3,0,0,'Données projet'!$E$10+1,1))</f>
        <v>253.16772905022714</v>
      </c>
      <c r="AO151" s="59">
        <f t="shared" si="144"/>
        <v>156.67965022779907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8.0943038488038261E-16</v>
      </c>
      <c r="AX151" s="21">
        <f t="shared" si="114"/>
        <v>8.0943038488038261E-16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-2.8421709430404007E-14</v>
      </c>
      <c r="BE151" s="13">
        <f>BD151*VLOOKUP('Données projet'!$B$11,Paramètres!$A$1:$I$89,3,0)*VLOOKUP('Données projet'!$B$11,Paramètres!$A$1:$I$89,5,0)</f>
        <v>-1.6996182239381599E-14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119.24399403036387</v>
      </c>
      <c r="BJ151" s="59">
        <f t="shared" si="146"/>
        <v>119.60076838354843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1.7342783937873527E-18</v>
      </c>
      <c r="BS151" s="22">
        <f t="shared" si="117"/>
        <v>1.7342783937873527E-18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5.6843418860808015E-14</v>
      </c>
      <c r="BZ151" s="13">
        <f>BY151*VLOOKUP('Données projet'!$B$12,Paramètres!$A$1:$I$89,3,0)*VLOOKUP('Données projet'!$B$12,Paramètres!$A$1:$I$89,5,0)</f>
        <v>5.4978954722173515E-14</v>
      </c>
      <c r="CA151" s="13">
        <f t="shared" si="147"/>
        <v>8.8550225887742724E-13</v>
      </c>
      <c r="CB151" s="20">
        <f t="shared" si="118"/>
        <v>1.6380047803526383E-12</v>
      </c>
      <c r="CC151" s="59">
        <f t="shared" si="119"/>
        <v>293.33333333333496</v>
      </c>
      <c r="CD151" s="59">
        <f ca="1">AVERAGE(OFFSET($CC$3,0,0,'Données projet'!$E$12+1,1))-AVERAGE(OFFSET($H$3,0,0,'Données projet'!$E$12+1,1))</f>
        <v>135.95692658150551</v>
      </c>
      <c r="CE151" s="59">
        <f t="shared" si="148"/>
        <v>79.394119001888612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39.352188935381932</v>
      </c>
      <c r="CL151" s="21">
        <f>EXP(-LN(2)/25)*CL150+(1-EXP(-LN(2)/25))/(LN(2)/25)*Calculateur!CG151*Calculateur!CI151*VLOOKUP('Données projet'!$B$12,Paramètres!$A$1:$I$89,3,0)*0.475*44/12</f>
        <v>0.60360456070810931</v>
      </c>
      <c r="CM151" s="21">
        <f>EXP(-LN(2)/2)*CM150+(1-EXP(-LN(2)/2))/(LN(2)/2)*CG151*CJ151*VLOOKUP('Données projet'!$B$12,Paramètres!$A$1:$I$89,3,0)*0.475*44/12</f>
        <v>1.8521927533791805E-4</v>
      </c>
      <c r="CN151" s="22">
        <f t="shared" si="120"/>
        <v>39.955978715365376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5.6843418860808015E-14</v>
      </c>
      <c r="CU151" s="17">
        <f>CT151*VLOOKUP('Données projet'!$B$13,Paramètres!$A$1:$I$89,3,0)*VLOOKUP('Données projet'!$B$13,Paramètres!$A$1:$I$89,5,0)</f>
        <v>6.1186256061773749E-14</v>
      </c>
      <c r="CV151" s="13">
        <f t="shared" si="149"/>
        <v>9.7328366192051127E-13</v>
      </c>
      <c r="CW151" s="20">
        <f t="shared" si="121"/>
        <v>1.8017017738191463E-12</v>
      </c>
      <c r="CX151" s="59">
        <f t="shared" si="122"/>
        <v>293.33333333333513</v>
      </c>
      <c r="CY151" s="59">
        <f ca="1">AVERAGE(OFFSET($CX$3,0,0,'Données projet'!$E$13+1,1))-AVERAGE(OFFSET($H$3,0,0,'Données projet'!$E$13+1,1))</f>
        <v>158.74837032815333</v>
      </c>
      <c r="CZ151" s="59">
        <f t="shared" si="150"/>
        <v>92.286636088270086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43.79517800873149</v>
      </c>
      <c r="DG151" s="21">
        <f>EXP(-LN(2)/25)*DG150+(1-EXP(-LN(2)/25))/(LN(2)/25)*Calculateur!DB151*Calculateur!DD151*VLOOKUP('Données projet'!$B$13,Paramètres!$A$1:$I$89,3,0)*0.475*44/12</f>
        <v>0.67175346272354097</v>
      </c>
      <c r="DH151" s="21">
        <f>EXP(-LN(2)/2)*DH150+(1-EXP(-LN(2)/2))/(LN(2)/2)*DB151*DE151*VLOOKUP('Données projet'!$B$13,Paramètres!$A$1:$I$89,3,0)*0.475*44/12</f>
        <v>2.0613112900510225E-4</v>
      </c>
      <c r="DI151" s="22">
        <f t="shared" si="123"/>
        <v>44.467137602584039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2.8421709430404007E-13</v>
      </c>
      <c r="O152" s="13">
        <f>N152*VLOOKUP('Données projet'!$B$9,Paramètres!$A$1:$I$89,3,0)*VLOOKUP('Données projet'!$B$9,Paramètres!$A$1:$I$89,5,0)</f>
        <v>2.3942448024172339E-13</v>
      </c>
      <c r="P152" s="13">
        <f t="shared" si="141"/>
        <v>3.2492669905861755E-12</v>
      </c>
      <c r="Q152" s="20">
        <f t="shared" si="108"/>
        <v>6.0761376450252573E-12</v>
      </c>
      <c r="R152" s="59">
        <f t="shared" si="109"/>
        <v>293.3333333333394</v>
      </c>
      <c r="S152" s="59">
        <f ca="1">AVERAGE(OFFSET($R$3,0,0,'Données projet'!$E$9+1,1))-AVERAGE(OFFSET($H$3,0,0,'Données projet'!$E$9+1,1))</f>
        <v>231.91408074258248</v>
      </c>
      <c r="T152" s="59">
        <f t="shared" si="142"/>
        <v>143.57726487417773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5.3288104411305519E-16</v>
      </c>
      <c r="AC152" s="22">
        <f t="shared" si="111"/>
        <v>5.3288104411305519E-16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2.8421709430404007E-13</v>
      </c>
      <c r="AJ152" s="13">
        <f>AI152*VLOOKUP('Données projet'!$B$10,Paramètres!$A$1:$I$89,3,0)*VLOOKUP('Données projet'!$B$10,Paramètres!$A$1:$I$89,5,0)</f>
        <v>2.5715962692629546E-13</v>
      </c>
      <c r="AK152" s="13">
        <f t="shared" si="143"/>
        <v>3.4610450122128953E-12</v>
      </c>
      <c r="AL152" s="20">
        <f t="shared" si="112"/>
        <v>6.4758730798340893E-12</v>
      </c>
      <c r="AM152" s="59">
        <f t="shared" si="113"/>
        <v>293.33333333333979</v>
      </c>
      <c r="AN152" s="59">
        <f ca="1">AVERAGE(OFFSET($AM$3,0,0,'Données projet'!$E$10+1,1))-AVERAGE(OFFSET($H$3,0,0,'Données projet'!$E$10+1,1))</f>
        <v>253.16772905022714</v>
      </c>
      <c r="AO152" s="59">
        <f t="shared" si="144"/>
        <v>156.67965022779907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5.7235371404735564E-16</v>
      </c>
      <c r="AX152" s="21">
        <f t="shared" si="114"/>
        <v>5.7235371404735564E-16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-2.8421709430404007E-14</v>
      </c>
      <c r="BE152" s="13">
        <f>BD152*VLOOKUP('Données projet'!$B$11,Paramètres!$A$1:$I$89,3,0)*VLOOKUP('Données projet'!$B$11,Paramètres!$A$1:$I$89,5,0)</f>
        <v>-1.6996182239381599E-14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119.24399403036387</v>
      </c>
      <c r="BJ152" s="59">
        <f t="shared" si="146"/>
        <v>119.60076838354843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1.2263200127123508E-18</v>
      </c>
      <c r="BS152" s="22">
        <f t="shared" si="117"/>
        <v>1.2263200127123508E-18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5.6843418860808015E-14</v>
      </c>
      <c r="BZ152" s="13">
        <f>BY152*VLOOKUP('Données projet'!$B$12,Paramètres!$A$1:$I$89,3,0)*VLOOKUP('Données projet'!$B$12,Paramètres!$A$1:$I$89,5,0)</f>
        <v>5.4978954722173515E-14</v>
      </c>
      <c r="CA152" s="13">
        <f t="shared" si="147"/>
        <v>8.8550225887742724E-13</v>
      </c>
      <c r="CB152" s="20">
        <f t="shared" si="118"/>
        <v>1.6380047803526383E-12</v>
      </c>
      <c r="CC152" s="59">
        <f t="shared" si="119"/>
        <v>293.33333333333496</v>
      </c>
      <c r="CD152" s="59">
        <f ca="1">AVERAGE(OFFSET($CC$3,0,0,'Données projet'!$E$12+1,1))-AVERAGE(OFFSET($H$3,0,0,'Données projet'!$E$12+1,1))</f>
        <v>135.95692658150551</v>
      </c>
      <c r="CE152" s="59">
        <f t="shared" si="148"/>
        <v>79.394119001888612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38.580516512824296</v>
      </c>
      <c r="CL152" s="21">
        <f>EXP(-LN(2)/25)*CL151+(1-EXP(-LN(2)/25))/(LN(2)/25)*Calculateur!CG152*Calculateur!CI152*VLOOKUP('Données projet'!$B$12,Paramètres!$A$1:$I$89,3,0)*0.475*44/12</f>
        <v>0.58709896225336178</v>
      </c>
      <c r="CM152" s="21">
        <f>EXP(-LN(2)/2)*CM151+(1-EXP(-LN(2)/2))/(LN(2)/2)*CG152*CJ152*VLOOKUP('Données projet'!$B$12,Paramètres!$A$1:$I$89,3,0)*0.475*44/12</f>
        <v>1.3096980559790011E-4</v>
      </c>
      <c r="CN152" s="22">
        <f t="shared" si="120"/>
        <v>39.167746444883257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5.6843418860808015E-14</v>
      </c>
      <c r="CU152" s="17">
        <f>CT152*VLOOKUP('Données projet'!$B$13,Paramètres!$A$1:$I$89,3,0)*VLOOKUP('Données projet'!$B$13,Paramètres!$A$1:$I$89,5,0)</f>
        <v>6.1186256061773749E-14</v>
      </c>
      <c r="CV152" s="13">
        <f t="shared" si="149"/>
        <v>9.7328366192051127E-13</v>
      </c>
      <c r="CW152" s="20">
        <f t="shared" si="121"/>
        <v>1.8017017738191463E-12</v>
      </c>
      <c r="CX152" s="59">
        <f t="shared" si="122"/>
        <v>293.33333333333513</v>
      </c>
      <c r="CY152" s="59">
        <f ca="1">AVERAGE(OFFSET($CX$3,0,0,'Données projet'!$E$13+1,1))-AVERAGE(OFFSET($H$3,0,0,'Données projet'!$E$13+1,1))</f>
        <v>158.74837032815333</v>
      </c>
      <c r="CZ152" s="59">
        <f t="shared" si="150"/>
        <v>92.286636088270086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42.936381280401221</v>
      </c>
      <c r="DG152" s="21">
        <f>EXP(-LN(2)/25)*DG151+(1-EXP(-LN(2)/25))/(LN(2)/25)*Calculateur!DB152*Calculateur!DD152*VLOOKUP('Données projet'!$B$13,Paramètres!$A$1:$I$89,3,0)*0.475*44/12</f>
        <v>0.65338432895938647</v>
      </c>
      <c r="DH152" s="21">
        <f>EXP(-LN(2)/2)*DH151+(1-EXP(-LN(2)/2))/(LN(2)/2)*DB152*DE152*VLOOKUP('Données projet'!$B$13,Paramètres!$A$1:$I$89,3,0)*0.475*44/12</f>
        <v>1.4575671913314684E-4</v>
      </c>
      <c r="DI152" s="22">
        <f t="shared" si="123"/>
        <v>43.58991136607974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2.8421709430404007E-13</v>
      </c>
      <c r="O153" s="13">
        <f>N153*VLOOKUP('Données projet'!$B$9,Paramètres!$A$1:$I$89,3,0)*VLOOKUP('Données projet'!$B$9,Paramètres!$A$1:$I$89,5,0)</f>
        <v>2.3942448024172339E-13</v>
      </c>
      <c r="P153" s="13">
        <f t="shared" si="141"/>
        <v>3.2492669905861755E-12</v>
      </c>
      <c r="Q153" s="20">
        <f t="shared" si="108"/>
        <v>6.0761376450252573E-12</v>
      </c>
      <c r="R153" s="59">
        <f t="shared" si="109"/>
        <v>293.3333333333394</v>
      </c>
      <c r="S153" s="59">
        <f ca="1">AVERAGE(OFFSET($R$3,0,0,'Données projet'!$E$9+1,1))-AVERAGE(OFFSET($H$3,0,0,'Données projet'!$E$9+1,1))</f>
        <v>231.91408074258248</v>
      </c>
      <c r="T153" s="59">
        <f t="shared" si="142"/>
        <v>143.57726487417773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3.768037998581091E-16</v>
      </c>
      <c r="AC153" s="22">
        <f t="shared" si="111"/>
        <v>3.768037998581091E-16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2.8421709430404007E-13</v>
      </c>
      <c r="AJ153" s="13">
        <f>AI153*VLOOKUP('Données projet'!$B$10,Paramètres!$A$1:$I$89,3,0)*VLOOKUP('Données projet'!$B$10,Paramètres!$A$1:$I$89,5,0)</f>
        <v>2.5715962692629546E-13</v>
      </c>
      <c r="AK153" s="13">
        <f t="shared" si="143"/>
        <v>3.4610450122128953E-12</v>
      </c>
      <c r="AL153" s="20">
        <f t="shared" si="112"/>
        <v>6.4758730798340893E-12</v>
      </c>
      <c r="AM153" s="59">
        <f t="shared" si="113"/>
        <v>293.33333333333979</v>
      </c>
      <c r="AN153" s="59">
        <f ca="1">AVERAGE(OFFSET($AM$3,0,0,'Données projet'!$E$10+1,1))-AVERAGE(OFFSET($H$3,0,0,'Données projet'!$E$10+1,1))</f>
        <v>253.16772905022714</v>
      </c>
      <c r="AO153" s="59">
        <f t="shared" si="144"/>
        <v>156.67965022779907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4.047151924401913E-16</v>
      </c>
      <c r="AX153" s="21">
        <f t="shared" si="114"/>
        <v>4.047151924401913E-16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-2.8421709430404007E-14</v>
      </c>
      <c r="BE153" s="13">
        <f>BD153*VLOOKUP('Données projet'!$B$11,Paramètres!$A$1:$I$89,3,0)*VLOOKUP('Données projet'!$B$11,Paramètres!$A$1:$I$89,5,0)</f>
        <v>-1.6996182239381599E-14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119.24399403036387</v>
      </c>
      <c r="BJ153" s="59">
        <f t="shared" si="146"/>
        <v>119.60076838354843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8.6713919689367653E-19</v>
      </c>
      <c r="BS153" s="22">
        <f t="shared" si="117"/>
        <v>8.6713919689367653E-19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5.6843418860808015E-14</v>
      </c>
      <c r="BZ153" s="13">
        <f>BY153*VLOOKUP('Données projet'!$B$12,Paramètres!$A$1:$I$89,3,0)*VLOOKUP('Données projet'!$B$12,Paramètres!$A$1:$I$89,5,0)</f>
        <v>5.4978954722173515E-14</v>
      </c>
      <c r="CA153" s="13">
        <f t="shared" si="147"/>
        <v>8.8550225887742724E-13</v>
      </c>
      <c r="CB153" s="20">
        <f t="shared" si="118"/>
        <v>1.6380047803526383E-12</v>
      </c>
      <c r="CC153" s="59">
        <f t="shared" si="119"/>
        <v>293.33333333333496</v>
      </c>
      <c r="CD153" s="59">
        <f ca="1">AVERAGE(OFFSET($CC$3,0,0,'Données projet'!$E$12+1,1))-AVERAGE(OFFSET($H$3,0,0,'Données projet'!$E$12+1,1))</f>
        <v>135.95692658150551</v>
      </c>
      <c r="CE153" s="59">
        <f t="shared" si="148"/>
        <v>79.394119001888612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37.823976115799312</v>
      </c>
      <c r="CL153" s="21">
        <f>EXP(-LN(2)/25)*CL152+(1-EXP(-LN(2)/25))/(LN(2)/25)*Calculateur!CG153*Calculateur!CI153*VLOOKUP('Données projet'!$B$12,Paramètres!$A$1:$I$89,3,0)*0.475*44/12</f>
        <v>0.57104471025635106</v>
      </c>
      <c r="CM153" s="21">
        <f>EXP(-LN(2)/2)*CM152+(1-EXP(-LN(2)/2))/(LN(2)/2)*CG153*CJ153*VLOOKUP('Données projet'!$B$12,Paramètres!$A$1:$I$89,3,0)*0.475*44/12</f>
        <v>9.2609637668959025E-5</v>
      </c>
      <c r="CN153" s="22">
        <f t="shared" si="120"/>
        <v>38.395113435693332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5.6843418860808015E-14</v>
      </c>
      <c r="CU153" s="17">
        <f>CT153*VLOOKUP('Données projet'!$B$13,Paramètres!$A$1:$I$89,3,0)*VLOOKUP('Données projet'!$B$13,Paramètres!$A$1:$I$89,5,0)</f>
        <v>6.1186256061773749E-14</v>
      </c>
      <c r="CV153" s="13">
        <f t="shared" si="149"/>
        <v>9.7328366192051127E-13</v>
      </c>
      <c r="CW153" s="20">
        <f t="shared" si="121"/>
        <v>1.8017017738191463E-12</v>
      </c>
      <c r="CX153" s="59">
        <f t="shared" si="122"/>
        <v>293.33333333333513</v>
      </c>
      <c r="CY153" s="59">
        <f ca="1">AVERAGE(OFFSET($CX$3,0,0,'Données projet'!$E$13+1,1))-AVERAGE(OFFSET($H$3,0,0,'Données projet'!$E$13+1,1))</f>
        <v>158.74837032815333</v>
      </c>
      <c r="CZ153" s="59">
        <f t="shared" si="150"/>
        <v>92.286636088270086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42.094425032099224</v>
      </c>
      <c r="DG153" s="21">
        <f>EXP(-LN(2)/25)*DG152+(1-EXP(-LN(2)/25))/(LN(2)/25)*Calculateur!DB153*Calculateur!DD153*VLOOKUP('Données projet'!$B$13,Paramètres!$A$1:$I$89,3,0)*0.475*44/12</f>
        <v>0.63551750012400354</v>
      </c>
      <c r="DH153" s="21">
        <f>EXP(-LN(2)/2)*DH152+(1-EXP(-LN(2)/2))/(LN(2)/2)*DB153*DE153*VLOOKUP('Données projet'!$B$13,Paramètres!$A$1:$I$89,3,0)*0.475*44/12</f>
        <v>1.0306556450255113E-4</v>
      </c>
      <c r="DI153" s="22">
        <f t="shared" si="123"/>
        <v>42.730045597787729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2.8421709430404007E-13</v>
      </c>
      <c r="O154" s="13">
        <f>N154*VLOOKUP('Données projet'!$B$9,Paramètres!$A$1:$I$89,3,0)*VLOOKUP('Données projet'!$B$9,Paramètres!$A$1:$I$89,5,0)</f>
        <v>2.3942448024172339E-13</v>
      </c>
      <c r="P154" s="13">
        <f t="shared" si="141"/>
        <v>3.2492669905861755E-12</v>
      </c>
      <c r="Q154" s="20">
        <f t="shared" ref="Q154:Q203" si="162">(O154+P154)*0.475*44/12</f>
        <v>6.0761376450252573E-12</v>
      </c>
      <c r="R154" s="59">
        <f t="shared" si="109"/>
        <v>293.3333333333394</v>
      </c>
      <c r="S154" s="59">
        <f ca="1">AVERAGE(OFFSET($R$3,0,0,'Données projet'!$E$9+1,1))-AVERAGE(OFFSET($H$3,0,0,'Données projet'!$E$9+1,1))</f>
        <v>231.91408074258248</v>
      </c>
      <c r="T154" s="59">
        <f t="shared" si="142"/>
        <v>143.57726487417773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2.6644052205652759E-16</v>
      </c>
      <c r="AC154" s="22">
        <f t="shared" ref="AC154:AC203" si="163">SUM(Z154:AB154)</f>
        <v>2.6644052205652759E-16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2.8421709430404007E-13</v>
      </c>
      <c r="AJ154" s="13">
        <f>AI154*VLOOKUP('Données projet'!$B$10,Paramètres!$A$1:$I$89,3,0)*VLOOKUP('Données projet'!$B$10,Paramètres!$A$1:$I$89,5,0)</f>
        <v>2.5715962692629546E-13</v>
      </c>
      <c r="AK154" s="13">
        <f t="shared" ref="AK154:AK203" si="164">EXP(-1.0587+0.8836*LN(AJ154)+0.284)</f>
        <v>3.4610450122128953E-12</v>
      </c>
      <c r="AL154" s="20">
        <f t="shared" ref="AL154:AL203" si="165">(AJ154+AK154)*0.475*44/12</f>
        <v>6.4758730798340893E-12</v>
      </c>
      <c r="AM154" s="59">
        <f t="shared" si="113"/>
        <v>293.33333333333979</v>
      </c>
      <c r="AN154" s="59">
        <f ca="1">AVERAGE(OFFSET($AM$3,0,0,'Données projet'!$E$10+1,1))-AVERAGE(OFFSET($H$3,0,0,'Données projet'!$E$10+1,1))</f>
        <v>253.16772905022714</v>
      </c>
      <c r="AO154" s="59">
        <f t="shared" si="144"/>
        <v>156.67965022779907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2.8617685702367782E-16</v>
      </c>
      <c r="AX154" s="21">
        <f t="shared" ref="AX154:AX203" si="166">SUM(AU154:AW154)</f>
        <v>2.8617685702367782E-16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-2.8421709430404007E-14</v>
      </c>
      <c r="BE154" s="13">
        <f>BD154*VLOOKUP('Données projet'!$B$11,Paramètres!$A$1:$I$89,3,0)*VLOOKUP('Données projet'!$B$11,Paramètres!$A$1:$I$89,5,0)</f>
        <v>-1.6996182239381599E-14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119.24399403036387</v>
      </c>
      <c r="BJ154" s="59">
        <f t="shared" si="146"/>
        <v>119.60076838354843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6.131600063561755E-19</v>
      </c>
      <c r="BS154" s="22">
        <f t="shared" ref="BS154:BS203" si="169">SUM(BP154:BR154)</f>
        <v>6.131600063561755E-19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5.6843418860808015E-14</v>
      </c>
      <c r="BZ154" s="13">
        <f>BY154*VLOOKUP('Données projet'!$B$12,Paramètres!$A$1:$I$89,3,0)*VLOOKUP('Données projet'!$B$12,Paramètres!$A$1:$I$89,5,0)</f>
        <v>5.4978954722173515E-14</v>
      </c>
      <c r="CA154" s="13">
        <f t="shared" ref="CA154:CA203" si="170">EXP(-1.0587+0.8836*LN(BZ154)+0.284)</f>
        <v>8.8550225887742724E-13</v>
      </c>
      <c r="CB154" s="20">
        <f t="shared" ref="CB154:CB203" si="171">(BZ154+CA154)*0.475*44/12</f>
        <v>1.6380047803526383E-12</v>
      </c>
      <c r="CC154" s="59">
        <f t="shared" si="119"/>
        <v>293.33333333333496</v>
      </c>
      <c r="CD154" s="59">
        <f ca="1">AVERAGE(OFFSET($CC$3,0,0,'Données projet'!$E$12+1,1))-AVERAGE(OFFSET($H$3,0,0,'Données projet'!$E$12+1,1))</f>
        <v>135.95692658150551</v>
      </c>
      <c r="CE154" s="59">
        <f t="shared" si="148"/>
        <v>79.394119001888612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37.082271014515911</v>
      </c>
      <c r="CL154" s="21">
        <f>EXP(-LN(2)/25)*CL153+(1-EXP(-LN(2)/25))/(LN(2)/25)*Calculateur!CG154*Calculateur!CI154*VLOOKUP('Données projet'!$B$12,Paramètres!$A$1:$I$89,3,0)*0.475*44/12</f>
        <v>0.55542946262445492</v>
      </c>
      <c r="CM154" s="21">
        <f>EXP(-LN(2)/2)*CM153+(1-EXP(-LN(2)/2))/(LN(2)/2)*CG154*CJ154*VLOOKUP('Données projet'!$B$12,Paramètres!$A$1:$I$89,3,0)*0.475*44/12</f>
        <v>6.5484902798950057E-5</v>
      </c>
      <c r="CN154" s="22">
        <f t="shared" ref="CN154:CN203" si="172">SUM(CK154:CM154)</f>
        <v>37.637765962043161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5.6843418860808015E-14</v>
      </c>
      <c r="CU154" s="17">
        <f>CT154*VLOOKUP('Données projet'!$B$13,Paramètres!$A$1:$I$89,3,0)*VLOOKUP('Données projet'!$B$13,Paramètres!$A$1:$I$89,5,0)</f>
        <v>6.1186256061773749E-14</v>
      </c>
      <c r="CV154" s="13">
        <f t="shared" ref="CV154:CV203" si="173">EXP(-1.0587+0.8836*LN(CU154)+0.284)</f>
        <v>9.7328366192051127E-13</v>
      </c>
      <c r="CW154" s="20">
        <f t="shared" ref="CW154:CW203" si="174">(CU154+CV154)*0.475*44/12</f>
        <v>1.8017017738191463E-12</v>
      </c>
      <c r="CX154" s="59">
        <f t="shared" si="122"/>
        <v>293.33333333333513</v>
      </c>
      <c r="CY154" s="59">
        <f ca="1">AVERAGE(OFFSET($CX$3,0,0,'Données projet'!$E$13+1,1))-AVERAGE(OFFSET($H$3,0,0,'Données projet'!$E$13+1,1))</f>
        <v>158.74837032815333</v>
      </c>
      <c r="CZ154" s="59">
        <f t="shared" si="150"/>
        <v>92.286636088270086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41.268979032283823</v>
      </c>
      <c r="DG154" s="21">
        <f>EXP(-LN(2)/25)*DG153+(1-EXP(-LN(2)/25))/(LN(2)/25)*Calculateur!DB154*Calculateur!DD154*VLOOKUP('Données projet'!$B$13,Paramètres!$A$1:$I$89,3,0)*0.475*44/12</f>
        <v>0.61813924066269987</v>
      </c>
      <c r="DH154" s="21">
        <f>EXP(-LN(2)/2)*DH153+(1-EXP(-LN(2)/2))/(LN(2)/2)*DB154*DE154*VLOOKUP('Données projet'!$B$13,Paramètres!$A$1:$I$89,3,0)*0.475*44/12</f>
        <v>7.2878359566573418E-5</v>
      </c>
      <c r="DI154" s="22">
        <f t="shared" ref="DI154:DI203" si="175">SUM(DF154:DH154)</f>
        <v>41.887191151306091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2.8421709430404007E-13</v>
      </c>
      <c r="O155" s="13">
        <f>N155*VLOOKUP('Données projet'!$B$9,Paramètres!$A$1:$I$89,3,0)*VLOOKUP('Données projet'!$B$9,Paramètres!$A$1:$I$89,5,0)</f>
        <v>2.3942448024172339E-13</v>
      </c>
      <c r="P155" s="13">
        <f t="shared" si="141"/>
        <v>3.2492669905861755E-12</v>
      </c>
      <c r="Q155" s="20">
        <f t="shared" si="162"/>
        <v>6.0761376450252573E-12</v>
      </c>
      <c r="R155" s="59">
        <f t="shared" si="109"/>
        <v>293.3333333333394</v>
      </c>
      <c r="S155" s="59">
        <f ca="1">AVERAGE(OFFSET($R$3,0,0,'Données projet'!$E$9+1,1))-AVERAGE(OFFSET($H$3,0,0,'Données projet'!$E$9+1,1))</f>
        <v>231.91408074258248</v>
      </c>
      <c r="T155" s="59">
        <f t="shared" si="142"/>
        <v>143.57726487417773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1.8840189992905455E-16</v>
      </c>
      <c r="AC155" s="22">
        <f t="shared" si="163"/>
        <v>1.8840189992905455E-16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2.8421709430404007E-13</v>
      </c>
      <c r="AJ155" s="13">
        <f>AI155*VLOOKUP('Données projet'!$B$10,Paramètres!$A$1:$I$89,3,0)*VLOOKUP('Données projet'!$B$10,Paramètres!$A$1:$I$89,5,0)</f>
        <v>2.5715962692629546E-13</v>
      </c>
      <c r="AK155" s="13">
        <f t="shared" si="164"/>
        <v>3.4610450122128953E-12</v>
      </c>
      <c r="AL155" s="20">
        <f t="shared" si="165"/>
        <v>6.4758730798340893E-12</v>
      </c>
      <c r="AM155" s="59">
        <f t="shared" si="113"/>
        <v>293.33333333333979</v>
      </c>
      <c r="AN155" s="59">
        <f ca="1">AVERAGE(OFFSET($AM$3,0,0,'Données projet'!$E$10+1,1))-AVERAGE(OFFSET($H$3,0,0,'Données projet'!$E$10+1,1))</f>
        <v>253.16772905022714</v>
      </c>
      <c r="AO155" s="59">
        <f t="shared" si="144"/>
        <v>156.67965022779907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2.0235759622009565E-16</v>
      </c>
      <c r="AX155" s="21">
        <f t="shared" si="166"/>
        <v>2.0235759622009565E-16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-2.8421709430404007E-14</v>
      </c>
      <c r="BE155" s="13">
        <f>BD155*VLOOKUP('Données projet'!$B$11,Paramètres!$A$1:$I$89,3,0)*VLOOKUP('Données projet'!$B$11,Paramètres!$A$1:$I$89,5,0)</f>
        <v>-1.6996182239381599E-14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119.24399403036387</v>
      </c>
      <c r="BJ155" s="59">
        <f t="shared" si="146"/>
        <v>119.60076838354843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4.3356959844683831E-19</v>
      </c>
      <c r="BS155" s="22">
        <f t="shared" si="169"/>
        <v>4.3356959844683831E-19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5.6843418860808015E-14</v>
      </c>
      <c r="BZ155" s="13">
        <f>BY155*VLOOKUP('Données projet'!$B$12,Paramètres!$A$1:$I$89,3,0)*VLOOKUP('Données projet'!$B$12,Paramètres!$A$1:$I$89,5,0)</f>
        <v>5.4978954722173515E-14</v>
      </c>
      <c r="CA155" s="13">
        <f t="shared" si="170"/>
        <v>8.8550225887742724E-13</v>
      </c>
      <c r="CB155" s="20">
        <f t="shared" si="171"/>
        <v>1.6380047803526383E-12</v>
      </c>
      <c r="CC155" s="59">
        <f t="shared" si="119"/>
        <v>293.33333333333496</v>
      </c>
      <c r="CD155" s="59">
        <f ca="1">AVERAGE(OFFSET($CC$3,0,0,'Données projet'!$E$12+1,1))-AVERAGE(OFFSET($H$3,0,0,'Données projet'!$E$12+1,1))</f>
        <v>135.95692658150551</v>
      </c>
      <c r="CE155" s="59">
        <f t="shared" si="148"/>
        <v>79.394119001888612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36.355110297873239</v>
      </c>
      <c r="CL155" s="21">
        <f>EXP(-LN(2)/25)*CL154+(1-EXP(-LN(2)/25))/(LN(2)/25)*Calculateur!CG155*Calculateur!CI155*VLOOKUP('Données projet'!$B$12,Paramètres!$A$1:$I$89,3,0)*0.475*44/12</f>
        <v>0.54024121476022324</v>
      </c>
      <c r="CM155" s="21">
        <f>EXP(-LN(2)/2)*CM154+(1-EXP(-LN(2)/2))/(LN(2)/2)*CG155*CJ155*VLOOKUP('Données projet'!$B$12,Paramètres!$A$1:$I$89,3,0)*0.475*44/12</f>
        <v>4.6304818834479513E-5</v>
      </c>
      <c r="CN155" s="22">
        <f t="shared" si="172"/>
        <v>36.895397817452299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5.6843418860808015E-14</v>
      </c>
      <c r="CU155" s="17">
        <f>CT155*VLOOKUP('Données projet'!$B$13,Paramètres!$A$1:$I$89,3,0)*VLOOKUP('Données projet'!$B$13,Paramètres!$A$1:$I$89,5,0)</f>
        <v>6.1186256061773749E-14</v>
      </c>
      <c r="CV155" s="13">
        <f t="shared" si="173"/>
        <v>9.7328366192051127E-13</v>
      </c>
      <c r="CW155" s="20">
        <f t="shared" si="174"/>
        <v>1.8017017738191463E-12</v>
      </c>
      <c r="CX155" s="59">
        <f t="shared" si="122"/>
        <v>293.33333333333513</v>
      </c>
      <c r="CY155" s="59">
        <f ca="1">AVERAGE(OFFSET($CX$3,0,0,'Données projet'!$E$13+1,1))-AVERAGE(OFFSET($H$3,0,0,'Données projet'!$E$13+1,1))</f>
        <v>158.74837032815333</v>
      </c>
      <c r="CZ155" s="59">
        <f t="shared" si="150"/>
        <v>92.286636088270086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40.459719525052456</v>
      </c>
      <c r="DG155" s="21">
        <f>EXP(-LN(2)/25)*DG154+(1-EXP(-LN(2)/25))/(LN(2)/25)*Calculateur!DB155*Calculateur!DD155*VLOOKUP('Données projet'!$B$13,Paramètres!$A$1:$I$89,3,0)*0.475*44/12</f>
        <v>0.60123619062024847</v>
      </c>
      <c r="DH155" s="21">
        <f>EXP(-LN(2)/2)*DH154+(1-EXP(-LN(2)/2))/(LN(2)/2)*DB155*DE155*VLOOKUP('Données projet'!$B$13,Paramètres!$A$1:$I$89,3,0)*0.475*44/12</f>
        <v>5.1532782251275563E-5</v>
      </c>
      <c r="DI155" s="22">
        <f t="shared" si="175"/>
        <v>41.061007248454956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2.8421709430404007E-13</v>
      </c>
      <c r="O156" s="13">
        <f>N156*VLOOKUP('Données projet'!$B$9,Paramètres!$A$1:$I$89,3,0)*VLOOKUP('Données projet'!$B$9,Paramètres!$A$1:$I$89,5,0)</f>
        <v>2.3942448024172339E-13</v>
      </c>
      <c r="P156" s="13">
        <f t="shared" si="141"/>
        <v>3.2492669905861755E-12</v>
      </c>
      <c r="Q156" s="20">
        <f t="shared" si="162"/>
        <v>6.0761376450252573E-12</v>
      </c>
      <c r="R156" s="59">
        <f t="shared" si="109"/>
        <v>293.3333333333394</v>
      </c>
      <c r="S156" s="59">
        <f ca="1">AVERAGE(OFFSET($R$3,0,0,'Données projet'!$E$9+1,1))-AVERAGE(OFFSET($H$3,0,0,'Données projet'!$E$9+1,1))</f>
        <v>231.91408074258248</v>
      </c>
      <c r="T156" s="59">
        <f t="shared" si="142"/>
        <v>143.57726487417773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1.332202610282638E-16</v>
      </c>
      <c r="AC156" s="22">
        <f t="shared" si="163"/>
        <v>1.332202610282638E-16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2.8421709430404007E-13</v>
      </c>
      <c r="AJ156" s="13">
        <f>AI156*VLOOKUP('Données projet'!$B$10,Paramètres!$A$1:$I$89,3,0)*VLOOKUP('Données projet'!$B$10,Paramètres!$A$1:$I$89,5,0)</f>
        <v>2.5715962692629546E-13</v>
      </c>
      <c r="AK156" s="13">
        <f t="shared" si="164"/>
        <v>3.4610450122128953E-12</v>
      </c>
      <c r="AL156" s="20">
        <f t="shared" si="165"/>
        <v>6.4758730798340893E-12</v>
      </c>
      <c r="AM156" s="59">
        <f t="shared" si="113"/>
        <v>293.33333333333979</v>
      </c>
      <c r="AN156" s="59">
        <f ca="1">AVERAGE(OFFSET($AM$3,0,0,'Données projet'!$E$10+1,1))-AVERAGE(OFFSET($H$3,0,0,'Données projet'!$E$10+1,1))</f>
        <v>253.16772905022714</v>
      </c>
      <c r="AO156" s="59">
        <f t="shared" si="144"/>
        <v>156.67965022779907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1.4308842851183891E-16</v>
      </c>
      <c r="AX156" s="21">
        <f t="shared" si="166"/>
        <v>1.4308842851183891E-16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-2.8421709430404007E-14</v>
      </c>
      <c r="BE156" s="13">
        <f>BD156*VLOOKUP('Données projet'!$B$11,Paramètres!$A$1:$I$89,3,0)*VLOOKUP('Données projet'!$B$11,Paramètres!$A$1:$I$89,5,0)</f>
        <v>-1.6996182239381599E-14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119.24399403036387</v>
      </c>
      <c r="BJ156" s="59">
        <f t="shared" si="146"/>
        <v>119.60076838354843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3.065800031780878E-19</v>
      </c>
      <c r="BS156" s="22">
        <f t="shared" si="169"/>
        <v>3.065800031780878E-19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5.6843418860808015E-14</v>
      </c>
      <c r="BZ156" s="13">
        <f>BY156*VLOOKUP('Données projet'!$B$12,Paramètres!$A$1:$I$89,3,0)*VLOOKUP('Données projet'!$B$12,Paramètres!$A$1:$I$89,5,0)</f>
        <v>5.4978954722173515E-14</v>
      </c>
      <c r="CA156" s="13">
        <f t="shared" si="170"/>
        <v>8.8550225887742724E-13</v>
      </c>
      <c r="CB156" s="20">
        <f t="shared" si="171"/>
        <v>1.6380047803526383E-12</v>
      </c>
      <c r="CC156" s="59">
        <f t="shared" si="119"/>
        <v>293.33333333333496</v>
      </c>
      <c r="CD156" s="59">
        <f ca="1">AVERAGE(OFFSET($CC$3,0,0,'Données projet'!$E$12+1,1))-AVERAGE(OFFSET($H$3,0,0,'Données projet'!$E$12+1,1))</f>
        <v>135.95692658150551</v>
      </c>
      <c r="CE156" s="59">
        <f t="shared" si="148"/>
        <v>79.394119001888612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35.642208759359683</v>
      </c>
      <c r="CL156" s="21">
        <f>EXP(-LN(2)/25)*CL155+(1-EXP(-LN(2)/25))/(LN(2)/25)*Calculateur!CG156*Calculateur!CI156*VLOOKUP('Données projet'!$B$12,Paramètres!$A$1:$I$89,3,0)*0.475*44/12</f>
        <v>0.52546829033255416</v>
      </c>
      <c r="CM156" s="21">
        <f>EXP(-LN(2)/2)*CM155+(1-EXP(-LN(2)/2))/(LN(2)/2)*CG156*CJ156*VLOOKUP('Données projet'!$B$12,Paramètres!$A$1:$I$89,3,0)*0.475*44/12</f>
        <v>3.2742451399475029E-5</v>
      </c>
      <c r="CN156" s="22">
        <f t="shared" si="172"/>
        <v>36.16770979214364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5.6843418860808015E-14</v>
      </c>
      <c r="CU156" s="17">
        <f>CT156*VLOOKUP('Données projet'!$B$13,Paramètres!$A$1:$I$89,3,0)*VLOOKUP('Données projet'!$B$13,Paramètres!$A$1:$I$89,5,0)</f>
        <v>6.1186256061773749E-14</v>
      </c>
      <c r="CV156" s="13">
        <f t="shared" si="173"/>
        <v>9.7328366192051127E-13</v>
      </c>
      <c r="CW156" s="20">
        <f t="shared" si="174"/>
        <v>1.8017017738191463E-12</v>
      </c>
      <c r="CX156" s="59">
        <f t="shared" si="122"/>
        <v>293.33333333333513</v>
      </c>
      <c r="CY156" s="59">
        <f ca="1">AVERAGE(OFFSET($CX$3,0,0,'Données projet'!$E$13+1,1))-AVERAGE(OFFSET($H$3,0,0,'Données projet'!$E$13+1,1))</f>
        <v>158.74837032815333</v>
      </c>
      <c r="CZ156" s="59">
        <f t="shared" si="150"/>
        <v>92.286636088270086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39.66632910315834</v>
      </c>
      <c r="DG156" s="21">
        <f>EXP(-LN(2)/25)*DG155+(1-EXP(-LN(2)/25))/(LN(2)/25)*Calculateur!DB156*Calculateur!DD156*VLOOKUP('Données projet'!$B$13,Paramètres!$A$1:$I$89,3,0)*0.475*44/12</f>
        <v>0.58479535537010063</v>
      </c>
      <c r="DH156" s="21">
        <f>EXP(-LN(2)/2)*DH155+(1-EXP(-LN(2)/2))/(LN(2)/2)*DB156*DE156*VLOOKUP('Données projet'!$B$13,Paramètres!$A$1:$I$89,3,0)*0.475*44/12</f>
        <v>3.6439179783286709E-5</v>
      </c>
      <c r="DI156" s="22">
        <f t="shared" si="175"/>
        <v>40.251160897708218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2.8421709430404007E-13</v>
      </c>
      <c r="O157" s="13">
        <f>N157*VLOOKUP('Données projet'!$B$9,Paramètres!$A$1:$I$89,3,0)*VLOOKUP('Données projet'!$B$9,Paramètres!$A$1:$I$89,5,0)</f>
        <v>2.3942448024172339E-13</v>
      </c>
      <c r="P157" s="13">
        <f t="shared" si="141"/>
        <v>3.2492669905861755E-12</v>
      </c>
      <c r="Q157" s="20">
        <f t="shared" si="162"/>
        <v>6.0761376450252573E-12</v>
      </c>
      <c r="R157" s="59">
        <f t="shared" si="109"/>
        <v>293.3333333333394</v>
      </c>
      <c r="S157" s="59">
        <f ca="1">AVERAGE(OFFSET($R$3,0,0,'Données projet'!$E$9+1,1))-AVERAGE(OFFSET($H$3,0,0,'Données projet'!$E$9+1,1))</f>
        <v>231.91408074258248</v>
      </c>
      <c r="T157" s="59">
        <f t="shared" si="142"/>
        <v>143.57726487417773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9.4200949964527276E-17</v>
      </c>
      <c r="AC157" s="22">
        <f t="shared" si="163"/>
        <v>9.4200949964527276E-17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2.8421709430404007E-13</v>
      </c>
      <c r="AJ157" s="13">
        <f>AI157*VLOOKUP('Données projet'!$B$10,Paramètres!$A$1:$I$89,3,0)*VLOOKUP('Données projet'!$B$10,Paramètres!$A$1:$I$89,5,0)</f>
        <v>2.5715962692629546E-13</v>
      </c>
      <c r="AK157" s="13">
        <f t="shared" si="164"/>
        <v>3.4610450122128953E-12</v>
      </c>
      <c r="AL157" s="20">
        <f t="shared" si="165"/>
        <v>6.4758730798340893E-12</v>
      </c>
      <c r="AM157" s="59">
        <f t="shared" si="113"/>
        <v>293.33333333333979</v>
      </c>
      <c r="AN157" s="59">
        <f ca="1">AVERAGE(OFFSET($AM$3,0,0,'Données projet'!$E$10+1,1))-AVERAGE(OFFSET($H$3,0,0,'Données projet'!$E$10+1,1))</f>
        <v>253.16772905022714</v>
      </c>
      <c r="AO157" s="59">
        <f t="shared" si="144"/>
        <v>156.67965022779907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1.0117879811004783E-16</v>
      </c>
      <c r="AX157" s="21">
        <f t="shared" si="166"/>
        <v>1.0117879811004783E-16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-2.8421709430404007E-14</v>
      </c>
      <c r="BE157" s="13">
        <f>BD157*VLOOKUP('Données projet'!$B$11,Paramètres!$A$1:$I$89,3,0)*VLOOKUP('Données projet'!$B$11,Paramètres!$A$1:$I$89,5,0)</f>
        <v>-1.6996182239381599E-14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119.24399403036387</v>
      </c>
      <c r="BJ157" s="59">
        <f t="shared" si="146"/>
        <v>119.60076838354843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2.1678479922341918E-19</v>
      </c>
      <c r="BS157" s="22">
        <f t="shared" si="169"/>
        <v>2.1678479922341918E-19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5.6843418860808015E-14</v>
      </c>
      <c r="BZ157" s="13">
        <f>BY157*VLOOKUP('Données projet'!$B$12,Paramètres!$A$1:$I$89,3,0)*VLOOKUP('Données projet'!$B$12,Paramètres!$A$1:$I$89,5,0)</f>
        <v>5.4978954722173515E-14</v>
      </c>
      <c r="CA157" s="13">
        <f t="shared" si="170"/>
        <v>8.8550225887742724E-13</v>
      </c>
      <c r="CB157" s="20">
        <f t="shared" si="171"/>
        <v>1.6380047803526383E-12</v>
      </c>
      <c r="CC157" s="59">
        <f t="shared" si="119"/>
        <v>293.33333333333496</v>
      </c>
      <c r="CD157" s="59">
        <f ca="1">AVERAGE(OFFSET($CC$3,0,0,'Données projet'!$E$12+1,1))-AVERAGE(OFFSET($H$3,0,0,'Données projet'!$E$12+1,1))</f>
        <v>135.95692658150551</v>
      </c>
      <c r="CE157" s="59">
        <f t="shared" si="148"/>
        <v>79.394119001888612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34.943286785189372</v>
      </c>
      <c r="CL157" s="21">
        <f>EXP(-LN(2)/25)*CL156+(1-EXP(-LN(2)/25))/(LN(2)/25)*Calculateur!CG157*Calculateur!CI157*VLOOKUP('Données projet'!$B$12,Paramètres!$A$1:$I$89,3,0)*0.475*44/12</f>
        <v>0.51109933230023408</v>
      </c>
      <c r="CM157" s="21">
        <f>EXP(-LN(2)/2)*CM156+(1-EXP(-LN(2)/2))/(LN(2)/2)*CG157*CJ157*VLOOKUP('Données projet'!$B$12,Paramètres!$A$1:$I$89,3,0)*0.475*44/12</f>
        <v>2.3152409417239756E-5</v>
      </c>
      <c r="CN157" s="22">
        <f t="shared" si="172"/>
        <v>35.454409269899024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5.6843418860808015E-14</v>
      </c>
      <c r="CU157" s="17">
        <f>CT157*VLOOKUP('Données projet'!$B$13,Paramètres!$A$1:$I$89,3,0)*VLOOKUP('Données projet'!$B$13,Paramètres!$A$1:$I$89,5,0)</f>
        <v>6.1186256061773749E-14</v>
      </c>
      <c r="CV157" s="13">
        <f t="shared" si="173"/>
        <v>9.7328366192051127E-13</v>
      </c>
      <c r="CW157" s="20">
        <f t="shared" si="174"/>
        <v>1.8017017738191463E-12</v>
      </c>
      <c r="CX157" s="59">
        <f t="shared" si="122"/>
        <v>293.33333333333513</v>
      </c>
      <c r="CY157" s="59">
        <f ca="1">AVERAGE(OFFSET($CX$3,0,0,'Données projet'!$E$13+1,1))-AVERAGE(OFFSET($H$3,0,0,'Données projet'!$E$13+1,1))</f>
        <v>158.74837032815333</v>
      </c>
      <c r="CZ157" s="59">
        <f t="shared" si="150"/>
        <v>92.286636088270086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38.888496583517188</v>
      </c>
      <c r="DG157" s="21">
        <f>EXP(-LN(2)/25)*DG156+(1-EXP(-LN(2)/25))/(LN(2)/25)*Calculateur!DB157*Calculateur!DD157*VLOOKUP('Données projet'!$B$13,Paramètres!$A$1:$I$89,3,0)*0.475*44/12</f>
        <v>0.56880409562445411</v>
      </c>
      <c r="DH157" s="21">
        <f>EXP(-LN(2)/2)*DH156+(1-EXP(-LN(2)/2))/(LN(2)/2)*DB157*DE157*VLOOKUP('Données projet'!$B$13,Paramètres!$A$1:$I$89,3,0)*0.475*44/12</f>
        <v>2.5766391125637781E-5</v>
      </c>
      <c r="DI157" s="22">
        <f t="shared" si="175"/>
        <v>39.457326445532765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2.8421709430404007E-13</v>
      </c>
      <c r="O158" s="13">
        <f>N158*VLOOKUP('Données projet'!$B$9,Paramètres!$A$1:$I$89,3,0)*VLOOKUP('Données projet'!$B$9,Paramètres!$A$1:$I$89,5,0)</f>
        <v>2.3942448024172339E-13</v>
      </c>
      <c r="P158" s="13">
        <f t="shared" si="141"/>
        <v>3.2492669905861755E-12</v>
      </c>
      <c r="Q158" s="20">
        <f t="shared" si="162"/>
        <v>6.0761376450252573E-12</v>
      </c>
      <c r="R158" s="59">
        <f t="shared" si="109"/>
        <v>293.3333333333394</v>
      </c>
      <c r="S158" s="59">
        <f ca="1">AVERAGE(OFFSET($R$3,0,0,'Données projet'!$E$9+1,1))-AVERAGE(OFFSET($H$3,0,0,'Données projet'!$E$9+1,1))</f>
        <v>231.91408074258248</v>
      </c>
      <c r="T158" s="59">
        <f t="shared" si="142"/>
        <v>143.57726487417773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6.6610130514131899E-17</v>
      </c>
      <c r="AC158" s="22">
        <f t="shared" si="163"/>
        <v>6.6610130514131899E-17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2.8421709430404007E-13</v>
      </c>
      <c r="AJ158" s="13">
        <f>AI158*VLOOKUP('Données projet'!$B$10,Paramètres!$A$1:$I$89,3,0)*VLOOKUP('Données projet'!$B$10,Paramètres!$A$1:$I$89,5,0)</f>
        <v>2.5715962692629546E-13</v>
      </c>
      <c r="AK158" s="13">
        <f t="shared" si="164"/>
        <v>3.4610450122128953E-12</v>
      </c>
      <c r="AL158" s="20">
        <f t="shared" si="165"/>
        <v>6.4758730798340893E-12</v>
      </c>
      <c r="AM158" s="59">
        <f t="shared" si="113"/>
        <v>293.33333333333979</v>
      </c>
      <c r="AN158" s="59">
        <f ca="1">AVERAGE(OFFSET($AM$3,0,0,'Données projet'!$E$10+1,1))-AVERAGE(OFFSET($H$3,0,0,'Données projet'!$E$10+1,1))</f>
        <v>253.16772905022714</v>
      </c>
      <c r="AO158" s="59">
        <f t="shared" si="144"/>
        <v>156.67965022779907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7.1544214255919455E-17</v>
      </c>
      <c r="AX158" s="21">
        <f t="shared" si="166"/>
        <v>7.1544214255919455E-17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-2.8421709430404007E-14</v>
      </c>
      <c r="BE158" s="13">
        <f>BD158*VLOOKUP('Données projet'!$B$11,Paramètres!$A$1:$I$89,3,0)*VLOOKUP('Données projet'!$B$11,Paramètres!$A$1:$I$89,5,0)</f>
        <v>-1.6996182239381599E-14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119.24399403036387</v>
      </c>
      <c r="BJ158" s="59">
        <f t="shared" si="146"/>
        <v>119.60076838354843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1.5329000158904392E-19</v>
      </c>
      <c r="BS158" s="22">
        <f t="shared" si="169"/>
        <v>1.5329000158904392E-19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5.6843418860808015E-14</v>
      </c>
      <c r="BZ158" s="13">
        <f>BY158*VLOOKUP('Données projet'!$B$12,Paramètres!$A$1:$I$89,3,0)*VLOOKUP('Données projet'!$B$12,Paramètres!$A$1:$I$89,5,0)</f>
        <v>5.4978954722173515E-14</v>
      </c>
      <c r="CA158" s="13">
        <f t="shared" si="170"/>
        <v>8.8550225887742724E-13</v>
      </c>
      <c r="CB158" s="20">
        <f t="shared" si="171"/>
        <v>1.6380047803526383E-12</v>
      </c>
      <c r="CC158" s="59">
        <f t="shared" si="119"/>
        <v>293.33333333333496</v>
      </c>
      <c r="CD158" s="59">
        <f ca="1">AVERAGE(OFFSET($CC$3,0,0,'Données projet'!$E$12+1,1))-AVERAGE(OFFSET($H$3,0,0,'Données projet'!$E$12+1,1))</f>
        <v>135.95692658150551</v>
      </c>
      <c r="CE158" s="59">
        <f t="shared" si="148"/>
        <v>79.394119001888612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34.258070244632236</v>
      </c>
      <c r="CL158" s="21">
        <f>EXP(-LN(2)/25)*CL157+(1-EXP(-LN(2)/25))/(LN(2)/25)*Calculateur!CG158*Calculateur!CI158*VLOOKUP('Données projet'!$B$12,Paramètres!$A$1:$I$89,3,0)*0.475*44/12</f>
        <v>0.49712329418093842</v>
      </c>
      <c r="CM158" s="21">
        <f>EXP(-LN(2)/2)*CM157+(1-EXP(-LN(2)/2))/(LN(2)/2)*CG158*CJ158*VLOOKUP('Données projet'!$B$12,Paramètres!$A$1:$I$89,3,0)*0.475*44/12</f>
        <v>1.6371225699737514E-5</v>
      </c>
      <c r="CN158" s="22">
        <f t="shared" si="172"/>
        <v>34.755209910038872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5.6843418860808015E-14</v>
      </c>
      <c r="CU158" s="17">
        <f>CT158*VLOOKUP('Données projet'!$B$13,Paramètres!$A$1:$I$89,3,0)*VLOOKUP('Données projet'!$B$13,Paramètres!$A$1:$I$89,5,0)</f>
        <v>6.1186256061773749E-14</v>
      </c>
      <c r="CV158" s="13">
        <f t="shared" si="173"/>
        <v>9.7328366192051127E-13</v>
      </c>
      <c r="CW158" s="20">
        <f t="shared" si="174"/>
        <v>1.8017017738191463E-12</v>
      </c>
      <c r="CX158" s="59">
        <f t="shared" si="122"/>
        <v>293.33333333333513</v>
      </c>
      <c r="CY158" s="59">
        <f ca="1">AVERAGE(OFFSET($CX$3,0,0,'Données projet'!$E$13+1,1))-AVERAGE(OFFSET($H$3,0,0,'Données projet'!$E$13+1,1))</f>
        <v>158.74837032815333</v>
      </c>
      <c r="CZ158" s="59">
        <f t="shared" si="150"/>
        <v>92.286636088270086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38.125916885155213</v>
      </c>
      <c r="DG158" s="21">
        <f>EXP(-LN(2)/25)*DG157+(1-EXP(-LN(2)/25))/(LN(2)/25)*Calculateur!DB158*Calculateur!DD158*VLOOKUP('Données projet'!$B$13,Paramètres!$A$1:$I$89,3,0)*0.475*44/12</f>
        <v>0.55325011771749599</v>
      </c>
      <c r="DH158" s="21">
        <f>EXP(-LN(2)/2)*DH157+(1-EXP(-LN(2)/2))/(LN(2)/2)*DB158*DE158*VLOOKUP('Données projet'!$B$13,Paramètres!$A$1:$I$89,3,0)*0.475*44/12</f>
        <v>1.8219589891643354E-5</v>
      </c>
      <c r="DI158" s="22">
        <f t="shared" si="175"/>
        <v>38.6791852224626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2.8421709430404007E-13</v>
      </c>
      <c r="O159" s="13">
        <f>N159*VLOOKUP('Données projet'!$B$9,Paramètres!$A$1:$I$89,3,0)*VLOOKUP('Données projet'!$B$9,Paramètres!$A$1:$I$89,5,0)</f>
        <v>2.3942448024172339E-13</v>
      </c>
      <c r="P159" s="13">
        <f t="shared" si="141"/>
        <v>3.2492669905861755E-12</v>
      </c>
      <c r="Q159" s="20">
        <f t="shared" si="162"/>
        <v>6.0761376450252573E-12</v>
      </c>
      <c r="R159" s="59">
        <f t="shared" si="109"/>
        <v>293.3333333333394</v>
      </c>
      <c r="S159" s="59">
        <f ca="1">AVERAGE(OFFSET($R$3,0,0,'Données projet'!$E$9+1,1))-AVERAGE(OFFSET($H$3,0,0,'Données projet'!$E$9+1,1))</f>
        <v>231.91408074258248</v>
      </c>
      <c r="T159" s="59">
        <f t="shared" si="142"/>
        <v>143.57726487417773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4.7100474982263638E-17</v>
      </c>
      <c r="AC159" s="22">
        <f t="shared" si="163"/>
        <v>4.7100474982263638E-17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2.8421709430404007E-13</v>
      </c>
      <c r="AJ159" s="13">
        <f>AI159*VLOOKUP('Données projet'!$B$10,Paramètres!$A$1:$I$89,3,0)*VLOOKUP('Données projet'!$B$10,Paramètres!$A$1:$I$89,5,0)</f>
        <v>2.5715962692629546E-13</v>
      </c>
      <c r="AK159" s="13">
        <f t="shared" si="164"/>
        <v>3.4610450122128953E-12</v>
      </c>
      <c r="AL159" s="20">
        <f t="shared" si="165"/>
        <v>6.4758730798340893E-12</v>
      </c>
      <c r="AM159" s="59">
        <f t="shared" si="113"/>
        <v>293.33333333333979</v>
      </c>
      <c r="AN159" s="59">
        <f ca="1">AVERAGE(OFFSET($AM$3,0,0,'Données projet'!$E$10+1,1))-AVERAGE(OFFSET($H$3,0,0,'Données projet'!$E$10+1,1))</f>
        <v>253.16772905022714</v>
      </c>
      <c r="AO159" s="59">
        <f t="shared" si="144"/>
        <v>156.67965022779907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5.0589399055023913E-17</v>
      </c>
      <c r="AX159" s="21">
        <f t="shared" si="166"/>
        <v>5.0589399055023913E-17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-2.8421709430404007E-14</v>
      </c>
      <c r="BE159" s="13">
        <f>BD159*VLOOKUP('Données projet'!$B$11,Paramètres!$A$1:$I$89,3,0)*VLOOKUP('Données projet'!$B$11,Paramètres!$A$1:$I$89,5,0)</f>
        <v>-1.6996182239381599E-14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119.24399403036387</v>
      </c>
      <c r="BJ159" s="59">
        <f t="shared" si="146"/>
        <v>119.60076838354843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1.0839239961170961E-19</v>
      </c>
      <c r="BS159" s="22">
        <f t="shared" si="169"/>
        <v>1.0839239961170961E-19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5.6843418860808015E-14</v>
      </c>
      <c r="BZ159" s="13">
        <f>BY159*VLOOKUP('Données projet'!$B$12,Paramètres!$A$1:$I$89,3,0)*VLOOKUP('Données projet'!$B$12,Paramètres!$A$1:$I$89,5,0)</f>
        <v>5.4978954722173515E-14</v>
      </c>
      <c r="CA159" s="13">
        <f t="shared" si="170"/>
        <v>8.8550225887742724E-13</v>
      </c>
      <c r="CB159" s="20">
        <f t="shared" si="171"/>
        <v>1.6380047803526383E-12</v>
      </c>
      <c r="CC159" s="59">
        <f t="shared" si="119"/>
        <v>293.33333333333496</v>
      </c>
      <c r="CD159" s="59">
        <f ca="1">AVERAGE(OFFSET($CC$3,0,0,'Données projet'!$E$12+1,1))-AVERAGE(OFFSET($H$3,0,0,'Données projet'!$E$12+1,1))</f>
        <v>135.95692658150551</v>
      </c>
      <c r="CE159" s="59">
        <f t="shared" si="148"/>
        <v>79.394119001888612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33.586290382494603</v>
      </c>
      <c r="CL159" s="21">
        <f>EXP(-LN(2)/25)*CL158+(1-EXP(-LN(2)/25))/(LN(2)/25)*Calculateur!CG159*Calculateur!CI159*VLOOKUP('Données projet'!$B$12,Paramètres!$A$1:$I$89,3,0)*0.475*44/12</f>
        <v>0.48352943155898281</v>
      </c>
      <c r="CM159" s="21">
        <f>EXP(-LN(2)/2)*CM158+(1-EXP(-LN(2)/2))/(LN(2)/2)*CG159*CJ159*VLOOKUP('Données projet'!$B$12,Paramètres!$A$1:$I$89,3,0)*0.475*44/12</f>
        <v>1.1576204708619878E-5</v>
      </c>
      <c r="CN159" s="22">
        <f t="shared" si="172"/>
        <v>34.069831390258294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5.6843418860808015E-14</v>
      </c>
      <c r="CU159" s="17">
        <f>CT159*VLOOKUP('Données projet'!$B$13,Paramètres!$A$1:$I$89,3,0)*VLOOKUP('Données projet'!$B$13,Paramètres!$A$1:$I$89,5,0)</f>
        <v>6.1186256061773749E-14</v>
      </c>
      <c r="CV159" s="13">
        <f t="shared" si="173"/>
        <v>9.7328366192051127E-13</v>
      </c>
      <c r="CW159" s="20">
        <f t="shared" si="174"/>
        <v>1.8017017738191463E-12</v>
      </c>
      <c r="CX159" s="59">
        <f t="shared" si="122"/>
        <v>293.33333333333513</v>
      </c>
      <c r="CY159" s="59">
        <f ca="1">AVERAGE(OFFSET($CX$3,0,0,'Données projet'!$E$13+1,1))-AVERAGE(OFFSET($H$3,0,0,'Données projet'!$E$13+1,1))</f>
        <v>158.74837032815333</v>
      </c>
      <c r="CZ159" s="59">
        <f t="shared" si="150"/>
        <v>92.286636088270086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37.378290909550429</v>
      </c>
      <c r="DG159" s="21">
        <f>EXP(-LN(2)/25)*DG158+(1-EXP(-LN(2)/25))/(LN(2)/25)*Calculateur!DB159*Calculateur!DD159*VLOOKUP('Données projet'!$B$13,Paramètres!$A$1:$I$89,3,0)*0.475*44/12</f>
        <v>0.5381214641543518</v>
      </c>
      <c r="DH159" s="21">
        <f>EXP(-LN(2)/2)*DH158+(1-EXP(-LN(2)/2))/(LN(2)/2)*DB159*DE159*VLOOKUP('Données projet'!$B$13,Paramètres!$A$1:$I$89,3,0)*0.475*44/12</f>
        <v>1.2883195562818891E-5</v>
      </c>
      <c r="DI159" s="22">
        <f t="shared" si="175"/>
        <v>37.916425256900347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2.8421709430404007E-13</v>
      </c>
      <c r="O160" s="13">
        <f>N160*VLOOKUP('Données projet'!$B$9,Paramètres!$A$1:$I$89,3,0)*VLOOKUP('Données projet'!$B$9,Paramètres!$A$1:$I$89,5,0)</f>
        <v>2.3942448024172339E-13</v>
      </c>
      <c r="P160" s="13">
        <f t="shared" si="141"/>
        <v>3.2492669905861755E-12</v>
      </c>
      <c r="Q160" s="20">
        <f t="shared" si="162"/>
        <v>6.0761376450252573E-12</v>
      </c>
      <c r="R160" s="59">
        <f t="shared" si="109"/>
        <v>293.3333333333394</v>
      </c>
      <c r="S160" s="59">
        <f ca="1">AVERAGE(OFFSET($R$3,0,0,'Données projet'!$E$9+1,1))-AVERAGE(OFFSET($H$3,0,0,'Données projet'!$E$9+1,1))</f>
        <v>231.91408074258248</v>
      </c>
      <c r="T160" s="59">
        <f t="shared" si="142"/>
        <v>143.57726487417773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3.3305065257065949E-17</v>
      </c>
      <c r="AC160" s="22">
        <f t="shared" si="163"/>
        <v>3.3305065257065949E-17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2.8421709430404007E-13</v>
      </c>
      <c r="AJ160" s="13">
        <f>AI160*VLOOKUP('Données projet'!$B$10,Paramètres!$A$1:$I$89,3,0)*VLOOKUP('Données projet'!$B$10,Paramètres!$A$1:$I$89,5,0)</f>
        <v>2.5715962692629546E-13</v>
      </c>
      <c r="AK160" s="13">
        <f t="shared" si="164"/>
        <v>3.4610450122128953E-12</v>
      </c>
      <c r="AL160" s="20">
        <f t="shared" si="165"/>
        <v>6.4758730798340893E-12</v>
      </c>
      <c r="AM160" s="59">
        <f t="shared" si="113"/>
        <v>293.33333333333979</v>
      </c>
      <c r="AN160" s="59">
        <f ca="1">AVERAGE(OFFSET($AM$3,0,0,'Données projet'!$E$10+1,1))-AVERAGE(OFFSET($H$3,0,0,'Données projet'!$E$10+1,1))</f>
        <v>253.16772905022714</v>
      </c>
      <c r="AO160" s="59">
        <f t="shared" si="144"/>
        <v>156.67965022779907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3.5772107127959727E-17</v>
      </c>
      <c r="AX160" s="21">
        <f t="shared" si="166"/>
        <v>3.5772107127959727E-17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-2.8421709430404007E-14</v>
      </c>
      <c r="BE160" s="13">
        <f>BD160*VLOOKUP('Données projet'!$B$11,Paramètres!$A$1:$I$89,3,0)*VLOOKUP('Données projet'!$B$11,Paramètres!$A$1:$I$89,5,0)</f>
        <v>-1.6996182239381599E-14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119.24399403036387</v>
      </c>
      <c r="BJ160" s="59">
        <f t="shared" si="146"/>
        <v>119.60076838354843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7.6645000794521974E-20</v>
      </c>
      <c r="BS160" s="22">
        <f t="shared" si="169"/>
        <v>7.6645000794521974E-20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5.6843418860808015E-14</v>
      </c>
      <c r="BZ160" s="13">
        <f>BY160*VLOOKUP('Données projet'!$B$12,Paramètres!$A$1:$I$89,3,0)*VLOOKUP('Données projet'!$B$12,Paramètres!$A$1:$I$89,5,0)</f>
        <v>5.4978954722173515E-14</v>
      </c>
      <c r="CA160" s="13">
        <f t="shared" si="170"/>
        <v>8.8550225887742724E-13</v>
      </c>
      <c r="CB160" s="20">
        <f t="shared" si="171"/>
        <v>1.6380047803526383E-12</v>
      </c>
      <c r="CC160" s="59">
        <f t="shared" si="119"/>
        <v>293.33333333333496</v>
      </c>
      <c r="CD160" s="59">
        <f ca="1">AVERAGE(OFFSET($CC$3,0,0,'Données projet'!$E$12+1,1))-AVERAGE(OFFSET($H$3,0,0,'Données projet'!$E$12+1,1))</f>
        <v>135.95692658150551</v>
      </c>
      <c r="CE160" s="59">
        <f t="shared" si="148"/>
        <v>79.394119001888612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32.927683713708234</v>
      </c>
      <c r="CL160" s="21">
        <f>EXP(-LN(2)/25)*CL159+(1-EXP(-LN(2)/25))/(LN(2)/25)*Calculateur!CG160*Calculateur!CI160*VLOOKUP('Données projet'!$B$12,Paramètres!$A$1:$I$89,3,0)*0.475*44/12</f>
        <v>0.47030729382529474</v>
      </c>
      <c r="CM160" s="21">
        <f>EXP(-LN(2)/2)*CM159+(1-EXP(-LN(2)/2))/(LN(2)/2)*CG160*CJ160*VLOOKUP('Données projet'!$B$12,Paramètres!$A$1:$I$89,3,0)*0.475*44/12</f>
        <v>8.1856128498687572E-6</v>
      </c>
      <c r="CN160" s="22">
        <f t="shared" si="172"/>
        <v>33.397999193146376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5.6843418860808015E-14</v>
      </c>
      <c r="CU160" s="17">
        <f>CT160*VLOOKUP('Données projet'!$B$13,Paramètres!$A$1:$I$89,3,0)*VLOOKUP('Données projet'!$B$13,Paramètres!$A$1:$I$89,5,0)</f>
        <v>6.1186256061773749E-14</v>
      </c>
      <c r="CV160" s="13">
        <f t="shared" si="173"/>
        <v>9.7328366192051127E-13</v>
      </c>
      <c r="CW160" s="20">
        <f t="shared" si="174"/>
        <v>1.8017017738191463E-12</v>
      </c>
      <c r="CX160" s="59">
        <f t="shared" si="122"/>
        <v>293.33333333333513</v>
      </c>
      <c r="CY160" s="59">
        <f ca="1">AVERAGE(OFFSET($CX$3,0,0,'Données projet'!$E$13+1,1))-AVERAGE(OFFSET($H$3,0,0,'Données projet'!$E$13+1,1))</f>
        <v>158.74837032815333</v>
      </c>
      <c r="CZ160" s="59">
        <f t="shared" si="150"/>
        <v>92.286636088270086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36.645325423320436</v>
      </c>
      <c r="DG160" s="21">
        <f>EXP(-LN(2)/25)*DG159+(1-EXP(-LN(2)/25))/(LN(2)/25)*Calculateur!DB160*Calculateur!DD160*VLOOKUP('Données projet'!$B$13,Paramètres!$A$1:$I$89,3,0)*0.475*44/12</f>
        <v>0.52340650441847314</v>
      </c>
      <c r="DH160" s="21">
        <f>EXP(-LN(2)/2)*DH159+(1-EXP(-LN(2)/2))/(LN(2)/2)*DB160*DE160*VLOOKUP('Données projet'!$B$13,Paramètres!$A$1:$I$89,3,0)*0.475*44/12</f>
        <v>9.1097949458216772E-6</v>
      </c>
      <c r="DI160" s="22">
        <f t="shared" si="175"/>
        <v>37.168741037533856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2.8421709430404007E-13</v>
      </c>
      <c r="O161" s="13">
        <f>N161*VLOOKUP('Données projet'!$B$9,Paramètres!$A$1:$I$89,3,0)*VLOOKUP('Données projet'!$B$9,Paramètres!$A$1:$I$89,5,0)</f>
        <v>2.3942448024172339E-13</v>
      </c>
      <c r="P161" s="13">
        <f t="shared" si="141"/>
        <v>3.2492669905861755E-12</v>
      </c>
      <c r="Q161" s="20">
        <f t="shared" si="162"/>
        <v>6.0761376450252573E-12</v>
      </c>
      <c r="R161" s="59">
        <f t="shared" si="109"/>
        <v>293.3333333333394</v>
      </c>
      <c r="S161" s="59">
        <f ca="1">AVERAGE(OFFSET($R$3,0,0,'Données projet'!$E$9+1,1))-AVERAGE(OFFSET($H$3,0,0,'Données projet'!$E$9+1,1))</f>
        <v>231.91408074258248</v>
      </c>
      <c r="T161" s="59">
        <f t="shared" si="142"/>
        <v>143.57726487417773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2.3550237491131819E-17</v>
      </c>
      <c r="AC161" s="22">
        <f t="shared" si="163"/>
        <v>2.3550237491131819E-17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2.8421709430404007E-13</v>
      </c>
      <c r="AJ161" s="13">
        <f>AI161*VLOOKUP('Données projet'!$B$10,Paramètres!$A$1:$I$89,3,0)*VLOOKUP('Données projet'!$B$10,Paramètres!$A$1:$I$89,5,0)</f>
        <v>2.5715962692629546E-13</v>
      </c>
      <c r="AK161" s="13">
        <f t="shared" si="164"/>
        <v>3.4610450122128953E-12</v>
      </c>
      <c r="AL161" s="20">
        <f t="shared" si="165"/>
        <v>6.4758730798340893E-12</v>
      </c>
      <c r="AM161" s="59">
        <f t="shared" si="113"/>
        <v>293.33333333333979</v>
      </c>
      <c r="AN161" s="59">
        <f ca="1">AVERAGE(OFFSET($AM$3,0,0,'Données projet'!$E$10+1,1))-AVERAGE(OFFSET($H$3,0,0,'Données projet'!$E$10+1,1))</f>
        <v>253.16772905022714</v>
      </c>
      <c r="AO161" s="59">
        <f t="shared" si="144"/>
        <v>156.67965022779907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2.5294699527511956E-17</v>
      </c>
      <c r="AX161" s="21">
        <f t="shared" si="166"/>
        <v>2.5294699527511956E-17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-2.8421709430404007E-14</v>
      </c>
      <c r="BE161" s="13">
        <f>BD161*VLOOKUP('Données projet'!$B$11,Paramètres!$A$1:$I$89,3,0)*VLOOKUP('Données projet'!$B$11,Paramètres!$A$1:$I$89,5,0)</f>
        <v>-1.6996182239381599E-14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119.24399403036387</v>
      </c>
      <c r="BJ161" s="59">
        <f t="shared" si="146"/>
        <v>119.60076838354843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5.4196199805854813E-20</v>
      </c>
      <c r="BS161" s="22">
        <f t="shared" si="169"/>
        <v>5.4196199805854813E-20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5.6843418860808015E-14</v>
      </c>
      <c r="BZ161" s="13">
        <f>BY161*VLOOKUP('Données projet'!$B$12,Paramètres!$A$1:$I$89,3,0)*VLOOKUP('Données projet'!$B$12,Paramètres!$A$1:$I$89,5,0)</f>
        <v>5.4978954722173515E-14</v>
      </c>
      <c r="CA161" s="13">
        <f t="shared" si="170"/>
        <v>8.8550225887742724E-13</v>
      </c>
      <c r="CB161" s="20">
        <f t="shared" si="171"/>
        <v>1.6380047803526383E-12</v>
      </c>
      <c r="CC161" s="59">
        <f t="shared" si="119"/>
        <v>293.33333333333496</v>
      </c>
      <c r="CD161" s="59">
        <f ca="1">AVERAGE(OFFSET($CC$3,0,0,'Données projet'!$E$12+1,1))-AVERAGE(OFFSET($H$3,0,0,'Données projet'!$E$12+1,1))</f>
        <v>135.95692658150551</v>
      </c>
      <c r="CE161" s="59">
        <f t="shared" si="148"/>
        <v>79.394119001888612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32.281991919986361</v>
      </c>
      <c r="CL161" s="21">
        <f>EXP(-LN(2)/25)*CL160+(1-EXP(-LN(2)/25))/(LN(2)/25)*Calculateur!CG161*Calculateur!CI161*VLOOKUP('Données projet'!$B$12,Paramètres!$A$1:$I$89,3,0)*0.475*44/12</f>
        <v>0.45744671614325638</v>
      </c>
      <c r="CM161" s="21">
        <f>EXP(-LN(2)/2)*CM160+(1-EXP(-LN(2)/2))/(LN(2)/2)*CG161*CJ161*VLOOKUP('Données projet'!$B$12,Paramètres!$A$1:$I$89,3,0)*0.475*44/12</f>
        <v>5.7881023543099391E-6</v>
      </c>
      <c r="CN161" s="22">
        <f t="shared" si="172"/>
        <v>32.739444424231976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5.6843418860808015E-14</v>
      </c>
      <c r="CU161" s="17">
        <f>CT161*VLOOKUP('Données projet'!$B$13,Paramètres!$A$1:$I$89,3,0)*VLOOKUP('Données projet'!$B$13,Paramètres!$A$1:$I$89,5,0)</f>
        <v>6.1186256061773749E-14</v>
      </c>
      <c r="CV161" s="13">
        <f t="shared" si="173"/>
        <v>9.7328366192051127E-13</v>
      </c>
      <c r="CW161" s="20">
        <f t="shared" si="174"/>
        <v>1.8017017738191463E-12</v>
      </c>
      <c r="CX161" s="59">
        <f t="shared" si="122"/>
        <v>293.33333333333513</v>
      </c>
      <c r="CY161" s="59">
        <f ca="1">AVERAGE(OFFSET($CX$3,0,0,'Données projet'!$E$13+1,1))-AVERAGE(OFFSET($H$3,0,0,'Données projet'!$E$13+1,1))</f>
        <v>158.74837032815333</v>
      </c>
      <c r="CZ161" s="59">
        <f t="shared" si="150"/>
        <v>92.286636088270086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35.92673294321061</v>
      </c>
      <c r="DG161" s="21">
        <f>EXP(-LN(2)/25)*DG160+(1-EXP(-LN(2)/25))/(LN(2)/25)*Calculateur!DB161*Calculateur!DD161*VLOOKUP('Données projet'!$B$13,Paramètres!$A$1:$I$89,3,0)*0.475*44/12</f>
        <v>0.50909392603039816</v>
      </c>
      <c r="DH161" s="21">
        <f>EXP(-LN(2)/2)*DH160+(1-EXP(-LN(2)/2))/(LN(2)/2)*DB161*DE161*VLOOKUP('Données projet'!$B$13,Paramètres!$A$1:$I$89,3,0)*0.475*44/12</f>
        <v>6.4415977814094453E-6</v>
      </c>
      <c r="DI161" s="22">
        <f t="shared" si="175"/>
        <v>36.435833310838788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2.8421709430404007E-13</v>
      </c>
      <c r="O162" s="13">
        <f>N162*VLOOKUP('Données projet'!$B$9,Paramètres!$A$1:$I$89,3,0)*VLOOKUP('Données projet'!$B$9,Paramètres!$A$1:$I$89,5,0)</f>
        <v>2.3942448024172339E-13</v>
      </c>
      <c r="P162" s="13">
        <f t="shared" si="141"/>
        <v>3.2492669905861755E-12</v>
      </c>
      <c r="Q162" s="20">
        <f t="shared" si="162"/>
        <v>6.0761376450252573E-12</v>
      </c>
      <c r="R162" s="59">
        <f t="shared" si="109"/>
        <v>293.3333333333394</v>
      </c>
      <c r="S162" s="59">
        <f ca="1">AVERAGE(OFFSET($R$3,0,0,'Données projet'!$E$9+1,1))-AVERAGE(OFFSET($H$3,0,0,'Données projet'!$E$9+1,1))</f>
        <v>231.91408074258248</v>
      </c>
      <c r="T162" s="59">
        <f t="shared" si="142"/>
        <v>143.57726487417773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1.6652532628532975E-17</v>
      </c>
      <c r="AC162" s="22">
        <f t="shared" si="163"/>
        <v>1.6652532628532975E-17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2.8421709430404007E-13</v>
      </c>
      <c r="AJ162" s="13">
        <f>AI162*VLOOKUP('Données projet'!$B$10,Paramètres!$A$1:$I$89,3,0)*VLOOKUP('Données projet'!$B$10,Paramètres!$A$1:$I$89,5,0)</f>
        <v>2.5715962692629546E-13</v>
      </c>
      <c r="AK162" s="13">
        <f t="shared" si="164"/>
        <v>3.4610450122128953E-12</v>
      </c>
      <c r="AL162" s="20">
        <f t="shared" si="165"/>
        <v>6.4758730798340893E-12</v>
      </c>
      <c r="AM162" s="59">
        <f t="shared" si="113"/>
        <v>293.33333333333979</v>
      </c>
      <c r="AN162" s="59">
        <f ca="1">AVERAGE(OFFSET($AM$3,0,0,'Données projet'!$E$10+1,1))-AVERAGE(OFFSET($H$3,0,0,'Données projet'!$E$10+1,1))</f>
        <v>253.16772905022714</v>
      </c>
      <c r="AO162" s="59">
        <f t="shared" si="144"/>
        <v>156.67965022779907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1.7886053563979864E-17</v>
      </c>
      <c r="AX162" s="21">
        <f t="shared" si="166"/>
        <v>1.7886053563979864E-17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-2.8421709430404007E-14</v>
      </c>
      <c r="BE162" s="13">
        <f>BD162*VLOOKUP('Données projet'!$B$11,Paramètres!$A$1:$I$89,3,0)*VLOOKUP('Données projet'!$B$11,Paramètres!$A$1:$I$89,5,0)</f>
        <v>-1.6996182239381599E-14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119.24399403036387</v>
      </c>
      <c r="BJ162" s="59">
        <f t="shared" si="146"/>
        <v>119.60076838354843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3.8322500397260993E-20</v>
      </c>
      <c r="BS162" s="22">
        <f t="shared" si="169"/>
        <v>3.8322500397260993E-20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5.6843418860808015E-14</v>
      </c>
      <c r="BZ162" s="13">
        <f>BY162*VLOOKUP('Données projet'!$B$12,Paramètres!$A$1:$I$89,3,0)*VLOOKUP('Données projet'!$B$12,Paramètres!$A$1:$I$89,5,0)</f>
        <v>5.4978954722173515E-14</v>
      </c>
      <c r="CA162" s="13">
        <f t="shared" si="170"/>
        <v>8.8550225887742724E-13</v>
      </c>
      <c r="CB162" s="20">
        <f t="shared" si="171"/>
        <v>1.6380047803526383E-12</v>
      </c>
      <c r="CC162" s="59">
        <f t="shared" si="119"/>
        <v>293.33333333333496</v>
      </c>
      <c r="CD162" s="59">
        <f ca="1">AVERAGE(OFFSET($CC$3,0,0,'Données projet'!$E$12+1,1))-AVERAGE(OFFSET($H$3,0,0,'Données projet'!$E$12+1,1))</f>
        <v>135.95692658150551</v>
      </c>
      <c r="CE162" s="59">
        <f t="shared" si="148"/>
        <v>79.394119001888612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31.648961748506267</v>
      </c>
      <c r="CL162" s="21">
        <f>EXP(-LN(2)/25)*CL161+(1-EXP(-LN(2)/25))/(LN(2)/25)*Calculateur!CG162*Calculateur!CI162*VLOOKUP('Données projet'!$B$12,Paramètres!$A$1:$I$89,3,0)*0.475*44/12</f>
        <v>0.44493781163424173</v>
      </c>
      <c r="CM162" s="21">
        <f>EXP(-LN(2)/2)*CM161+(1-EXP(-LN(2)/2))/(LN(2)/2)*CG162*CJ162*VLOOKUP('Données projet'!$B$12,Paramètres!$A$1:$I$89,3,0)*0.475*44/12</f>
        <v>4.0928064249343786E-6</v>
      </c>
      <c r="CN162" s="22">
        <f t="shared" si="172"/>
        <v>32.093903652946935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5.6843418860808015E-14</v>
      </c>
      <c r="CU162" s="17">
        <f>CT162*VLOOKUP('Données projet'!$B$13,Paramètres!$A$1:$I$89,3,0)*VLOOKUP('Données projet'!$B$13,Paramètres!$A$1:$I$89,5,0)</f>
        <v>6.1186256061773749E-14</v>
      </c>
      <c r="CV162" s="13">
        <f t="shared" si="173"/>
        <v>9.7328366192051127E-13</v>
      </c>
      <c r="CW162" s="20">
        <f t="shared" si="174"/>
        <v>1.8017017738191463E-12</v>
      </c>
      <c r="CX162" s="59">
        <f t="shared" si="122"/>
        <v>293.33333333333513</v>
      </c>
      <c r="CY162" s="59">
        <f ca="1">AVERAGE(OFFSET($CX$3,0,0,'Données projet'!$E$13+1,1))-AVERAGE(OFFSET($H$3,0,0,'Données projet'!$E$13+1,1))</f>
        <v>158.74837032815333</v>
      </c>
      <c r="CZ162" s="59">
        <f t="shared" si="150"/>
        <v>92.286636088270086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35.222231623337599</v>
      </c>
      <c r="DG162" s="21">
        <f>EXP(-LN(2)/25)*DG161+(1-EXP(-LN(2)/25))/(LN(2)/25)*Calculateur!DB162*Calculateur!DD162*VLOOKUP('Données projet'!$B$13,Paramètres!$A$1:$I$89,3,0)*0.475*44/12</f>
        <v>0.49517272585101091</v>
      </c>
      <c r="DH162" s="21">
        <f>EXP(-LN(2)/2)*DH161+(1-EXP(-LN(2)/2))/(LN(2)/2)*DB162*DE162*VLOOKUP('Données projet'!$B$13,Paramètres!$A$1:$I$89,3,0)*0.475*44/12</f>
        <v>4.5548974729108386E-6</v>
      </c>
      <c r="DI162" s="22">
        <f t="shared" si="175"/>
        <v>35.717408904086085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2.8421709430404007E-13</v>
      </c>
      <c r="O163" s="13">
        <f>N163*VLOOKUP('Données projet'!$B$9,Paramètres!$A$1:$I$89,3,0)*VLOOKUP('Données projet'!$B$9,Paramètres!$A$1:$I$89,5,0)</f>
        <v>2.3942448024172339E-13</v>
      </c>
      <c r="P163" s="13">
        <f t="shared" si="141"/>
        <v>3.2492669905861755E-12</v>
      </c>
      <c r="Q163" s="20">
        <f t="shared" si="162"/>
        <v>6.0761376450252573E-12</v>
      </c>
      <c r="R163" s="59">
        <f t="shared" si="109"/>
        <v>293.3333333333394</v>
      </c>
      <c r="S163" s="59">
        <f ca="1">AVERAGE(OFFSET($R$3,0,0,'Données projet'!$E$9+1,1))-AVERAGE(OFFSET($H$3,0,0,'Données projet'!$E$9+1,1))</f>
        <v>231.91408074258248</v>
      </c>
      <c r="T163" s="59">
        <f t="shared" si="142"/>
        <v>143.57726487417773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1.1775118745565909E-17</v>
      </c>
      <c r="AC163" s="22">
        <f t="shared" si="163"/>
        <v>1.1775118745565909E-17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2.8421709430404007E-13</v>
      </c>
      <c r="AJ163" s="13">
        <f>AI163*VLOOKUP('Données projet'!$B$10,Paramètres!$A$1:$I$89,3,0)*VLOOKUP('Données projet'!$B$10,Paramètres!$A$1:$I$89,5,0)</f>
        <v>2.5715962692629546E-13</v>
      </c>
      <c r="AK163" s="13">
        <f t="shared" si="164"/>
        <v>3.4610450122128953E-12</v>
      </c>
      <c r="AL163" s="20">
        <f t="shared" si="165"/>
        <v>6.4758730798340893E-12</v>
      </c>
      <c r="AM163" s="59">
        <f t="shared" si="113"/>
        <v>293.33333333333979</v>
      </c>
      <c r="AN163" s="59">
        <f ca="1">AVERAGE(OFFSET($AM$3,0,0,'Données projet'!$E$10+1,1))-AVERAGE(OFFSET($H$3,0,0,'Données projet'!$E$10+1,1))</f>
        <v>253.16772905022714</v>
      </c>
      <c r="AO163" s="59">
        <f t="shared" si="144"/>
        <v>156.67965022779907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1.2647349763755978E-17</v>
      </c>
      <c r="AX163" s="21">
        <f t="shared" si="166"/>
        <v>1.2647349763755978E-17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-2.8421709430404007E-14</v>
      </c>
      <c r="BE163" s="13">
        <f>BD163*VLOOKUP('Données projet'!$B$11,Paramètres!$A$1:$I$89,3,0)*VLOOKUP('Données projet'!$B$11,Paramètres!$A$1:$I$89,5,0)</f>
        <v>-1.6996182239381599E-14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119.24399403036387</v>
      </c>
      <c r="BJ163" s="59">
        <f t="shared" si="146"/>
        <v>119.60076838354843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2.7098099902927413E-20</v>
      </c>
      <c r="BS163" s="22">
        <f t="shared" si="169"/>
        <v>2.7098099902927413E-20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5.6843418860808015E-14</v>
      </c>
      <c r="BZ163" s="13">
        <f>BY163*VLOOKUP('Données projet'!$B$12,Paramètres!$A$1:$I$89,3,0)*VLOOKUP('Données projet'!$B$12,Paramètres!$A$1:$I$89,5,0)</f>
        <v>5.4978954722173515E-14</v>
      </c>
      <c r="CA163" s="13">
        <f t="shared" si="170"/>
        <v>8.8550225887742724E-13</v>
      </c>
      <c r="CB163" s="20">
        <f t="shared" si="171"/>
        <v>1.6380047803526383E-12</v>
      </c>
      <c r="CC163" s="59">
        <f t="shared" si="119"/>
        <v>293.33333333333496</v>
      </c>
      <c r="CD163" s="59">
        <f ca="1">AVERAGE(OFFSET($CC$3,0,0,'Données projet'!$E$12+1,1))-AVERAGE(OFFSET($H$3,0,0,'Données projet'!$E$12+1,1))</f>
        <v>135.95692658150551</v>
      </c>
      <c r="CE163" s="59">
        <f t="shared" si="148"/>
        <v>79.394119001888612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31.028344912578618</v>
      </c>
      <c r="CL163" s="21">
        <f>EXP(-LN(2)/25)*CL162+(1-EXP(-LN(2)/25))/(LN(2)/25)*Calculateur!CG163*Calculateur!CI163*VLOOKUP('Données projet'!$B$12,Paramètres!$A$1:$I$89,3,0)*0.475*44/12</f>
        <v>0.43277096377684082</v>
      </c>
      <c r="CM163" s="21">
        <f>EXP(-LN(2)/2)*CM162+(1-EXP(-LN(2)/2))/(LN(2)/2)*CG163*CJ163*VLOOKUP('Données projet'!$B$12,Paramètres!$A$1:$I$89,3,0)*0.475*44/12</f>
        <v>2.8940511771549695E-6</v>
      </c>
      <c r="CN163" s="22">
        <f t="shared" si="172"/>
        <v>31.461118770406635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5.6843418860808015E-14</v>
      </c>
      <c r="CU163" s="17">
        <f>CT163*VLOOKUP('Données projet'!$B$13,Paramètres!$A$1:$I$89,3,0)*VLOOKUP('Données projet'!$B$13,Paramètres!$A$1:$I$89,5,0)</f>
        <v>6.1186256061773749E-14</v>
      </c>
      <c r="CV163" s="13">
        <f t="shared" si="173"/>
        <v>9.7328366192051127E-13</v>
      </c>
      <c r="CW163" s="20">
        <f t="shared" si="174"/>
        <v>1.8017017738191463E-12</v>
      </c>
      <c r="CX163" s="59">
        <f t="shared" si="122"/>
        <v>293.33333333333513</v>
      </c>
      <c r="CY163" s="59">
        <f ca="1">AVERAGE(OFFSET($CX$3,0,0,'Données projet'!$E$13+1,1))-AVERAGE(OFFSET($H$3,0,0,'Données projet'!$E$13+1,1))</f>
        <v>158.74837032815333</v>
      </c>
      <c r="CZ163" s="59">
        <f t="shared" si="150"/>
        <v>92.286636088270086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34.531545144643928</v>
      </c>
      <c r="DG163" s="21">
        <f>EXP(-LN(2)/25)*DG162+(1-EXP(-LN(2)/25))/(LN(2)/25)*Calculateur!DB163*Calculateur!DD163*VLOOKUP('Données projet'!$B$13,Paramètres!$A$1:$I$89,3,0)*0.475*44/12</f>
        <v>0.48163220162261311</v>
      </c>
      <c r="DH163" s="21">
        <f>EXP(-LN(2)/2)*DH162+(1-EXP(-LN(2)/2))/(LN(2)/2)*DB163*DE163*VLOOKUP('Données projet'!$B$13,Paramètres!$A$1:$I$89,3,0)*0.475*44/12</f>
        <v>3.2207988907047227E-6</v>
      </c>
      <c r="DI163" s="22">
        <f t="shared" si="175"/>
        <v>35.013180567065433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2.8421709430404007E-13</v>
      </c>
      <c r="O164" s="13">
        <f>N164*VLOOKUP('Données projet'!$B$9,Paramètres!$A$1:$I$89,3,0)*VLOOKUP('Données projet'!$B$9,Paramètres!$A$1:$I$89,5,0)</f>
        <v>2.3942448024172339E-13</v>
      </c>
      <c r="P164" s="13">
        <f t="shared" si="141"/>
        <v>3.2492669905861755E-12</v>
      </c>
      <c r="Q164" s="20">
        <f t="shared" si="162"/>
        <v>6.0761376450252573E-12</v>
      </c>
      <c r="R164" s="59">
        <f t="shared" si="109"/>
        <v>293.3333333333394</v>
      </c>
      <c r="S164" s="59">
        <f ca="1">AVERAGE(OFFSET($R$3,0,0,'Données projet'!$E$9+1,1))-AVERAGE(OFFSET($H$3,0,0,'Données projet'!$E$9+1,1))</f>
        <v>231.91408074258248</v>
      </c>
      <c r="T164" s="59">
        <f t="shared" si="142"/>
        <v>143.57726487417773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8.3262663142664873E-18</v>
      </c>
      <c r="AC164" s="22">
        <f t="shared" si="163"/>
        <v>8.3262663142664873E-18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2.8421709430404007E-13</v>
      </c>
      <c r="AJ164" s="13">
        <f>AI164*VLOOKUP('Données projet'!$B$10,Paramètres!$A$1:$I$89,3,0)*VLOOKUP('Données projet'!$B$10,Paramètres!$A$1:$I$89,5,0)</f>
        <v>2.5715962692629546E-13</v>
      </c>
      <c r="AK164" s="13">
        <f t="shared" si="164"/>
        <v>3.4610450122128953E-12</v>
      </c>
      <c r="AL164" s="20">
        <f t="shared" si="165"/>
        <v>6.4758730798340893E-12</v>
      </c>
      <c r="AM164" s="59">
        <f t="shared" si="113"/>
        <v>293.33333333333979</v>
      </c>
      <c r="AN164" s="59">
        <f ca="1">AVERAGE(OFFSET($AM$3,0,0,'Données projet'!$E$10+1,1))-AVERAGE(OFFSET($H$3,0,0,'Données projet'!$E$10+1,1))</f>
        <v>253.16772905022714</v>
      </c>
      <c r="AO164" s="59">
        <f t="shared" si="144"/>
        <v>156.67965022779907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8.9430267819899319E-18</v>
      </c>
      <c r="AX164" s="21">
        <f t="shared" si="166"/>
        <v>8.9430267819899319E-18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-2.8421709430404007E-14</v>
      </c>
      <c r="BE164" s="13">
        <f>BD164*VLOOKUP('Données projet'!$B$11,Paramètres!$A$1:$I$89,3,0)*VLOOKUP('Données projet'!$B$11,Paramètres!$A$1:$I$89,5,0)</f>
        <v>-1.6996182239381599E-14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119.24399403036387</v>
      </c>
      <c r="BJ164" s="59">
        <f t="shared" si="146"/>
        <v>119.60076838354843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1.9161250198630499E-20</v>
      </c>
      <c r="BS164" s="22">
        <f t="shared" si="169"/>
        <v>1.9161250198630499E-20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5.6843418860808015E-14</v>
      </c>
      <c r="BZ164" s="13">
        <f>BY164*VLOOKUP('Données projet'!$B$12,Paramètres!$A$1:$I$89,3,0)*VLOOKUP('Données projet'!$B$12,Paramètres!$A$1:$I$89,5,0)</f>
        <v>5.4978954722173515E-14</v>
      </c>
      <c r="CA164" s="13">
        <f t="shared" si="170"/>
        <v>8.8550225887742724E-13</v>
      </c>
      <c r="CB164" s="20">
        <f t="shared" si="171"/>
        <v>1.6380047803526383E-12</v>
      </c>
      <c r="CC164" s="59">
        <f t="shared" si="119"/>
        <v>293.33333333333496</v>
      </c>
      <c r="CD164" s="59">
        <f ca="1">AVERAGE(OFFSET($CC$3,0,0,'Données projet'!$E$12+1,1))-AVERAGE(OFFSET($H$3,0,0,'Données projet'!$E$12+1,1))</f>
        <v>135.95692658150551</v>
      </c>
      <c r="CE164" s="59">
        <f t="shared" si="148"/>
        <v>79.394119001888612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30.419897994264616</v>
      </c>
      <c r="CL164" s="21">
        <f>EXP(-LN(2)/25)*CL163+(1-EXP(-LN(2)/25))/(LN(2)/25)*Calculateur!CG164*Calculateur!CI164*VLOOKUP('Données projet'!$B$12,Paramètres!$A$1:$I$89,3,0)*0.475*44/12</f>
        <v>0.42093681901392721</v>
      </c>
      <c r="CM164" s="21">
        <f>EXP(-LN(2)/2)*CM163+(1-EXP(-LN(2)/2))/(LN(2)/2)*CG164*CJ164*VLOOKUP('Données projet'!$B$12,Paramètres!$A$1:$I$89,3,0)*0.475*44/12</f>
        <v>2.0464032124671893E-6</v>
      </c>
      <c r="CN164" s="22">
        <f t="shared" si="172"/>
        <v>30.840836859681758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5.6843418860808015E-14</v>
      </c>
      <c r="CU164" s="17">
        <f>CT164*VLOOKUP('Données projet'!$B$13,Paramètres!$A$1:$I$89,3,0)*VLOOKUP('Données projet'!$B$13,Paramètres!$A$1:$I$89,5,0)</f>
        <v>6.1186256061773749E-14</v>
      </c>
      <c r="CV164" s="13">
        <f t="shared" si="173"/>
        <v>9.7328366192051127E-13</v>
      </c>
      <c r="CW164" s="20">
        <f t="shared" si="174"/>
        <v>1.8017017738191463E-12</v>
      </c>
      <c r="CX164" s="59">
        <f t="shared" si="122"/>
        <v>293.33333333333513</v>
      </c>
      <c r="CY164" s="59">
        <f ca="1">AVERAGE(OFFSET($CX$3,0,0,'Données projet'!$E$13+1,1))-AVERAGE(OFFSET($H$3,0,0,'Données projet'!$E$13+1,1))</f>
        <v>158.74837032815333</v>
      </c>
      <c r="CZ164" s="59">
        <f t="shared" si="150"/>
        <v>92.286636088270086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33.854402606520281</v>
      </c>
      <c r="DG164" s="21">
        <f>EXP(-LN(2)/25)*DG163+(1-EXP(-LN(2)/25))/(LN(2)/25)*Calculateur!DB164*Calculateur!DD164*VLOOKUP('Données projet'!$B$13,Paramètres!$A$1:$I$89,3,0)*0.475*44/12</f>
        <v>0.46846194374130606</v>
      </c>
      <c r="DH164" s="21">
        <f>EXP(-LN(2)/2)*DH163+(1-EXP(-LN(2)/2))/(LN(2)/2)*DB164*DE164*VLOOKUP('Données projet'!$B$13,Paramètres!$A$1:$I$89,3,0)*0.475*44/12</f>
        <v>2.2774487364554193E-6</v>
      </c>
      <c r="DI164" s="22">
        <f t="shared" si="175"/>
        <v>34.322866827710321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2.8421709430404007E-13</v>
      </c>
      <c r="O165" s="13">
        <f>N165*VLOOKUP('Données projet'!$B$9,Paramètres!$A$1:$I$89,3,0)*VLOOKUP('Données projet'!$B$9,Paramètres!$A$1:$I$89,5,0)</f>
        <v>2.3942448024172339E-13</v>
      </c>
      <c r="P165" s="13">
        <f t="shared" si="141"/>
        <v>3.2492669905861755E-12</v>
      </c>
      <c r="Q165" s="20">
        <f t="shared" si="162"/>
        <v>6.0761376450252573E-12</v>
      </c>
      <c r="R165" s="59">
        <f t="shared" si="109"/>
        <v>293.3333333333394</v>
      </c>
      <c r="S165" s="59">
        <f ca="1">AVERAGE(OFFSET($R$3,0,0,'Données projet'!$E$9+1,1))-AVERAGE(OFFSET($H$3,0,0,'Données projet'!$E$9+1,1))</f>
        <v>231.91408074258248</v>
      </c>
      <c r="T165" s="59">
        <f t="shared" si="142"/>
        <v>143.57726487417773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5.8875593727829547E-18</v>
      </c>
      <c r="AC165" s="22">
        <f t="shared" si="163"/>
        <v>5.8875593727829547E-18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2.8421709430404007E-13</v>
      </c>
      <c r="AJ165" s="13">
        <f>AI165*VLOOKUP('Données projet'!$B$10,Paramètres!$A$1:$I$89,3,0)*VLOOKUP('Données projet'!$B$10,Paramètres!$A$1:$I$89,5,0)</f>
        <v>2.5715962692629546E-13</v>
      </c>
      <c r="AK165" s="13">
        <f t="shared" si="164"/>
        <v>3.4610450122128953E-12</v>
      </c>
      <c r="AL165" s="20">
        <f t="shared" si="165"/>
        <v>6.4758730798340893E-12</v>
      </c>
      <c r="AM165" s="59">
        <f t="shared" si="113"/>
        <v>293.33333333333979</v>
      </c>
      <c r="AN165" s="59">
        <f ca="1">AVERAGE(OFFSET($AM$3,0,0,'Données projet'!$E$10+1,1))-AVERAGE(OFFSET($H$3,0,0,'Données projet'!$E$10+1,1))</f>
        <v>253.16772905022714</v>
      </c>
      <c r="AO165" s="59">
        <f t="shared" si="144"/>
        <v>156.67965022779907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6.3236748818779891E-18</v>
      </c>
      <c r="AX165" s="21">
        <f t="shared" si="166"/>
        <v>6.3236748818779891E-18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-2.8421709430404007E-14</v>
      </c>
      <c r="BE165" s="13">
        <f>BD165*VLOOKUP('Données projet'!$B$11,Paramètres!$A$1:$I$89,3,0)*VLOOKUP('Données projet'!$B$11,Paramètres!$A$1:$I$89,5,0)</f>
        <v>-1.6996182239381599E-14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119.24399403036387</v>
      </c>
      <c r="BJ165" s="59">
        <f t="shared" si="146"/>
        <v>119.60076838354843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1.3549049951463708E-20</v>
      </c>
      <c r="BS165" s="22">
        <f t="shared" si="169"/>
        <v>1.3549049951463708E-20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5.6843418860808015E-14</v>
      </c>
      <c r="BZ165" s="13">
        <f>BY165*VLOOKUP('Données projet'!$B$12,Paramètres!$A$1:$I$89,3,0)*VLOOKUP('Données projet'!$B$12,Paramètres!$A$1:$I$89,5,0)</f>
        <v>5.4978954722173515E-14</v>
      </c>
      <c r="CA165" s="13">
        <f t="shared" si="170"/>
        <v>8.8550225887742724E-13</v>
      </c>
      <c r="CB165" s="20">
        <f t="shared" si="171"/>
        <v>1.6380047803526383E-12</v>
      </c>
      <c r="CC165" s="59">
        <f t="shared" si="119"/>
        <v>293.33333333333496</v>
      </c>
      <c r="CD165" s="59">
        <f ca="1">AVERAGE(OFFSET($CC$3,0,0,'Données projet'!$E$12+1,1))-AVERAGE(OFFSET($H$3,0,0,'Données projet'!$E$12+1,1))</f>
        <v>135.95692658150551</v>
      </c>
      <c r="CE165" s="59">
        <f t="shared" si="148"/>
        <v>79.394119001888612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29.823382348902779</v>
      </c>
      <c r="CL165" s="21">
        <f>EXP(-LN(2)/25)*CL164+(1-EXP(-LN(2)/25))/(LN(2)/25)*Calculateur!CG165*Calculateur!CI165*VLOOKUP('Données projet'!$B$12,Paramètres!$A$1:$I$89,3,0)*0.475*44/12</f>
        <v>0.4094262795618861</v>
      </c>
      <c r="CM165" s="21">
        <f>EXP(-LN(2)/2)*CM164+(1-EXP(-LN(2)/2))/(LN(2)/2)*CG165*CJ165*VLOOKUP('Données projet'!$B$12,Paramètres!$A$1:$I$89,3,0)*0.475*44/12</f>
        <v>1.4470255885774848E-6</v>
      </c>
      <c r="CN165" s="22">
        <f t="shared" si="172"/>
        <v>30.232810075490253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5.6843418860808015E-14</v>
      </c>
      <c r="CU165" s="17">
        <f>CT165*VLOOKUP('Données projet'!$B$13,Paramètres!$A$1:$I$89,3,0)*VLOOKUP('Données projet'!$B$13,Paramètres!$A$1:$I$89,5,0)</f>
        <v>6.1186256061773749E-14</v>
      </c>
      <c r="CV165" s="13">
        <f t="shared" si="173"/>
        <v>9.7328366192051127E-13</v>
      </c>
      <c r="CW165" s="20">
        <f t="shared" si="174"/>
        <v>1.8017017738191463E-12</v>
      </c>
      <c r="CX165" s="59">
        <f t="shared" si="122"/>
        <v>293.33333333333513</v>
      </c>
      <c r="CY165" s="59">
        <f ca="1">AVERAGE(OFFSET($CX$3,0,0,'Données projet'!$E$13+1,1))-AVERAGE(OFFSET($H$3,0,0,'Données projet'!$E$13+1,1))</f>
        <v>158.74837032815333</v>
      </c>
      <c r="CZ165" s="59">
        <f t="shared" si="150"/>
        <v>92.286636088270086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33.190538420553075</v>
      </c>
      <c r="DG165" s="21">
        <f>EXP(-LN(2)/25)*DG164+(1-EXP(-LN(2)/25))/(LN(2)/25)*Calculateur!DB165*Calculateur!DD165*VLOOKUP('Données projet'!$B$13,Paramètres!$A$1:$I$89,3,0)*0.475*44/12</f>
        <v>0.4556518272543571</v>
      </c>
      <c r="DH165" s="21">
        <f>EXP(-LN(2)/2)*DH164+(1-EXP(-LN(2)/2))/(LN(2)/2)*DB165*DE165*VLOOKUP('Données projet'!$B$13,Paramètres!$A$1:$I$89,3,0)*0.475*44/12</f>
        <v>1.6103994453523613E-6</v>
      </c>
      <c r="DI165" s="22">
        <f t="shared" si="175"/>
        <v>33.646191858206876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2.8421709430404007E-13</v>
      </c>
      <c r="O166" s="13">
        <f>N166*VLOOKUP('Données projet'!$B$9,Paramètres!$A$1:$I$89,3,0)*VLOOKUP('Données projet'!$B$9,Paramètres!$A$1:$I$89,5,0)</f>
        <v>2.3942448024172339E-13</v>
      </c>
      <c r="P166" s="13">
        <f t="shared" si="141"/>
        <v>3.2492669905861755E-12</v>
      </c>
      <c r="Q166" s="20">
        <f t="shared" si="162"/>
        <v>6.0761376450252573E-12</v>
      </c>
      <c r="R166" s="59">
        <f t="shared" si="109"/>
        <v>293.3333333333394</v>
      </c>
      <c r="S166" s="59">
        <f ca="1">AVERAGE(OFFSET($R$3,0,0,'Données projet'!$E$9+1,1))-AVERAGE(OFFSET($H$3,0,0,'Données projet'!$E$9+1,1))</f>
        <v>231.91408074258248</v>
      </c>
      <c r="T166" s="59">
        <f t="shared" si="142"/>
        <v>143.57726487417773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4.1631331571332437E-18</v>
      </c>
      <c r="AC166" s="22">
        <f t="shared" si="163"/>
        <v>4.1631331571332437E-18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2.8421709430404007E-13</v>
      </c>
      <c r="AJ166" s="13">
        <f>AI166*VLOOKUP('Données projet'!$B$10,Paramètres!$A$1:$I$89,3,0)*VLOOKUP('Données projet'!$B$10,Paramètres!$A$1:$I$89,5,0)</f>
        <v>2.5715962692629546E-13</v>
      </c>
      <c r="AK166" s="13">
        <f t="shared" si="164"/>
        <v>3.4610450122128953E-12</v>
      </c>
      <c r="AL166" s="20">
        <f t="shared" si="165"/>
        <v>6.4758730798340893E-12</v>
      </c>
      <c r="AM166" s="59">
        <f t="shared" si="113"/>
        <v>293.33333333333979</v>
      </c>
      <c r="AN166" s="59">
        <f ca="1">AVERAGE(OFFSET($AM$3,0,0,'Données projet'!$E$10+1,1))-AVERAGE(OFFSET($H$3,0,0,'Données projet'!$E$10+1,1))</f>
        <v>253.16772905022714</v>
      </c>
      <c r="AO166" s="59">
        <f t="shared" si="144"/>
        <v>156.67965022779907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4.4715133909949659E-18</v>
      </c>
      <c r="AX166" s="21">
        <f t="shared" si="166"/>
        <v>4.4715133909949659E-18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-2.8421709430404007E-14</v>
      </c>
      <c r="BE166" s="13">
        <f>BD166*VLOOKUP('Données projet'!$B$11,Paramètres!$A$1:$I$89,3,0)*VLOOKUP('Données projet'!$B$11,Paramètres!$A$1:$I$89,5,0)</f>
        <v>-1.6996182239381599E-14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119.24399403036387</v>
      </c>
      <c r="BJ166" s="59">
        <f t="shared" si="146"/>
        <v>119.60076838354843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9.5806250993152512E-21</v>
      </c>
      <c r="BS166" s="22">
        <f t="shared" si="169"/>
        <v>9.5806250993152512E-21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5.6843418860808015E-14</v>
      </c>
      <c r="BZ166" s="13">
        <f>BY166*VLOOKUP('Données projet'!$B$12,Paramètres!$A$1:$I$89,3,0)*VLOOKUP('Données projet'!$B$12,Paramètres!$A$1:$I$89,5,0)</f>
        <v>5.4978954722173515E-14</v>
      </c>
      <c r="CA166" s="13">
        <f t="shared" si="170"/>
        <v>8.8550225887742724E-13</v>
      </c>
      <c r="CB166" s="20">
        <f t="shared" si="171"/>
        <v>1.6380047803526383E-12</v>
      </c>
      <c r="CC166" s="59">
        <f t="shared" si="119"/>
        <v>293.33333333333496</v>
      </c>
      <c r="CD166" s="59">
        <f ca="1">AVERAGE(OFFSET($CC$3,0,0,'Données projet'!$E$12+1,1))-AVERAGE(OFFSET($H$3,0,0,'Données projet'!$E$12+1,1))</f>
        <v>135.95692658150551</v>
      </c>
      <c r="CE166" s="59">
        <f t="shared" si="148"/>
        <v>79.394119001888612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29.238564011507869</v>
      </c>
      <c r="CL166" s="21">
        <f>EXP(-LN(2)/25)*CL165+(1-EXP(-LN(2)/25))/(LN(2)/25)*Calculateur!CG166*Calculateur!CI166*VLOOKUP('Données projet'!$B$12,Paramètres!$A$1:$I$89,3,0)*0.475*44/12</f>
        <v>0.39823049641647401</v>
      </c>
      <c r="CM166" s="21">
        <f>EXP(-LN(2)/2)*CM165+(1-EXP(-LN(2)/2))/(LN(2)/2)*CG166*CJ166*VLOOKUP('Données projet'!$B$12,Paramètres!$A$1:$I$89,3,0)*0.475*44/12</f>
        <v>1.0232016062335946E-6</v>
      </c>
      <c r="CN166" s="22">
        <f t="shared" si="172"/>
        <v>29.636795531125948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5.6843418860808015E-14</v>
      </c>
      <c r="CU166" s="17">
        <f>CT166*VLOOKUP('Données projet'!$B$13,Paramètres!$A$1:$I$89,3,0)*VLOOKUP('Données projet'!$B$13,Paramètres!$A$1:$I$89,5,0)</f>
        <v>6.1186256061773749E-14</v>
      </c>
      <c r="CV166" s="13">
        <f t="shared" si="173"/>
        <v>9.7328366192051127E-13</v>
      </c>
      <c r="CW166" s="20">
        <f t="shared" si="174"/>
        <v>1.8017017738191463E-12</v>
      </c>
      <c r="CX166" s="59">
        <f t="shared" si="122"/>
        <v>293.33333333333513</v>
      </c>
      <c r="CY166" s="59">
        <f ca="1">AVERAGE(OFFSET($CX$3,0,0,'Données projet'!$E$13+1,1))-AVERAGE(OFFSET($H$3,0,0,'Données projet'!$E$13+1,1))</f>
        <v>158.74837032815333</v>
      </c>
      <c r="CZ166" s="59">
        <f t="shared" si="150"/>
        <v>92.286636088270086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32.539692206355511</v>
      </c>
      <c r="DG166" s="21">
        <f>EXP(-LN(2)/25)*DG165+(1-EXP(-LN(2)/25))/(LN(2)/25)*Calculateur!DB166*Calculateur!DD166*VLOOKUP('Données projet'!$B$13,Paramètres!$A$1:$I$89,3,0)*0.475*44/12</f>
        <v>0.44319200407639853</v>
      </c>
      <c r="DH166" s="21">
        <f>EXP(-LN(2)/2)*DH165+(1-EXP(-LN(2)/2))/(LN(2)/2)*DB166*DE166*VLOOKUP('Données projet'!$B$13,Paramètres!$A$1:$I$89,3,0)*0.475*44/12</f>
        <v>1.1387243682277097E-6</v>
      </c>
      <c r="DI166" s="22">
        <f t="shared" si="175"/>
        <v>32.982885349156284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2.8421709430404007E-13</v>
      </c>
      <c r="O167" s="13">
        <f>N167*VLOOKUP('Données projet'!$B$9,Paramètres!$A$1:$I$89,3,0)*VLOOKUP('Données projet'!$B$9,Paramètres!$A$1:$I$89,5,0)</f>
        <v>2.3942448024172339E-13</v>
      </c>
      <c r="P167" s="13">
        <f t="shared" si="141"/>
        <v>3.2492669905861755E-12</v>
      </c>
      <c r="Q167" s="20">
        <f t="shared" si="162"/>
        <v>6.0761376450252573E-12</v>
      </c>
      <c r="R167" s="59">
        <f t="shared" si="109"/>
        <v>293.3333333333394</v>
      </c>
      <c r="S167" s="59">
        <f ca="1">AVERAGE(OFFSET($R$3,0,0,'Données projet'!$E$9+1,1))-AVERAGE(OFFSET($H$3,0,0,'Données projet'!$E$9+1,1))</f>
        <v>231.91408074258248</v>
      </c>
      <c r="T167" s="59">
        <f t="shared" si="142"/>
        <v>143.57726487417773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2.9437796863914774E-18</v>
      </c>
      <c r="AC167" s="22">
        <f t="shared" si="163"/>
        <v>2.9437796863914774E-18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2.8421709430404007E-13</v>
      </c>
      <c r="AJ167" s="13">
        <f>AI167*VLOOKUP('Données projet'!$B$10,Paramètres!$A$1:$I$89,3,0)*VLOOKUP('Données projet'!$B$10,Paramètres!$A$1:$I$89,5,0)</f>
        <v>2.5715962692629546E-13</v>
      </c>
      <c r="AK167" s="13">
        <f t="shared" si="164"/>
        <v>3.4610450122128953E-12</v>
      </c>
      <c r="AL167" s="20">
        <f t="shared" si="165"/>
        <v>6.4758730798340893E-12</v>
      </c>
      <c r="AM167" s="59">
        <f t="shared" si="113"/>
        <v>293.33333333333979</v>
      </c>
      <c r="AN167" s="59">
        <f ca="1">AVERAGE(OFFSET($AM$3,0,0,'Données projet'!$E$10+1,1))-AVERAGE(OFFSET($H$3,0,0,'Données projet'!$E$10+1,1))</f>
        <v>253.16772905022714</v>
      </c>
      <c r="AO167" s="59">
        <f t="shared" si="144"/>
        <v>156.67965022779907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3.1618374409389946E-18</v>
      </c>
      <c r="AX167" s="21">
        <f t="shared" si="166"/>
        <v>3.1618374409389946E-18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-2.8421709430404007E-14</v>
      </c>
      <c r="BE167" s="13">
        <f>BD167*VLOOKUP('Données projet'!$B$11,Paramètres!$A$1:$I$89,3,0)*VLOOKUP('Données projet'!$B$11,Paramètres!$A$1:$I$89,5,0)</f>
        <v>-1.6996182239381599E-14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119.24399403036387</v>
      </c>
      <c r="BJ167" s="59">
        <f t="shared" si="146"/>
        <v>119.60076838354843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6.7745249757318547E-21</v>
      </c>
      <c r="BS167" s="22">
        <f t="shared" si="169"/>
        <v>6.7745249757318547E-21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5.6843418860808015E-14</v>
      </c>
      <c r="BZ167" s="13">
        <f>BY167*VLOOKUP('Données projet'!$B$12,Paramètres!$A$1:$I$89,3,0)*VLOOKUP('Données projet'!$B$12,Paramètres!$A$1:$I$89,5,0)</f>
        <v>5.4978954722173515E-14</v>
      </c>
      <c r="CA167" s="13">
        <f t="shared" si="170"/>
        <v>8.8550225887742724E-13</v>
      </c>
      <c r="CB167" s="20">
        <f t="shared" si="171"/>
        <v>1.6380047803526383E-12</v>
      </c>
      <c r="CC167" s="59">
        <f t="shared" si="119"/>
        <v>293.33333333333496</v>
      </c>
      <c r="CD167" s="59">
        <f ca="1">AVERAGE(OFFSET($CC$3,0,0,'Données projet'!$E$12+1,1))-AVERAGE(OFFSET($H$3,0,0,'Données projet'!$E$12+1,1))</f>
        <v>135.95692658150551</v>
      </c>
      <c r="CE167" s="59">
        <f t="shared" si="148"/>
        <v>79.394119001888612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28.665213605005309</v>
      </c>
      <c r="CL167" s="21">
        <f>EXP(-LN(2)/25)*CL166+(1-EXP(-LN(2)/25))/(LN(2)/25)*Calculateur!CG167*Calculateur!CI167*VLOOKUP('Données projet'!$B$12,Paramètres!$A$1:$I$89,3,0)*0.475*44/12</f>
        <v>0.38734086254993388</v>
      </c>
      <c r="CM167" s="21">
        <f>EXP(-LN(2)/2)*CM166+(1-EXP(-LN(2)/2))/(LN(2)/2)*CG167*CJ167*VLOOKUP('Données projet'!$B$12,Paramètres!$A$1:$I$89,3,0)*0.475*44/12</f>
        <v>7.2351279428874238E-7</v>
      </c>
      <c r="CN167" s="22">
        <f t="shared" si="172"/>
        <v>29.052555191068038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5.6843418860808015E-14</v>
      </c>
      <c r="CU167" s="17">
        <f>CT167*VLOOKUP('Données projet'!$B$13,Paramètres!$A$1:$I$89,3,0)*VLOOKUP('Données projet'!$B$13,Paramètres!$A$1:$I$89,5,0)</f>
        <v>6.1186256061773749E-14</v>
      </c>
      <c r="CV167" s="13">
        <f t="shared" si="173"/>
        <v>9.7328366192051127E-13</v>
      </c>
      <c r="CW167" s="20">
        <f t="shared" si="174"/>
        <v>1.8017017738191463E-12</v>
      </c>
      <c r="CX167" s="59">
        <f t="shared" si="122"/>
        <v>293.33333333333513</v>
      </c>
      <c r="CY167" s="59">
        <f ca="1">AVERAGE(OFFSET($CX$3,0,0,'Données projet'!$E$13+1,1))-AVERAGE(OFFSET($H$3,0,0,'Données projet'!$E$13+1,1))</f>
        <v>158.74837032815333</v>
      </c>
      <c r="CZ167" s="59">
        <f t="shared" si="150"/>
        <v>92.286636088270086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31.901608689441371</v>
      </c>
      <c r="DG167" s="21">
        <f>EXP(-LN(2)/25)*DG166+(1-EXP(-LN(2)/25))/(LN(2)/25)*Calculateur!DB167*Calculateur!DD167*VLOOKUP('Données projet'!$B$13,Paramètres!$A$1:$I$89,3,0)*0.475*44/12</f>
        <v>0.43107289541847482</v>
      </c>
      <c r="DH167" s="21">
        <f>EXP(-LN(2)/2)*DH166+(1-EXP(-LN(2)/2))/(LN(2)/2)*DB167*DE167*VLOOKUP('Données projet'!$B$13,Paramètres!$A$1:$I$89,3,0)*0.475*44/12</f>
        <v>8.0519972267618067E-7</v>
      </c>
      <c r="DI167" s="22">
        <f t="shared" si="175"/>
        <v>32.332682390059574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2.8421709430404007E-13</v>
      </c>
      <c r="O168" s="13">
        <f>N168*VLOOKUP('Données projet'!$B$9,Paramètres!$A$1:$I$89,3,0)*VLOOKUP('Données projet'!$B$9,Paramètres!$A$1:$I$89,5,0)</f>
        <v>2.3942448024172339E-13</v>
      </c>
      <c r="P168" s="13">
        <f t="shared" si="141"/>
        <v>3.2492669905861755E-12</v>
      </c>
      <c r="Q168" s="20">
        <f t="shared" si="162"/>
        <v>6.0761376450252573E-12</v>
      </c>
      <c r="R168" s="59">
        <f t="shared" si="109"/>
        <v>293.3333333333394</v>
      </c>
      <c r="S168" s="59">
        <f ca="1">AVERAGE(OFFSET($R$3,0,0,'Données projet'!$E$9+1,1))-AVERAGE(OFFSET($H$3,0,0,'Données projet'!$E$9+1,1))</f>
        <v>231.91408074258248</v>
      </c>
      <c r="T168" s="59">
        <f t="shared" si="142"/>
        <v>143.57726487417773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2.0815665785666218E-18</v>
      </c>
      <c r="AC168" s="22">
        <f t="shared" si="163"/>
        <v>2.0815665785666218E-18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2.8421709430404007E-13</v>
      </c>
      <c r="AJ168" s="13">
        <f>AI168*VLOOKUP('Données projet'!$B$10,Paramètres!$A$1:$I$89,3,0)*VLOOKUP('Données projet'!$B$10,Paramètres!$A$1:$I$89,5,0)</f>
        <v>2.5715962692629546E-13</v>
      </c>
      <c r="AK168" s="13">
        <f t="shared" si="164"/>
        <v>3.4610450122128953E-12</v>
      </c>
      <c r="AL168" s="20">
        <f t="shared" si="165"/>
        <v>6.4758730798340893E-12</v>
      </c>
      <c r="AM168" s="59">
        <f t="shared" si="113"/>
        <v>293.33333333333979</v>
      </c>
      <c r="AN168" s="59">
        <f ca="1">AVERAGE(OFFSET($AM$3,0,0,'Données projet'!$E$10+1,1))-AVERAGE(OFFSET($H$3,0,0,'Données projet'!$E$10+1,1))</f>
        <v>253.16772905022714</v>
      </c>
      <c r="AO168" s="59">
        <f t="shared" si="144"/>
        <v>156.67965022779907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2.235756695497483E-18</v>
      </c>
      <c r="AX168" s="21">
        <f t="shared" si="166"/>
        <v>2.235756695497483E-18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-2.8421709430404007E-14</v>
      </c>
      <c r="BE168" s="13">
        <f>BD168*VLOOKUP('Données projet'!$B$11,Paramètres!$A$1:$I$89,3,0)*VLOOKUP('Données projet'!$B$11,Paramètres!$A$1:$I$89,5,0)</f>
        <v>-1.6996182239381599E-14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119.24399403036387</v>
      </c>
      <c r="BJ168" s="59">
        <f t="shared" si="146"/>
        <v>119.60076838354843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4.7903125496576264E-21</v>
      </c>
      <c r="BS168" s="22">
        <f t="shared" si="169"/>
        <v>4.7903125496576264E-21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5.6843418860808015E-14</v>
      </c>
      <c r="BZ168" s="13">
        <f>BY168*VLOOKUP('Données projet'!$B$12,Paramètres!$A$1:$I$89,3,0)*VLOOKUP('Données projet'!$B$12,Paramètres!$A$1:$I$89,5,0)</f>
        <v>5.4978954722173515E-14</v>
      </c>
      <c r="CA168" s="13">
        <f t="shared" si="170"/>
        <v>8.8550225887742724E-13</v>
      </c>
      <c r="CB168" s="20">
        <f t="shared" si="171"/>
        <v>1.6380047803526383E-12</v>
      </c>
      <c r="CC168" s="59">
        <f t="shared" si="119"/>
        <v>293.33333333333496</v>
      </c>
      <c r="CD168" s="59">
        <f ca="1">AVERAGE(OFFSET($CC$3,0,0,'Données projet'!$E$12+1,1))-AVERAGE(OFFSET($H$3,0,0,'Données projet'!$E$12+1,1))</f>
        <v>135.95692658150551</v>
      </c>
      <c r="CE168" s="59">
        <f t="shared" si="148"/>
        <v>79.394119001888612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28.103106250265046</v>
      </c>
      <c r="CL168" s="21">
        <f>EXP(-LN(2)/25)*CL167+(1-EXP(-LN(2)/25))/(LN(2)/25)*Calculateur!CG168*Calculateur!CI168*VLOOKUP('Données projet'!$B$12,Paramètres!$A$1:$I$89,3,0)*0.475*44/12</f>
        <v>0.37674900629413527</v>
      </c>
      <c r="CM168" s="21">
        <f>EXP(-LN(2)/2)*CM167+(1-EXP(-LN(2)/2))/(LN(2)/2)*CG168*CJ168*VLOOKUP('Données projet'!$B$12,Paramètres!$A$1:$I$89,3,0)*0.475*44/12</f>
        <v>5.1160080311679732E-7</v>
      </c>
      <c r="CN168" s="22">
        <f t="shared" si="172"/>
        <v>28.479855768159986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5.6843418860808015E-14</v>
      </c>
      <c r="CU168" s="17">
        <f>CT168*VLOOKUP('Données projet'!$B$13,Paramètres!$A$1:$I$89,3,0)*VLOOKUP('Données projet'!$B$13,Paramètres!$A$1:$I$89,5,0)</f>
        <v>6.1186256061773749E-14</v>
      </c>
      <c r="CV168" s="13">
        <f t="shared" si="173"/>
        <v>9.7328366192051127E-13</v>
      </c>
      <c r="CW168" s="20">
        <f t="shared" si="174"/>
        <v>1.8017017738191463E-12</v>
      </c>
      <c r="CX168" s="59">
        <f t="shared" si="122"/>
        <v>293.33333333333513</v>
      </c>
      <c r="CY168" s="59">
        <f ca="1">AVERAGE(OFFSET($CX$3,0,0,'Données projet'!$E$13+1,1))-AVERAGE(OFFSET($H$3,0,0,'Données projet'!$E$13+1,1))</f>
        <v>158.74837032815333</v>
      </c>
      <c r="CZ168" s="59">
        <f t="shared" si="150"/>
        <v>92.286636088270086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31.276037601101404</v>
      </c>
      <c r="DG168" s="21">
        <f>EXP(-LN(2)/25)*DG167+(1-EXP(-LN(2)/25))/(LN(2)/25)*Calculateur!DB168*Calculateur!DD168*VLOOKUP('Données projet'!$B$13,Paramètres!$A$1:$I$89,3,0)*0.475*44/12</f>
        <v>0.41928518442411827</v>
      </c>
      <c r="DH168" s="21">
        <f>EXP(-LN(2)/2)*DH167+(1-EXP(-LN(2)/2))/(LN(2)/2)*DB168*DE168*VLOOKUP('Données projet'!$B$13,Paramètres!$A$1:$I$89,3,0)*0.475*44/12</f>
        <v>5.6936218411385483E-7</v>
      </c>
      <c r="DI168" s="22">
        <f t="shared" si="175"/>
        <v>31.695323354887709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2.8421709430404007E-13</v>
      </c>
      <c r="O169" s="13">
        <f>N169*VLOOKUP('Données projet'!$B$9,Paramètres!$A$1:$I$89,3,0)*VLOOKUP('Données projet'!$B$9,Paramètres!$A$1:$I$89,5,0)</f>
        <v>2.3942448024172339E-13</v>
      </c>
      <c r="P169" s="13">
        <f t="shared" si="141"/>
        <v>3.2492669905861755E-12</v>
      </c>
      <c r="Q169" s="20">
        <f t="shared" si="162"/>
        <v>6.0761376450252573E-12</v>
      </c>
      <c r="R169" s="59">
        <f t="shared" si="109"/>
        <v>293.3333333333394</v>
      </c>
      <c r="S169" s="59">
        <f ca="1">AVERAGE(OFFSET($R$3,0,0,'Données projet'!$E$9+1,1))-AVERAGE(OFFSET($H$3,0,0,'Données projet'!$E$9+1,1))</f>
        <v>231.91408074258248</v>
      </c>
      <c r="T169" s="59">
        <f t="shared" si="142"/>
        <v>143.57726487417773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1.4718898431957387E-18</v>
      </c>
      <c r="AC169" s="22">
        <f t="shared" si="163"/>
        <v>1.4718898431957387E-18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2.8421709430404007E-13</v>
      </c>
      <c r="AJ169" s="13">
        <f>AI169*VLOOKUP('Données projet'!$B$10,Paramètres!$A$1:$I$89,3,0)*VLOOKUP('Données projet'!$B$10,Paramètres!$A$1:$I$89,5,0)</f>
        <v>2.5715962692629546E-13</v>
      </c>
      <c r="AK169" s="13">
        <f t="shared" si="164"/>
        <v>3.4610450122128953E-12</v>
      </c>
      <c r="AL169" s="20">
        <f t="shared" si="165"/>
        <v>6.4758730798340893E-12</v>
      </c>
      <c r="AM169" s="59">
        <f t="shared" si="113"/>
        <v>293.33333333333979</v>
      </c>
      <c r="AN169" s="59">
        <f ca="1">AVERAGE(OFFSET($AM$3,0,0,'Données projet'!$E$10+1,1))-AVERAGE(OFFSET($H$3,0,0,'Données projet'!$E$10+1,1))</f>
        <v>253.16772905022714</v>
      </c>
      <c r="AO169" s="59">
        <f t="shared" si="144"/>
        <v>156.67965022779907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1.5809187204694973E-18</v>
      </c>
      <c r="AX169" s="21">
        <f t="shared" si="166"/>
        <v>1.5809187204694973E-18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-2.8421709430404007E-14</v>
      </c>
      <c r="BE169" s="13">
        <f>BD169*VLOOKUP('Données projet'!$B$11,Paramètres!$A$1:$I$89,3,0)*VLOOKUP('Données projet'!$B$11,Paramètres!$A$1:$I$89,5,0)</f>
        <v>-1.6996182239381599E-14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119.24399403036387</v>
      </c>
      <c r="BJ169" s="59">
        <f t="shared" si="146"/>
        <v>119.60076838354843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3.3872624878659281E-21</v>
      </c>
      <c r="BS169" s="22">
        <f t="shared" si="169"/>
        <v>3.3872624878659281E-21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5.6843418860808015E-14</v>
      </c>
      <c r="BZ169" s="13">
        <f>BY169*VLOOKUP('Données projet'!$B$12,Paramètres!$A$1:$I$89,3,0)*VLOOKUP('Données projet'!$B$12,Paramètres!$A$1:$I$89,5,0)</f>
        <v>5.4978954722173515E-14</v>
      </c>
      <c r="CA169" s="13">
        <f t="shared" si="170"/>
        <v>8.8550225887742724E-13</v>
      </c>
      <c r="CB169" s="20">
        <f t="shared" si="171"/>
        <v>1.6380047803526383E-12</v>
      </c>
      <c r="CC169" s="59">
        <f t="shared" si="119"/>
        <v>293.33333333333496</v>
      </c>
      <c r="CD169" s="59">
        <f ca="1">AVERAGE(OFFSET($CC$3,0,0,'Données projet'!$E$12+1,1))-AVERAGE(OFFSET($H$3,0,0,'Données projet'!$E$12+1,1))</f>
        <v>135.95692658150551</v>
      </c>
      <c r="CE169" s="59">
        <f t="shared" si="148"/>
        <v>79.394119001888612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27.552021477899608</v>
      </c>
      <c r="CL169" s="21">
        <f>EXP(-LN(2)/25)*CL168+(1-EXP(-LN(2)/25))/(LN(2)/25)*Calculateur!CG169*Calculateur!CI169*VLOOKUP('Données projet'!$B$12,Paramètres!$A$1:$I$89,3,0)*0.475*44/12</f>
        <v>0.36644678490465299</v>
      </c>
      <c r="CM169" s="21">
        <f>EXP(-LN(2)/2)*CM168+(1-EXP(-LN(2)/2))/(LN(2)/2)*CG169*CJ169*VLOOKUP('Données projet'!$B$12,Paramètres!$A$1:$I$89,3,0)*0.475*44/12</f>
        <v>3.6175639714437119E-7</v>
      </c>
      <c r="CN169" s="22">
        <f t="shared" si="172"/>
        <v>27.918468624560656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5.6843418860808015E-14</v>
      </c>
      <c r="CU169" s="17">
        <f>CT169*VLOOKUP('Données projet'!$B$13,Paramètres!$A$1:$I$89,3,0)*VLOOKUP('Données projet'!$B$13,Paramètres!$A$1:$I$89,5,0)</f>
        <v>6.1186256061773749E-14</v>
      </c>
      <c r="CV169" s="13">
        <f t="shared" si="173"/>
        <v>9.7328366192051127E-13</v>
      </c>
      <c r="CW169" s="20">
        <f t="shared" si="174"/>
        <v>1.8017017738191463E-12</v>
      </c>
      <c r="CX169" s="59">
        <f t="shared" si="122"/>
        <v>293.33333333333513</v>
      </c>
      <c r="CY169" s="59">
        <f ca="1">AVERAGE(OFFSET($CX$3,0,0,'Données projet'!$E$13+1,1))-AVERAGE(OFFSET($H$3,0,0,'Données projet'!$E$13+1,1))</f>
        <v>158.74837032815333</v>
      </c>
      <c r="CZ169" s="59">
        <f t="shared" si="150"/>
        <v>92.286636088270086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30.662733580243096</v>
      </c>
      <c r="DG169" s="21">
        <f>EXP(-LN(2)/25)*DG168+(1-EXP(-LN(2)/25))/(LN(2)/25)*Calculateur!DB169*Calculateur!DD169*VLOOKUP('Données projet'!$B$13,Paramètres!$A$1:$I$89,3,0)*0.475*44/12</f>
        <v>0.40781980900679121</v>
      </c>
      <c r="DH169" s="21">
        <f>EXP(-LN(2)/2)*DH168+(1-EXP(-LN(2)/2))/(LN(2)/2)*DB169*DE169*VLOOKUP('Données projet'!$B$13,Paramètres!$A$1:$I$89,3,0)*0.475*44/12</f>
        <v>4.0259986133809033E-7</v>
      </c>
      <c r="DI169" s="22">
        <f t="shared" si="175"/>
        <v>31.070553791849751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2.8421709430404007E-13</v>
      </c>
      <c r="O170" s="13">
        <f>N170*VLOOKUP('Données projet'!$B$9,Paramètres!$A$1:$I$89,3,0)*VLOOKUP('Données projet'!$B$9,Paramètres!$A$1:$I$89,5,0)</f>
        <v>2.3942448024172339E-13</v>
      </c>
      <c r="P170" s="13">
        <f t="shared" si="141"/>
        <v>3.2492669905861755E-12</v>
      </c>
      <c r="Q170" s="20">
        <f t="shared" si="162"/>
        <v>6.0761376450252573E-12</v>
      </c>
      <c r="R170" s="59">
        <f t="shared" si="109"/>
        <v>293.3333333333394</v>
      </c>
      <c r="S170" s="59">
        <f ca="1">AVERAGE(OFFSET($R$3,0,0,'Données projet'!$E$9+1,1))-AVERAGE(OFFSET($H$3,0,0,'Données projet'!$E$9+1,1))</f>
        <v>231.91408074258248</v>
      </c>
      <c r="T170" s="59">
        <f t="shared" si="142"/>
        <v>143.57726487417773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1.0407832892833109E-18</v>
      </c>
      <c r="AC170" s="22">
        <f t="shared" si="163"/>
        <v>1.0407832892833109E-18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2.8421709430404007E-13</v>
      </c>
      <c r="AJ170" s="13">
        <f>AI170*VLOOKUP('Données projet'!$B$10,Paramètres!$A$1:$I$89,3,0)*VLOOKUP('Données projet'!$B$10,Paramètres!$A$1:$I$89,5,0)</f>
        <v>2.5715962692629546E-13</v>
      </c>
      <c r="AK170" s="13">
        <f t="shared" si="164"/>
        <v>3.4610450122128953E-12</v>
      </c>
      <c r="AL170" s="20">
        <f t="shared" si="165"/>
        <v>6.4758730798340893E-12</v>
      </c>
      <c r="AM170" s="59">
        <f t="shared" si="113"/>
        <v>293.33333333333979</v>
      </c>
      <c r="AN170" s="59">
        <f ca="1">AVERAGE(OFFSET($AM$3,0,0,'Données projet'!$E$10+1,1))-AVERAGE(OFFSET($H$3,0,0,'Données projet'!$E$10+1,1))</f>
        <v>253.16772905022714</v>
      </c>
      <c r="AO170" s="59">
        <f t="shared" si="144"/>
        <v>156.67965022779907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1.1178783477487415E-18</v>
      </c>
      <c r="AX170" s="21">
        <f t="shared" si="166"/>
        <v>1.1178783477487415E-18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-2.8421709430404007E-14</v>
      </c>
      <c r="BE170" s="13">
        <f>BD170*VLOOKUP('Données projet'!$B$11,Paramètres!$A$1:$I$89,3,0)*VLOOKUP('Données projet'!$B$11,Paramètres!$A$1:$I$89,5,0)</f>
        <v>-1.6996182239381599E-14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119.24399403036387</v>
      </c>
      <c r="BJ170" s="59">
        <f t="shared" si="146"/>
        <v>119.60076838354843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2.3951562748288136E-21</v>
      </c>
      <c r="BS170" s="22">
        <f t="shared" si="169"/>
        <v>2.3951562748288136E-21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5.6843418860808015E-14</v>
      </c>
      <c r="BZ170" s="13">
        <f>BY170*VLOOKUP('Données projet'!$B$12,Paramètres!$A$1:$I$89,3,0)*VLOOKUP('Données projet'!$B$12,Paramètres!$A$1:$I$89,5,0)</f>
        <v>5.4978954722173515E-14</v>
      </c>
      <c r="CA170" s="13">
        <f t="shared" si="170"/>
        <v>8.8550225887742724E-13</v>
      </c>
      <c r="CB170" s="20">
        <f t="shared" si="171"/>
        <v>1.6380047803526383E-12</v>
      </c>
      <c r="CC170" s="59">
        <f t="shared" si="119"/>
        <v>293.33333333333496</v>
      </c>
      <c r="CD170" s="59">
        <f ca="1">AVERAGE(OFFSET($CC$3,0,0,'Données projet'!$E$12+1,1))-AVERAGE(OFFSET($H$3,0,0,'Données projet'!$E$12+1,1))</f>
        <v>135.95692658150551</v>
      </c>
      <c r="CE170" s="59">
        <f t="shared" si="148"/>
        <v>79.394119001888612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27.011743141791733</v>
      </c>
      <c r="CL170" s="21">
        <f>EXP(-LN(2)/25)*CL169+(1-EXP(-LN(2)/25))/(LN(2)/25)*Calculateur!CG170*Calculateur!CI170*VLOOKUP('Données projet'!$B$12,Paramètres!$A$1:$I$89,3,0)*0.475*44/12</f>
        <v>0.35642627830083634</v>
      </c>
      <c r="CM170" s="21">
        <f>EXP(-LN(2)/2)*CM169+(1-EXP(-LN(2)/2))/(LN(2)/2)*CG170*CJ170*VLOOKUP('Données projet'!$B$12,Paramètres!$A$1:$I$89,3,0)*0.475*44/12</f>
        <v>2.5580040155839866E-7</v>
      </c>
      <c r="CN170" s="22">
        <f t="shared" si="172"/>
        <v>27.368169675892972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5.6843418860808015E-14</v>
      </c>
      <c r="CU170" s="17">
        <f>CT170*VLOOKUP('Données projet'!$B$13,Paramètres!$A$1:$I$89,3,0)*VLOOKUP('Données projet'!$B$13,Paramètres!$A$1:$I$89,5,0)</f>
        <v>6.1186256061773749E-14</v>
      </c>
      <c r="CV170" s="13">
        <f t="shared" si="173"/>
        <v>9.7328366192051127E-13</v>
      </c>
      <c r="CW170" s="20">
        <f t="shared" si="174"/>
        <v>1.8017017738191463E-12</v>
      </c>
      <c r="CX170" s="59">
        <f t="shared" si="122"/>
        <v>293.33333333333513</v>
      </c>
      <c r="CY170" s="59">
        <f ca="1">AVERAGE(OFFSET($CX$3,0,0,'Données projet'!$E$13+1,1))-AVERAGE(OFFSET($H$3,0,0,'Données projet'!$E$13+1,1))</f>
        <v>158.74837032815333</v>
      </c>
      <c r="CZ170" s="59">
        <f t="shared" si="150"/>
        <v>92.286636088270086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30.061456077155302</v>
      </c>
      <c r="DG170" s="21">
        <f>EXP(-LN(2)/25)*DG169+(1-EXP(-LN(2)/25))/(LN(2)/25)*Calculateur!DB170*Calculateur!DD170*VLOOKUP('Données projet'!$B$13,Paramètres!$A$1:$I$89,3,0)*0.475*44/12</f>
        <v>0.39666795488318884</v>
      </c>
      <c r="DH170" s="21">
        <f>EXP(-LN(2)/2)*DH169+(1-EXP(-LN(2)/2))/(LN(2)/2)*DB170*DE170*VLOOKUP('Données projet'!$B$13,Paramètres!$A$1:$I$89,3,0)*0.475*44/12</f>
        <v>2.8468109205692741E-7</v>
      </c>
      <c r="DI170" s="22">
        <f t="shared" si="175"/>
        <v>30.458124316719584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2.8421709430404007E-13</v>
      </c>
      <c r="O171" s="13">
        <f>N171*VLOOKUP('Données projet'!$B$9,Paramètres!$A$1:$I$89,3,0)*VLOOKUP('Données projet'!$B$9,Paramètres!$A$1:$I$89,5,0)</f>
        <v>2.3942448024172339E-13</v>
      </c>
      <c r="P171" s="13">
        <f t="shared" si="141"/>
        <v>3.2492669905861755E-12</v>
      </c>
      <c r="Q171" s="20">
        <f t="shared" si="162"/>
        <v>6.0761376450252573E-12</v>
      </c>
      <c r="R171" s="59">
        <f t="shared" si="109"/>
        <v>293.3333333333394</v>
      </c>
      <c r="S171" s="59">
        <f ca="1">AVERAGE(OFFSET($R$3,0,0,'Données projet'!$E$9+1,1))-AVERAGE(OFFSET($H$3,0,0,'Données projet'!$E$9+1,1))</f>
        <v>231.91408074258248</v>
      </c>
      <c r="T171" s="59">
        <f t="shared" si="142"/>
        <v>143.57726487417773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7.3594492159786934E-19</v>
      </c>
      <c r="AC171" s="22">
        <f t="shared" si="163"/>
        <v>7.3594492159786934E-19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2.8421709430404007E-13</v>
      </c>
      <c r="AJ171" s="13">
        <f>AI171*VLOOKUP('Données projet'!$B$10,Paramètres!$A$1:$I$89,3,0)*VLOOKUP('Données projet'!$B$10,Paramètres!$A$1:$I$89,5,0)</f>
        <v>2.5715962692629546E-13</v>
      </c>
      <c r="AK171" s="13">
        <f t="shared" si="164"/>
        <v>3.4610450122128953E-12</v>
      </c>
      <c r="AL171" s="20">
        <f t="shared" si="165"/>
        <v>6.4758730798340893E-12</v>
      </c>
      <c r="AM171" s="59">
        <f t="shared" si="113"/>
        <v>293.33333333333979</v>
      </c>
      <c r="AN171" s="59">
        <f ca="1">AVERAGE(OFFSET($AM$3,0,0,'Données projet'!$E$10+1,1))-AVERAGE(OFFSET($H$3,0,0,'Données projet'!$E$10+1,1))</f>
        <v>253.16772905022714</v>
      </c>
      <c r="AO171" s="59">
        <f t="shared" si="144"/>
        <v>156.67965022779907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7.9045936023474864E-19</v>
      </c>
      <c r="AX171" s="21">
        <f t="shared" si="166"/>
        <v>7.9045936023474864E-19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-2.8421709430404007E-14</v>
      </c>
      <c r="BE171" s="13">
        <f>BD171*VLOOKUP('Données projet'!$B$11,Paramètres!$A$1:$I$89,3,0)*VLOOKUP('Données projet'!$B$11,Paramètres!$A$1:$I$89,5,0)</f>
        <v>-1.6996182239381599E-14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119.24399403036387</v>
      </c>
      <c r="BJ171" s="59">
        <f t="shared" si="146"/>
        <v>119.60076838354843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1.6936312439329642E-21</v>
      </c>
      <c r="BS171" s="22">
        <f t="shared" si="169"/>
        <v>1.6936312439329642E-21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5.6843418860808015E-14</v>
      </c>
      <c r="BZ171" s="13">
        <f>BY171*VLOOKUP('Données projet'!$B$12,Paramètres!$A$1:$I$89,3,0)*VLOOKUP('Données projet'!$B$12,Paramètres!$A$1:$I$89,5,0)</f>
        <v>5.4978954722173515E-14</v>
      </c>
      <c r="CA171" s="13">
        <f t="shared" si="170"/>
        <v>8.8550225887742724E-13</v>
      </c>
      <c r="CB171" s="20">
        <f t="shared" si="171"/>
        <v>1.6380047803526383E-12</v>
      </c>
      <c r="CC171" s="59">
        <f t="shared" si="119"/>
        <v>293.33333333333496</v>
      </c>
      <c r="CD171" s="59">
        <f ca="1">AVERAGE(OFFSET($CC$3,0,0,'Données projet'!$E$12+1,1))-AVERAGE(OFFSET($H$3,0,0,'Données projet'!$E$12+1,1))</f>
        <v>135.95692658150551</v>
      </c>
      <c r="CE171" s="59">
        <f t="shared" si="148"/>
        <v>79.394119001888612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26.48205933431769</v>
      </c>
      <c r="CL171" s="21">
        <f>EXP(-LN(2)/25)*CL170+(1-EXP(-LN(2)/25))/(LN(2)/25)*Calculateur!CG171*Calculateur!CI171*VLOOKUP('Données projet'!$B$12,Paramètres!$A$1:$I$89,3,0)*0.475*44/12</f>
        <v>0.34667978297705659</v>
      </c>
      <c r="CM171" s="21">
        <f>EXP(-LN(2)/2)*CM170+(1-EXP(-LN(2)/2))/(LN(2)/2)*CG171*CJ171*VLOOKUP('Données projet'!$B$12,Paramètres!$A$1:$I$89,3,0)*0.475*44/12</f>
        <v>1.808781985721856E-7</v>
      </c>
      <c r="CN171" s="22">
        <f t="shared" si="172"/>
        <v>26.828739298172945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5.6843418860808015E-14</v>
      </c>
      <c r="CU171" s="17">
        <f>CT171*VLOOKUP('Données projet'!$B$13,Paramètres!$A$1:$I$89,3,0)*VLOOKUP('Données projet'!$B$13,Paramètres!$A$1:$I$89,5,0)</f>
        <v>6.1186256061773749E-14</v>
      </c>
      <c r="CV171" s="13">
        <f t="shared" si="173"/>
        <v>9.7328366192051127E-13</v>
      </c>
      <c r="CW171" s="20">
        <f t="shared" si="174"/>
        <v>1.8017017738191463E-12</v>
      </c>
      <c r="CX171" s="59">
        <f t="shared" si="122"/>
        <v>293.33333333333513</v>
      </c>
      <c r="CY171" s="59">
        <f ca="1">AVERAGE(OFFSET($CX$3,0,0,'Données projet'!$E$13+1,1))-AVERAGE(OFFSET($H$3,0,0,'Données projet'!$E$13+1,1))</f>
        <v>158.74837032815333</v>
      </c>
      <c r="CZ171" s="59">
        <f t="shared" si="150"/>
        <v>92.286636088270086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29.471969259159994</v>
      </c>
      <c r="DG171" s="21">
        <f>EXP(-LN(2)/25)*DG170+(1-EXP(-LN(2)/25))/(LN(2)/25)*Calculateur!DB171*Calculateur!DD171*VLOOKUP('Données projet'!$B$13,Paramètres!$A$1:$I$89,3,0)*0.475*44/12</f>
        <v>0.38582104879704687</v>
      </c>
      <c r="DH171" s="21">
        <f>EXP(-LN(2)/2)*DH170+(1-EXP(-LN(2)/2))/(LN(2)/2)*DB171*DE171*VLOOKUP('Données projet'!$B$13,Paramètres!$A$1:$I$89,3,0)*0.475*44/12</f>
        <v>2.0129993066904517E-7</v>
      </c>
      <c r="DI171" s="22">
        <f t="shared" si="175"/>
        <v>29.857790509256972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2.8421709430404007E-13</v>
      </c>
      <c r="O172" s="13">
        <f>N172*VLOOKUP('Données projet'!$B$9,Paramètres!$A$1:$I$89,3,0)*VLOOKUP('Données projet'!$B$9,Paramètres!$A$1:$I$89,5,0)</f>
        <v>2.3942448024172339E-13</v>
      </c>
      <c r="P172" s="13">
        <f t="shared" si="141"/>
        <v>3.2492669905861755E-12</v>
      </c>
      <c r="Q172" s="20">
        <f t="shared" si="162"/>
        <v>6.0761376450252573E-12</v>
      </c>
      <c r="R172" s="59">
        <f t="shared" si="109"/>
        <v>293.3333333333394</v>
      </c>
      <c r="S172" s="59">
        <f ca="1">AVERAGE(OFFSET($R$3,0,0,'Données projet'!$E$9+1,1))-AVERAGE(OFFSET($H$3,0,0,'Données projet'!$E$9+1,1))</f>
        <v>231.91408074258248</v>
      </c>
      <c r="T172" s="59">
        <f t="shared" si="142"/>
        <v>143.57726487417773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5.2039164464165546E-19</v>
      </c>
      <c r="AC172" s="22">
        <f t="shared" si="163"/>
        <v>5.2039164464165546E-19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2.8421709430404007E-13</v>
      </c>
      <c r="AJ172" s="13">
        <f>AI172*VLOOKUP('Données projet'!$B$10,Paramètres!$A$1:$I$89,3,0)*VLOOKUP('Données projet'!$B$10,Paramètres!$A$1:$I$89,5,0)</f>
        <v>2.5715962692629546E-13</v>
      </c>
      <c r="AK172" s="13">
        <f t="shared" si="164"/>
        <v>3.4610450122128953E-12</v>
      </c>
      <c r="AL172" s="20">
        <f t="shared" si="165"/>
        <v>6.4758730798340893E-12</v>
      </c>
      <c r="AM172" s="59">
        <f t="shared" si="113"/>
        <v>293.33333333333979</v>
      </c>
      <c r="AN172" s="59">
        <f ca="1">AVERAGE(OFFSET($AM$3,0,0,'Données projet'!$E$10+1,1))-AVERAGE(OFFSET($H$3,0,0,'Données projet'!$E$10+1,1))</f>
        <v>253.16772905022714</v>
      </c>
      <c r="AO172" s="59">
        <f t="shared" si="144"/>
        <v>156.67965022779907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5.5893917387437074E-19</v>
      </c>
      <c r="AX172" s="21">
        <f t="shared" si="166"/>
        <v>5.5893917387437074E-19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-2.8421709430404007E-14</v>
      </c>
      <c r="BE172" s="13">
        <f>BD172*VLOOKUP('Données projet'!$B$11,Paramètres!$A$1:$I$89,3,0)*VLOOKUP('Données projet'!$B$11,Paramètres!$A$1:$I$89,5,0)</f>
        <v>-1.6996182239381599E-14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119.24399403036387</v>
      </c>
      <c r="BJ172" s="59">
        <f t="shared" si="146"/>
        <v>119.60076838354843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1.197578137414407E-21</v>
      </c>
      <c r="BS172" s="22">
        <f t="shared" si="169"/>
        <v>1.197578137414407E-21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5.6843418860808015E-14</v>
      </c>
      <c r="BZ172" s="13">
        <f>BY172*VLOOKUP('Données projet'!$B$12,Paramètres!$A$1:$I$89,3,0)*VLOOKUP('Données projet'!$B$12,Paramètres!$A$1:$I$89,5,0)</f>
        <v>5.4978954722173515E-14</v>
      </c>
      <c r="CA172" s="13">
        <f t="shared" si="170"/>
        <v>8.8550225887742724E-13</v>
      </c>
      <c r="CB172" s="20">
        <f t="shared" si="171"/>
        <v>1.6380047803526383E-12</v>
      </c>
      <c r="CC172" s="59">
        <f t="shared" si="119"/>
        <v>293.33333333333496</v>
      </c>
      <c r="CD172" s="59">
        <f ca="1">AVERAGE(OFFSET($CC$3,0,0,'Données projet'!$E$12+1,1))-AVERAGE(OFFSET($H$3,0,0,'Données projet'!$E$12+1,1))</f>
        <v>135.95692658150551</v>
      </c>
      <c r="CE172" s="59">
        <f t="shared" si="148"/>
        <v>79.394119001888612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25.962762303232992</v>
      </c>
      <c r="CL172" s="21">
        <f>EXP(-LN(2)/25)*CL171+(1-EXP(-LN(2)/25))/(LN(2)/25)*Calculateur!CG172*Calculateur!CI172*VLOOKUP('Données projet'!$B$12,Paramètres!$A$1:$I$89,3,0)*0.475*44/12</f>
        <v>0.33719980608045153</v>
      </c>
      <c r="CM172" s="21">
        <f>EXP(-LN(2)/2)*CM171+(1-EXP(-LN(2)/2))/(LN(2)/2)*CG172*CJ172*VLOOKUP('Données projet'!$B$12,Paramètres!$A$1:$I$89,3,0)*0.475*44/12</f>
        <v>1.2790020077919933E-7</v>
      </c>
      <c r="CN172" s="22">
        <f t="shared" si="172"/>
        <v>26.299962237213645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5.6843418860808015E-14</v>
      </c>
      <c r="CU172" s="17">
        <f>CT172*VLOOKUP('Données projet'!$B$13,Paramètres!$A$1:$I$89,3,0)*VLOOKUP('Données projet'!$B$13,Paramètres!$A$1:$I$89,5,0)</f>
        <v>6.1186256061773749E-14</v>
      </c>
      <c r="CV172" s="13">
        <f t="shared" si="173"/>
        <v>9.7328366192051127E-13</v>
      </c>
      <c r="CW172" s="20">
        <f t="shared" si="174"/>
        <v>1.8017017738191463E-12</v>
      </c>
      <c r="CX172" s="59">
        <f t="shared" si="122"/>
        <v>293.33333333333513</v>
      </c>
      <c r="CY172" s="59">
        <f ca="1">AVERAGE(OFFSET($CX$3,0,0,'Données projet'!$E$13+1,1))-AVERAGE(OFFSET($H$3,0,0,'Données projet'!$E$13+1,1))</f>
        <v>158.74837032815333</v>
      </c>
      <c r="CZ172" s="59">
        <f t="shared" si="150"/>
        <v>92.286636088270086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28.894041918114119</v>
      </c>
      <c r="DG172" s="21">
        <f>EXP(-LN(2)/25)*DG171+(1-EXP(-LN(2)/25))/(LN(2)/25)*Calculateur!DB172*Calculateur!DD172*VLOOKUP('Données projet'!$B$13,Paramètres!$A$1:$I$89,3,0)*0.475*44/12</f>
        <v>0.37527075192824449</v>
      </c>
      <c r="DH172" s="21">
        <f>EXP(-LN(2)/2)*DH171+(1-EXP(-LN(2)/2))/(LN(2)/2)*DB172*DE172*VLOOKUP('Données projet'!$B$13,Paramètres!$A$1:$I$89,3,0)*0.475*44/12</f>
        <v>1.4234054602846371E-7</v>
      </c>
      <c r="DI172" s="22">
        <f t="shared" si="175"/>
        <v>29.26931281238291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2.8421709430404007E-13</v>
      </c>
      <c r="O173" s="13">
        <f>N173*VLOOKUP('Données projet'!$B$9,Paramètres!$A$1:$I$89,3,0)*VLOOKUP('Données projet'!$B$9,Paramètres!$A$1:$I$89,5,0)</f>
        <v>2.3942448024172339E-13</v>
      </c>
      <c r="P173" s="13">
        <f t="shared" si="141"/>
        <v>3.2492669905861755E-12</v>
      </c>
      <c r="Q173" s="20">
        <f t="shared" si="162"/>
        <v>6.0761376450252573E-12</v>
      </c>
      <c r="R173" s="59">
        <f t="shared" si="109"/>
        <v>293.3333333333394</v>
      </c>
      <c r="S173" s="59">
        <f ca="1">AVERAGE(OFFSET($R$3,0,0,'Données projet'!$E$9+1,1))-AVERAGE(OFFSET($H$3,0,0,'Données projet'!$E$9+1,1))</f>
        <v>231.91408074258248</v>
      </c>
      <c r="T173" s="59">
        <f t="shared" si="142"/>
        <v>143.57726487417773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3.6797246079893467E-19</v>
      </c>
      <c r="AC173" s="22">
        <f t="shared" si="163"/>
        <v>3.6797246079893467E-19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2.8421709430404007E-13</v>
      </c>
      <c r="AJ173" s="13">
        <f>AI173*VLOOKUP('Données projet'!$B$10,Paramètres!$A$1:$I$89,3,0)*VLOOKUP('Données projet'!$B$10,Paramètres!$A$1:$I$89,5,0)</f>
        <v>2.5715962692629546E-13</v>
      </c>
      <c r="AK173" s="13">
        <f t="shared" si="164"/>
        <v>3.4610450122128953E-12</v>
      </c>
      <c r="AL173" s="20">
        <f t="shared" si="165"/>
        <v>6.4758730798340893E-12</v>
      </c>
      <c r="AM173" s="59">
        <f t="shared" si="113"/>
        <v>293.33333333333979</v>
      </c>
      <c r="AN173" s="59">
        <f ca="1">AVERAGE(OFFSET($AM$3,0,0,'Données projet'!$E$10+1,1))-AVERAGE(OFFSET($H$3,0,0,'Données projet'!$E$10+1,1))</f>
        <v>253.16772905022714</v>
      </c>
      <c r="AO173" s="59">
        <f t="shared" si="144"/>
        <v>156.67965022779907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3.9522968011737432E-19</v>
      </c>
      <c r="AX173" s="21">
        <f t="shared" si="166"/>
        <v>3.9522968011737432E-19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-2.8421709430404007E-14</v>
      </c>
      <c r="BE173" s="13">
        <f>BD173*VLOOKUP('Données projet'!$B$11,Paramètres!$A$1:$I$89,3,0)*VLOOKUP('Données projet'!$B$11,Paramètres!$A$1:$I$89,5,0)</f>
        <v>-1.6996182239381599E-14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119.24399403036387</v>
      </c>
      <c r="BJ173" s="59">
        <f t="shared" si="146"/>
        <v>119.60076838354843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8.468156219664823E-22</v>
      </c>
      <c r="BS173" s="22">
        <f t="shared" si="169"/>
        <v>8.468156219664823E-22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5.6843418860808015E-14</v>
      </c>
      <c r="BZ173" s="13">
        <f>BY173*VLOOKUP('Données projet'!$B$12,Paramètres!$A$1:$I$89,3,0)*VLOOKUP('Données projet'!$B$12,Paramètres!$A$1:$I$89,5,0)</f>
        <v>5.4978954722173515E-14</v>
      </c>
      <c r="CA173" s="13">
        <f t="shared" si="170"/>
        <v>8.8550225887742724E-13</v>
      </c>
      <c r="CB173" s="20">
        <f t="shared" si="171"/>
        <v>1.6380047803526383E-12</v>
      </c>
      <c r="CC173" s="59">
        <f t="shared" si="119"/>
        <v>293.33333333333496</v>
      </c>
      <c r="CD173" s="59">
        <f ca="1">AVERAGE(OFFSET($CC$3,0,0,'Données projet'!$E$12+1,1))-AVERAGE(OFFSET($H$3,0,0,'Données projet'!$E$12+1,1))</f>
        <v>135.95692658150551</v>
      </c>
      <c r="CE173" s="59">
        <f t="shared" si="148"/>
        <v>79.394119001888612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25.453648370187949</v>
      </c>
      <c r="CL173" s="21">
        <f>EXP(-LN(2)/25)*CL172+(1-EXP(-LN(2)/25))/(LN(2)/25)*Calculateur!CG173*Calculateur!CI173*VLOOKUP('Données projet'!$B$12,Paramètres!$A$1:$I$89,3,0)*0.475*44/12</f>
        <v>0.32797905965061447</v>
      </c>
      <c r="CM173" s="21">
        <f>EXP(-LN(2)/2)*CM172+(1-EXP(-LN(2)/2))/(LN(2)/2)*CG173*CJ173*VLOOKUP('Données projet'!$B$12,Paramètres!$A$1:$I$89,3,0)*0.475*44/12</f>
        <v>9.0439099286092798E-8</v>
      </c>
      <c r="CN173" s="22">
        <f t="shared" si="172"/>
        <v>25.781627520277663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5.6843418860808015E-14</v>
      </c>
      <c r="CU173" s="17">
        <f>CT173*VLOOKUP('Données projet'!$B$13,Paramètres!$A$1:$I$89,3,0)*VLOOKUP('Données projet'!$B$13,Paramètres!$A$1:$I$89,5,0)</f>
        <v>6.1186256061773749E-14</v>
      </c>
      <c r="CV173" s="13">
        <f t="shared" si="173"/>
        <v>9.7328366192051127E-13</v>
      </c>
      <c r="CW173" s="20">
        <f t="shared" si="174"/>
        <v>1.8017017738191463E-12</v>
      </c>
      <c r="CX173" s="59">
        <f t="shared" si="122"/>
        <v>293.33333333333513</v>
      </c>
      <c r="CY173" s="59">
        <f ca="1">AVERAGE(OFFSET($CX$3,0,0,'Données projet'!$E$13+1,1))-AVERAGE(OFFSET($H$3,0,0,'Données projet'!$E$13+1,1))</f>
        <v>158.74837032815333</v>
      </c>
      <c r="CZ173" s="59">
        <f t="shared" si="150"/>
        <v>92.286636088270086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28.327447379725282</v>
      </c>
      <c r="DG173" s="21">
        <f>EXP(-LN(2)/25)*DG172+(1-EXP(-LN(2)/25))/(LN(2)/25)*Calculateur!DB173*Calculateur!DD173*VLOOKUP('Données projet'!$B$13,Paramètres!$A$1:$I$89,3,0)*0.475*44/12</f>
        <v>0.36500895348213552</v>
      </c>
      <c r="DH173" s="21">
        <f>EXP(-LN(2)/2)*DH172+(1-EXP(-LN(2)/2))/(LN(2)/2)*DB173*DE173*VLOOKUP('Données projet'!$B$13,Paramètres!$A$1:$I$89,3,0)*0.475*44/12</f>
        <v>1.0064996533452258E-7</v>
      </c>
      <c r="DI173" s="22">
        <f t="shared" si="175"/>
        <v>28.692456433857384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2.8421709430404007E-13</v>
      </c>
      <c r="O174" s="13">
        <f>N174*VLOOKUP('Données projet'!$B$9,Paramètres!$A$1:$I$89,3,0)*VLOOKUP('Données projet'!$B$9,Paramètres!$A$1:$I$89,5,0)</f>
        <v>2.3942448024172339E-13</v>
      </c>
      <c r="P174" s="13">
        <f t="shared" si="141"/>
        <v>3.2492669905861755E-12</v>
      </c>
      <c r="Q174" s="20">
        <f t="shared" si="162"/>
        <v>6.0761376450252573E-12</v>
      </c>
      <c r="R174" s="59">
        <f t="shared" si="109"/>
        <v>293.3333333333394</v>
      </c>
      <c r="S174" s="59">
        <f ca="1">AVERAGE(OFFSET($R$3,0,0,'Données projet'!$E$9+1,1))-AVERAGE(OFFSET($H$3,0,0,'Données projet'!$E$9+1,1))</f>
        <v>231.91408074258248</v>
      </c>
      <c r="T174" s="59">
        <f t="shared" si="142"/>
        <v>143.57726487417773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2.6019582232082773E-19</v>
      </c>
      <c r="AC174" s="22">
        <f t="shared" si="163"/>
        <v>2.6019582232082773E-19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2.8421709430404007E-13</v>
      </c>
      <c r="AJ174" s="13">
        <f>AI174*VLOOKUP('Données projet'!$B$10,Paramètres!$A$1:$I$89,3,0)*VLOOKUP('Données projet'!$B$10,Paramètres!$A$1:$I$89,5,0)</f>
        <v>2.5715962692629546E-13</v>
      </c>
      <c r="AK174" s="13">
        <f t="shared" si="164"/>
        <v>3.4610450122128953E-12</v>
      </c>
      <c r="AL174" s="20">
        <f t="shared" si="165"/>
        <v>6.4758730798340893E-12</v>
      </c>
      <c r="AM174" s="59">
        <f t="shared" si="113"/>
        <v>293.33333333333979</v>
      </c>
      <c r="AN174" s="59">
        <f ca="1">AVERAGE(OFFSET($AM$3,0,0,'Données projet'!$E$10+1,1))-AVERAGE(OFFSET($H$3,0,0,'Données projet'!$E$10+1,1))</f>
        <v>253.16772905022714</v>
      </c>
      <c r="AO174" s="59">
        <f t="shared" si="144"/>
        <v>156.67965022779907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2.7946958693718537E-19</v>
      </c>
      <c r="AX174" s="21">
        <f t="shared" si="166"/>
        <v>2.7946958693718537E-19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-2.8421709430404007E-14</v>
      </c>
      <c r="BE174" s="13">
        <f>BD174*VLOOKUP('Données projet'!$B$11,Paramètres!$A$1:$I$89,3,0)*VLOOKUP('Données projet'!$B$11,Paramètres!$A$1:$I$89,5,0)</f>
        <v>-1.6996182239381599E-14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119.24399403036387</v>
      </c>
      <c r="BJ174" s="59">
        <f t="shared" si="146"/>
        <v>119.60076838354843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5.9878906870720358E-22</v>
      </c>
      <c r="BS174" s="22">
        <f t="shared" si="169"/>
        <v>5.9878906870720358E-22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5.6843418860808015E-14</v>
      </c>
      <c r="BZ174" s="13">
        <f>BY174*VLOOKUP('Données projet'!$B$12,Paramètres!$A$1:$I$89,3,0)*VLOOKUP('Données projet'!$B$12,Paramètres!$A$1:$I$89,5,0)</f>
        <v>5.4978954722173515E-14</v>
      </c>
      <c r="CA174" s="13">
        <f t="shared" si="170"/>
        <v>8.8550225887742724E-13</v>
      </c>
      <c r="CB174" s="20">
        <f t="shared" si="171"/>
        <v>1.6380047803526383E-12</v>
      </c>
      <c r="CC174" s="59">
        <f t="shared" si="119"/>
        <v>293.33333333333496</v>
      </c>
      <c r="CD174" s="59">
        <f ca="1">AVERAGE(OFFSET($CC$3,0,0,'Données projet'!$E$12+1,1))-AVERAGE(OFFSET($H$3,0,0,'Données projet'!$E$12+1,1))</f>
        <v>135.95692658150551</v>
      </c>
      <c r="CE174" s="59">
        <f t="shared" si="148"/>
        <v>79.394119001888612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24.954517850841082</v>
      </c>
      <c r="CL174" s="21">
        <f>EXP(-LN(2)/25)*CL173+(1-EXP(-LN(2)/25))/(LN(2)/25)*Calculateur!CG174*Calculateur!CI174*VLOOKUP('Données projet'!$B$12,Paramètres!$A$1:$I$89,3,0)*0.475*44/12</f>
        <v>0.31901045501679925</v>
      </c>
      <c r="CM174" s="21">
        <f>EXP(-LN(2)/2)*CM173+(1-EXP(-LN(2)/2))/(LN(2)/2)*CG174*CJ174*VLOOKUP('Données projet'!$B$12,Paramètres!$A$1:$I$89,3,0)*0.475*44/12</f>
        <v>6.3950100389599665E-8</v>
      </c>
      <c r="CN174" s="22">
        <f t="shared" si="172"/>
        <v>25.27352836980798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5.6843418860808015E-14</v>
      </c>
      <c r="CU174" s="17">
        <f>CT174*VLOOKUP('Données projet'!$B$13,Paramètres!$A$1:$I$89,3,0)*VLOOKUP('Données projet'!$B$13,Paramètres!$A$1:$I$89,5,0)</f>
        <v>6.1186256061773749E-14</v>
      </c>
      <c r="CV174" s="13">
        <f t="shared" si="173"/>
        <v>9.7328366192051127E-13</v>
      </c>
      <c r="CW174" s="20">
        <f t="shared" si="174"/>
        <v>1.8017017738191463E-12</v>
      </c>
      <c r="CX174" s="59">
        <f t="shared" si="122"/>
        <v>293.33333333333513</v>
      </c>
      <c r="CY174" s="59">
        <f ca="1">AVERAGE(OFFSET($CX$3,0,0,'Données projet'!$E$13+1,1))-AVERAGE(OFFSET($H$3,0,0,'Données projet'!$E$13+1,1))</f>
        <v>158.74837032815333</v>
      </c>
      <c r="CZ174" s="59">
        <f t="shared" si="150"/>
        <v>92.286636088270086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27.771963414645708</v>
      </c>
      <c r="DG174" s="21">
        <f>EXP(-LN(2)/25)*DG173+(1-EXP(-LN(2)/25))/(LN(2)/25)*Calculateur!DB174*Calculateur!DD174*VLOOKUP('Données projet'!$B$13,Paramètres!$A$1:$I$89,3,0)*0.475*44/12</f>
        <v>0.35502776445417988</v>
      </c>
      <c r="DH174" s="21">
        <f>EXP(-LN(2)/2)*DH173+(1-EXP(-LN(2)/2))/(LN(2)/2)*DB174*DE174*VLOOKUP('Données projet'!$B$13,Paramètres!$A$1:$I$89,3,0)*0.475*44/12</f>
        <v>7.1170273014231853E-8</v>
      </c>
      <c r="DI174" s="22">
        <f t="shared" si="175"/>
        <v>28.126991250270162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2.8421709430404007E-13</v>
      </c>
      <c r="O175" s="13">
        <f>N175*VLOOKUP('Données projet'!$B$9,Paramètres!$A$1:$I$89,3,0)*VLOOKUP('Données projet'!$B$9,Paramètres!$A$1:$I$89,5,0)</f>
        <v>2.3942448024172339E-13</v>
      </c>
      <c r="P175" s="13">
        <f t="shared" si="141"/>
        <v>3.2492669905861755E-12</v>
      </c>
      <c r="Q175" s="20">
        <f t="shared" si="162"/>
        <v>6.0761376450252573E-12</v>
      </c>
      <c r="R175" s="59">
        <f t="shared" si="109"/>
        <v>293.3333333333394</v>
      </c>
      <c r="S175" s="59">
        <f ca="1">AVERAGE(OFFSET($R$3,0,0,'Données projet'!$E$9+1,1))-AVERAGE(OFFSET($H$3,0,0,'Données projet'!$E$9+1,1))</f>
        <v>231.91408074258248</v>
      </c>
      <c r="T175" s="59">
        <f t="shared" si="142"/>
        <v>143.57726487417773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1.8398623039946734E-19</v>
      </c>
      <c r="AC175" s="22">
        <f t="shared" si="163"/>
        <v>1.8398623039946734E-19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2.8421709430404007E-13</v>
      </c>
      <c r="AJ175" s="13">
        <f>AI175*VLOOKUP('Données projet'!$B$10,Paramètres!$A$1:$I$89,3,0)*VLOOKUP('Données projet'!$B$10,Paramètres!$A$1:$I$89,5,0)</f>
        <v>2.5715962692629546E-13</v>
      </c>
      <c r="AK175" s="13">
        <f t="shared" si="164"/>
        <v>3.4610450122128953E-12</v>
      </c>
      <c r="AL175" s="20">
        <f t="shared" si="165"/>
        <v>6.4758730798340893E-12</v>
      </c>
      <c r="AM175" s="59">
        <f t="shared" si="113"/>
        <v>293.33333333333979</v>
      </c>
      <c r="AN175" s="59">
        <f ca="1">AVERAGE(OFFSET($AM$3,0,0,'Données projet'!$E$10+1,1))-AVERAGE(OFFSET($H$3,0,0,'Données projet'!$E$10+1,1))</f>
        <v>253.16772905022714</v>
      </c>
      <c r="AO175" s="59">
        <f t="shared" si="144"/>
        <v>156.67965022779907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1.9761484005868716E-19</v>
      </c>
      <c r="AX175" s="21">
        <f t="shared" si="166"/>
        <v>1.9761484005868716E-19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-2.8421709430404007E-14</v>
      </c>
      <c r="BE175" s="13">
        <f>BD175*VLOOKUP('Données projet'!$B$11,Paramètres!$A$1:$I$89,3,0)*VLOOKUP('Données projet'!$B$11,Paramètres!$A$1:$I$89,5,0)</f>
        <v>-1.6996182239381599E-14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119.24399403036387</v>
      </c>
      <c r="BJ175" s="59">
        <f t="shared" si="146"/>
        <v>119.60076838354843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4.234078109832412E-22</v>
      </c>
      <c r="BS175" s="22">
        <f t="shared" si="169"/>
        <v>4.234078109832412E-22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5.6843418860808015E-14</v>
      </c>
      <c r="BZ175" s="13">
        <f>BY175*VLOOKUP('Données projet'!$B$12,Paramètres!$A$1:$I$89,3,0)*VLOOKUP('Données projet'!$B$12,Paramètres!$A$1:$I$89,5,0)</f>
        <v>5.4978954722173515E-14</v>
      </c>
      <c r="CA175" s="13">
        <f t="shared" si="170"/>
        <v>8.8550225887742724E-13</v>
      </c>
      <c r="CB175" s="20">
        <f t="shared" si="171"/>
        <v>1.6380047803526383E-12</v>
      </c>
      <c r="CC175" s="59">
        <f t="shared" si="119"/>
        <v>293.33333333333496</v>
      </c>
      <c r="CD175" s="59">
        <f ca="1">AVERAGE(OFFSET($CC$3,0,0,'Données projet'!$E$12+1,1))-AVERAGE(OFFSET($H$3,0,0,'Données projet'!$E$12+1,1))</f>
        <v>135.95692658150551</v>
      </c>
      <c r="CE175" s="59">
        <f t="shared" si="148"/>
        <v>79.394119001888612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24.465174976539053</v>
      </c>
      <c r="CL175" s="21">
        <f>EXP(-LN(2)/25)*CL174+(1-EXP(-LN(2)/25))/(LN(2)/25)*Calculateur!CG175*Calculateur!CI175*VLOOKUP('Données projet'!$B$12,Paramètres!$A$1:$I$89,3,0)*0.475*44/12</f>
        <v>0.31028709734833415</v>
      </c>
      <c r="CM175" s="21">
        <f>EXP(-LN(2)/2)*CM174+(1-EXP(-LN(2)/2))/(LN(2)/2)*CG175*CJ175*VLOOKUP('Données projet'!$B$12,Paramètres!$A$1:$I$89,3,0)*0.475*44/12</f>
        <v>4.5219549643046399E-8</v>
      </c>
      <c r="CN175" s="22">
        <f t="shared" si="172"/>
        <v>24.775462119106937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5.6843418860808015E-14</v>
      </c>
      <c r="CU175" s="17">
        <f>CT175*VLOOKUP('Données projet'!$B$13,Paramètres!$A$1:$I$89,3,0)*VLOOKUP('Données projet'!$B$13,Paramètres!$A$1:$I$89,5,0)</f>
        <v>6.1186256061773749E-14</v>
      </c>
      <c r="CV175" s="13">
        <f t="shared" si="173"/>
        <v>9.7328366192051127E-13</v>
      </c>
      <c r="CW175" s="20">
        <f t="shared" si="174"/>
        <v>1.8017017738191463E-12</v>
      </c>
      <c r="CX175" s="59">
        <f t="shared" si="122"/>
        <v>293.33333333333513</v>
      </c>
      <c r="CY175" s="59">
        <f ca="1">AVERAGE(OFFSET($CX$3,0,0,'Données projet'!$E$13+1,1))-AVERAGE(OFFSET($H$3,0,0,'Données projet'!$E$13+1,1))</f>
        <v>158.74837032815333</v>
      </c>
      <c r="CZ175" s="59">
        <f t="shared" si="150"/>
        <v>92.286636088270086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27.227372151309577</v>
      </c>
      <c r="DG175" s="21">
        <f>EXP(-LN(2)/25)*DG174+(1-EXP(-LN(2)/25))/(LN(2)/25)*Calculateur!DB175*Calculateur!DD175*VLOOKUP('Données projet'!$B$13,Paramètres!$A$1:$I$89,3,0)*0.475*44/12</f>
        <v>0.34531951156508162</v>
      </c>
      <c r="DH175" s="21">
        <f>EXP(-LN(2)/2)*DH174+(1-EXP(-LN(2)/2))/(LN(2)/2)*DB175*DE175*VLOOKUP('Données projet'!$B$13,Paramètres!$A$1:$I$89,3,0)*0.475*44/12</f>
        <v>5.0324982667261292E-8</v>
      </c>
      <c r="DI175" s="22">
        <f t="shared" si="175"/>
        <v>27.572691713199639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2.8421709430404007E-13</v>
      </c>
      <c r="O176" s="13">
        <f>N176*VLOOKUP('Données projet'!$B$9,Paramètres!$A$1:$I$89,3,0)*VLOOKUP('Données projet'!$B$9,Paramètres!$A$1:$I$89,5,0)</f>
        <v>2.3942448024172339E-13</v>
      </c>
      <c r="P176" s="13">
        <f t="shared" si="141"/>
        <v>3.2492669905861755E-12</v>
      </c>
      <c r="Q176" s="20">
        <f t="shared" si="162"/>
        <v>6.0761376450252573E-12</v>
      </c>
      <c r="R176" s="59">
        <f t="shared" si="109"/>
        <v>293.3333333333394</v>
      </c>
      <c r="S176" s="59">
        <f ca="1">AVERAGE(OFFSET($R$3,0,0,'Données projet'!$E$9+1,1))-AVERAGE(OFFSET($H$3,0,0,'Données projet'!$E$9+1,1))</f>
        <v>231.91408074258248</v>
      </c>
      <c r="T176" s="59">
        <f t="shared" si="142"/>
        <v>143.57726487417773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1.3009791116041386E-19</v>
      </c>
      <c r="AC176" s="22">
        <f t="shared" si="163"/>
        <v>1.3009791116041386E-19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2.8421709430404007E-13</v>
      </c>
      <c r="AJ176" s="13">
        <f>AI176*VLOOKUP('Données projet'!$B$10,Paramètres!$A$1:$I$89,3,0)*VLOOKUP('Données projet'!$B$10,Paramètres!$A$1:$I$89,5,0)</f>
        <v>2.5715962692629546E-13</v>
      </c>
      <c r="AK176" s="13">
        <f t="shared" si="164"/>
        <v>3.4610450122128953E-12</v>
      </c>
      <c r="AL176" s="20">
        <f t="shared" si="165"/>
        <v>6.4758730798340893E-12</v>
      </c>
      <c r="AM176" s="59">
        <f t="shared" si="113"/>
        <v>293.33333333333979</v>
      </c>
      <c r="AN176" s="59">
        <f ca="1">AVERAGE(OFFSET($AM$3,0,0,'Données projet'!$E$10+1,1))-AVERAGE(OFFSET($H$3,0,0,'Données projet'!$E$10+1,1))</f>
        <v>253.16772905022714</v>
      </c>
      <c r="AO176" s="59">
        <f t="shared" si="144"/>
        <v>156.67965022779907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1.3973479346859269E-19</v>
      </c>
      <c r="AX176" s="21">
        <f t="shared" si="166"/>
        <v>1.3973479346859269E-19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-2.8421709430404007E-14</v>
      </c>
      <c r="BE176" s="13">
        <f>BD176*VLOOKUP('Données projet'!$B$11,Paramètres!$A$1:$I$89,3,0)*VLOOKUP('Données projet'!$B$11,Paramètres!$A$1:$I$89,5,0)</f>
        <v>-1.6996182239381599E-14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119.24399403036387</v>
      </c>
      <c r="BJ176" s="59">
        <f t="shared" si="146"/>
        <v>119.60076838354843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2.9939453435360184E-22</v>
      </c>
      <c r="BS176" s="22">
        <f t="shared" si="169"/>
        <v>2.9939453435360184E-22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5.6843418860808015E-14</v>
      </c>
      <c r="BZ176" s="13">
        <f>BY176*VLOOKUP('Données projet'!$B$12,Paramètres!$A$1:$I$89,3,0)*VLOOKUP('Données projet'!$B$12,Paramètres!$A$1:$I$89,5,0)</f>
        <v>5.4978954722173515E-14</v>
      </c>
      <c r="CA176" s="13">
        <f t="shared" si="170"/>
        <v>8.8550225887742724E-13</v>
      </c>
      <c r="CB176" s="20">
        <f t="shared" si="171"/>
        <v>1.6380047803526383E-12</v>
      </c>
      <c r="CC176" s="59">
        <f t="shared" si="119"/>
        <v>293.33333333333496</v>
      </c>
      <c r="CD176" s="59">
        <f ca="1">AVERAGE(OFFSET($CC$3,0,0,'Données projet'!$E$12+1,1))-AVERAGE(OFFSET($H$3,0,0,'Données projet'!$E$12+1,1))</f>
        <v>135.95692658150551</v>
      </c>
      <c r="CE176" s="59">
        <f t="shared" si="148"/>
        <v>79.394119001888612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23.985427817532404</v>
      </c>
      <c r="CL176" s="21">
        <f>EXP(-LN(2)/25)*CL175+(1-EXP(-LN(2)/25))/(LN(2)/25)*Calculateur!CG176*Calculateur!CI176*VLOOKUP('Données projet'!$B$12,Paramètres!$A$1:$I$89,3,0)*0.475*44/12</f>
        <v>0.30180228035405465</v>
      </c>
      <c r="CM176" s="21">
        <f>EXP(-LN(2)/2)*CM175+(1-EXP(-LN(2)/2))/(LN(2)/2)*CG176*CJ176*VLOOKUP('Données projet'!$B$12,Paramètres!$A$1:$I$89,3,0)*0.475*44/12</f>
        <v>3.1975050194799833E-8</v>
      </c>
      <c r="CN176" s="22">
        <f t="shared" si="172"/>
        <v>24.287230129861509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5.6843418860808015E-14</v>
      </c>
      <c r="CU176" s="17">
        <f>CT176*VLOOKUP('Données projet'!$B$13,Paramètres!$A$1:$I$89,3,0)*VLOOKUP('Données projet'!$B$13,Paramètres!$A$1:$I$89,5,0)</f>
        <v>6.1186256061773749E-14</v>
      </c>
      <c r="CV176" s="13">
        <f t="shared" si="173"/>
        <v>9.7328366192051127E-13</v>
      </c>
      <c r="CW176" s="20">
        <f t="shared" si="174"/>
        <v>1.8017017738191463E-12</v>
      </c>
      <c r="CX176" s="59">
        <f t="shared" si="122"/>
        <v>293.33333333333513</v>
      </c>
      <c r="CY176" s="59">
        <f ca="1">AVERAGE(OFFSET($CX$3,0,0,'Données projet'!$E$13+1,1))-AVERAGE(OFFSET($H$3,0,0,'Données projet'!$E$13+1,1))</f>
        <v>158.74837032815333</v>
      </c>
      <c r="CZ176" s="59">
        <f t="shared" si="150"/>
        <v>92.286636088270086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26.693459990479599</v>
      </c>
      <c r="DG176" s="21">
        <f>EXP(-LN(2)/25)*DG175+(1-EXP(-LN(2)/25))/(LN(2)/25)*Calculateur!DB176*Calculateur!DD176*VLOOKUP('Données projet'!$B$13,Paramètres!$A$1:$I$89,3,0)*0.475*44/12</f>
        <v>0.3358767313617706</v>
      </c>
      <c r="DH176" s="21">
        <f>EXP(-LN(2)/2)*DH175+(1-EXP(-LN(2)/2))/(LN(2)/2)*DB176*DE176*VLOOKUP('Données projet'!$B$13,Paramètres!$A$1:$I$89,3,0)*0.475*44/12</f>
        <v>3.5585136507115927E-8</v>
      </c>
      <c r="DI176" s="22">
        <f t="shared" si="175"/>
        <v>27.029336757426506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2.8421709430404007E-13</v>
      </c>
      <c r="O177" s="13">
        <f>N177*VLOOKUP('Données projet'!$B$9,Paramètres!$A$1:$I$89,3,0)*VLOOKUP('Données projet'!$B$9,Paramètres!$A$1:$I$89,5,0)</f>
        <v>2.3942448024172339E-13</v>
      </c>
      <c r="P177" s="13">
        <f t="shared" si="141"/>
        <v>3.2492669905861755E-12</v>
      </c>
      <c r="Q177" s="20">
        <f t="shared" si="162"/>
        <v>6.0761376450252573E-12</v>
      </c>
      <c r="R177" s="59">
        <f t="shared" si="109"/>
        <v>293.3333333333394</v>
      </c>
      <c r="S177" s="59">
        <f ca="1">AVERAGE(OFFSET($R$3,0,0,'Données projet'!$E$9+1,1))-AVERAGE(OFFSET($H$3,0,0,'Données projet'!$E$9+1,1))</f>
        <v>231.91408074258248</v>
      </c>
      <c r="T177" s="59">
        <f t="shared" si="142"/>
        <v>143.57726487417773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9.1993115199733668E-20</v>
      </c>
      <c r="AC177" s="22">
        <f t="shared" si="163"/>
        <v>9.1993115199733668E-20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2.8421709430404007E-13</v>
      </c>
      <c r="AJ177" s="13">
        <f>AI177*VLOOKUP('Données projet'!$B$10,Paramètres!$A$1:$I$89,3,0)*VLOOKUP('Données projet'!$B$10,Paramètres!$A$1:$I$89,5,0)</f>
        <v>2.5715962692629546E-13</v>
      </c>
      <c r="AK177" s="13">
        <f t="shared" si="164"/>
        <v>3.4610450122128953E-12</v>
      </c>
      <c r="AL177" s="20">
        <f t="shared" si="165"/>
        <v>6.4758730798340893E-12</v>
      </c>
      <c r="AM177" s="59">
        <f t="shared" si="113"/>
        <v>293.33333333333979</v>
      </c>
      <c r="AN177" s="59">
        <f ca="1">AVERAGE(OFFSET($AM$3,0,0,'Données projet'!$E$10+1,1))-AVERAGE(OFFSET($H$3,0,0,'Données projet'!$E$10+1,1))</f>
        <v>253.16772905022714</v>
      </c>
      <c r="AO177" s="59">
        <f t="shared" si="144"/>
        <v>156.67965022779907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9.880742002934358E-20</v>
      </c>
      <c r="AX177" s="21">
        <f t="shared" si="166"/>
        <v>9.880742002934358E-20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-2.8421709430404007E-14</v>
      </c>
      <c r="BE177" s="13">
        <f>BD177*VLOOKUP('Données projet'!$B$11,Paramètres!$A$1:$I$89,3,0)*VLOOKUP('Données projet'!$B$11,Paramètres!$A$1:$I$89,5,0)</f>
        <v>-1.6996182239381599E-14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119.24399403036387</v>
      </c>
      <c r="BJ177" s="59">
        <f t="shared" si="146"/>
        <v>119.60076838354843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2.1170390549162062E-22</v>
      </c>
      <c r="BS177" s="22">
        <f t="shared" si="169"/>
        <v>2.1170390549162062E-22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5.6843418860808015E-14</v>
      </c>
      <c r="BZ177" s="13">
        <f>BY177*VLOOKUP('Données projet'!$B$12,Paramètres!$A$1:$I$89,3,0)*VLOOKUP('Données projet'!$B$12,Paramètres!$A$1:$I$89,5,0)</f>
        <v>5.4978954722173515E-14</v>
      </c>
      <c r="CA177" s="13">
        <f t="shared" si="170"/>
        <v>8.8550225887742724E-13</v>
      </c>
      <c r="CB177" s="20">
        <f t="shared" si="171"/>
        <v>1.6380047803526383E-12</v>
      </c>
      <c r="CC177" s="59">
        <f t="shared" si="119"/>
        <v>293.33333333333496</v>
      </c>
      <c r="CD177" s="59">
        <f ca="1">AVERAGE(OFFSET($CC$3,0,0,'Données projet'!$E$12+1,1))-AVERAGE(OFFSET($H$3,0,0,'Données projet'!$E$12+1,1))</f>
        <v>135.95692658150551</v>
      </c>
      <c r="CE177" s="59">
        <f t="shared" si="148"/>
        <v>79.394119001888612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23.515088207697001</v>
      </c>
      <c r="CL177" s="21">
        <f>EXP(-LN(2)/25)*CL176+(1-EXP(-LN(2)/25))/(LN(2)/25)*Calculateur!CG177*Calculateur!CI177*VLOOKUP('Données projet'!$B$12,Paramètres!$A$1:$I$89,3,0)*0.475*44/12</f>
        <v>0.29354948112668089</v>
      </c>
      <c r="CM177" s="21">
        <f>EXP(-LN(2)/2)*CM176+(1-EXP(-LN(2)/2))/(LN(2)/2)*CG177*CJ177*VLOOKUP('Données projet'!$B$12,Paramètres!$A$1:$I$89,3,0)*0.475*44/12</f>
        <v>2.2609774821523199E-8</v>
      </c>
      <c r="CN177" s="22">
        <f t="shared" si="172"/>
        <v>23.808637711433459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5.6843418860808015E-14</v>
      </c>
      <c r="CU177" s="17">
        <f>CT177*VLOOKUP('Données projet'!$B$13,Paramètres!$A$1:$I$89,3,0)*VLOOKUP('Données projet'!$B$13,Paramètres!$A$1:$I$89,5,0)</f>
        <v>6.1186256061773749E-14</v>
      </c>
      <c r="CV177" s="13">
        <f t="shared" si="173"/>
        <v>9.7328366192051127E-13</v>
      </c>
      <c r="CW177" s="20">
        <f t="shared" si="174"/>
        <v>1.8017017738191463E-12</v>
      </c>
      <c r="CX177" s="59">
        <f t="shared" si="122"/>
        <v>293.33333333333513</v>
      </c>
      <c r="CY177" s="59">
        <f ca="1">AVERAGE(OFFSET($CX$3,0,0,'Données projet'!$E$13+1,1))-AVERAGE(OFFSET($H$3,0,0,'Données projet'!$E$13+1,1))</f>
        <v>158.74837032815333</v>
      </c>
      <c r="CZ177" s="59">
        <f t="shared" si="150"/>
        <v>92.286636088270086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26.170017521469234</v>
      </c>
      <c r="DG177" s="21">
        <f>EXP(-LN(2)/25)*DG176+(1-EXP(-LN(2)/25))/(LN(2)/25)*Calculateur!DB177*Calculateur!DD177*VLOOKUP('Données projet'!$B$13,Paramètres!$A$1:$I$89,3,0)*0.475*44/12</f>
        <v>0.32669216447969335</v>
      </c>
      <c r="DH177" s="21">
        <f>EXP(-LN(2)/2)*DH176+(1-EXP(-LN(2)/2))/(LN(2)/2)*DB177*DE177*VLOOKUP('Données projet'!$B$13,Paramètres!$A$1:$I$89,3,0)*0.475*44/12</f>
        <v>2.5162491333630646E-8</v>
      </c>
      <c r="DI177" s="22">
        <f t="shared" si="175"/>
        <v>26.496709711111418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2.8421709430404007E-13</v>
      </c>
      <c r="O178" s="13">
        <f>N178*VLOOKUP('Données projet'!$B$9,Paramètres!$A$1:$I$89,3,0)*VLOOKUP('Données projet'!$B$9,Paramètres!$A$1:$I$89,5,0)</f>
        <v>2.3942448024172339E-13</v>
      </c>
      <c r="P178" s="13">
        <f t="shared" si="141"/>
        <v>3.2492669905861755E-12</v>
      </c>
      <c r="Q178" s="20">
        <f t="shared" si="162"/>
        <v>6.0761376450252573E-12</v>
      </c>
      <c r="R178" s="59">
        <f t="shared" si="109"/>
        <v>293.3333333333394</v>
      </c>
      <c r="S178" s="59">
        <f ca="1">AVERAGE(OFFSET($R$3,0,0,'Données projet'!$E$9+1,1))-AVERAGE(OFFSET($H$3,0,0,'Données projet'!$E$9+1,1))</f>
        <v>231.91408074258248</v>
      </c>
      <c r="T178" s="59">
        <f t="shared" si="142"/>
        <v>143.57726487417773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6.5048955580206932E-20</v>
      </c>
      <c r="AC178" s="22">
        <f t="shared" si="163"/>
        <v>6.5048955580206932E-20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2.8421709430404007E-13</v>
      </c>
      <c r="AJ178" s="13">
        <f>AI178*VLOOKUP('Données projet'!$B$10,Paramètres!$A$1:$I$89,3,0)*VLOOKUP('Données projet'!$B$10,Paramètres!$A$1:$I$89,5,0)</f>
        <v>2.5715962692629546E-13</v>
      </c>
      <c r="AK178" s="13">
        <f t="shared" si="164"/>
        <v>3.4610450122128953E-12</v>
      </c>
      <c r="AL178" s="20">
        <f t="shared" si="165"/>
        <v>6.4758730798340893E-12</v>
      </c>
      <c r="AM178" s="59">
        <f t="shared" si="113"/>
        <v>293.33333333333979</v>
      </c>
      <c r="AN178" s="59">
        <f ca="1">AVERAGE(OFFSET($AM$3,0,0,'Données projet'!$E$10+1,1))-AVERAGE(OFFSET($H$3,0,0,'Données projet'!$E$10+1,1))</f>
        <v>253.16772905022714</v>
      </c>
      <c r="AO178" s="59">
        <f t="shared" si="144"/>
        <v>156.67965022779907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6.9867396734296343E-20</v>
      </c>
      <c r="AX178" s="21">
        <f t="shared" si="166"/>
        <v>6.9867396734296343E-20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-2.8421709430404007E-14</v>
      </c>
      <c r="BE178" s="13">
        <f>BD178*VLOOKUP('Données projet'!$B$11,Paramètres!$A$1:$I$89,3,0)*VLOOKUP('Données projet'!$B$11,Paramètres!$A$1:$I$89,5,0)</f>
        <v>-1.6996182239381599E-14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119.24399403036387</v>
      </c>
      <c r="BJ178" s="59">
        <f t="shared" si="146"/>
        <v>119.60076838354843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1.4969726717680094E-22</v>
      </c>
      <c r="BS178" s="22">
        <f t="shared" si="169"/>
        <v>1.4969726717680094E-22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5.6843418860808015E-14</v>
      </c>
      <c r="BZ178" s="13">
        <f>BY178*VLOOKUP('Données projet'!$B$12,Paramètres!$A$1:$I$89,3,0)*VLOOKUP('Données projet'!$B$12,Paramètres!$A$1:$I$89,5,0)</f>
        <v>5.4978954722173515E-14</v>
      </c>
      <c r="CA178" s="13">
        <f t="shared" si="170"/>
        <v>8.8550225887742724E-13</v>
      </c>
      <c r="CB178" s="20">
        <f t="shared" si="171"/>
        <v>1.6380047803526383E-12</v>
      </c>
      <c r="CC178" s="59">
        <f t="shared" si="119"/>
        <v>293.33333333333496</v>
      </c>
      <c r="CD178" s="59">
        <f ca="1">AVERAGE(OFFSET($CC$3,0,0,'Données projet'!$E$12+1,1))-AVERAGE(OFFSET($H$3,0,0,'Données projet'!$E$12+1,1))</f>
        <v>135.95692658150551</v>
      </c>
      <c r="CE178" s="59">
        <f t="shared" si="148"/>
        <v>79.394119001888612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23.053971670731638</v>
      </c>
      <c r="CL178" s="21">
        <f>EXP(-LN(2)/25)*CL177+(1-EXP(-LN(2)/25))/(LN(2)/25)*Calculateur!CG178*Calculateur!CI178*VLOOKUP('Données projet'!$B$12,Paramètres!$A$1:$I$89,3,0)*0.475*44/12</f>
        <v>0.28552235512817553</v>
      </c>
      <c r="CM178" s="21">
        <f>EXP(-LN(2)/2)*CM177+(1-EXP(-LN(2)/2))/(LN(2)/2)*CG178*CJ178*VLOOKUP('Données projet'!$B$12,Paramètres!$A$1:$I$89,3,0)*0.475*44/12</f>
        <v>1.5987525097399916E-8</v>
      </c>
      <c r="CN178" s="22">
        <f t="shared" si="172"/>
        <v>23.339494041847338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5.6843418860808015E-14</v>
      </c>
      <c r="CU178" s="17">
        <f>CT178*VLOOKUP('Données projet'!$B$13,Paramètres!$A$1:$I$89,3,0)*VLOOKUP('Données projet'!$B$13,Paramètres!$A$1:$I$89,5,0)</f>
        <v>6.1186256061773749E-14</v>
      </c>
      <c r="CV178" s="13">
        <f t="shared" si="173"/>
        <v>9.7328366192051127E-13</v>
      </c>
      <c r="CW178" s="20">
        <f t="shared" si="174"/>
        <v>1.8017017738191463E-12</v>
      </c>
      <c r="CX178" s="59">
        <f t="shared" si="122"/>
        <v>293.33333333333513</v>
      </c>
      <c r="CY178" s="59">
        <f ca="1">AVERAGE(OFFSET($CX$3,0,0,'Données projet'!$E$13+1,1))-AVERAGE(OFFSET($H$3,0,0,'Données projet'!$E$13+1,1))</f>
        <v>158.74837032815333</v>
      </c>
      <c r="CZ178" s="59">
        <f t="shared" si="150"/>
        <v>92.286636088270086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25.656839440007779</v>
      </c>
      <c r="DG178" s="21">
        <f>EXP(-LN(2)/25)*DG177+(1-EXP(-LN(2)/25))/(LN(2)/25)*Calculateur!DB178*Calculateur!DD178*VLOOKUP('Données projet'!$B$13,Paramètres!$A$1:$I$89,3,0)*0.475*44/12</f>
        <v>0.31775875006200188</v>
      </c>
      <c r="DH178" s="21">
        <f>EXP(-LN(2)/2)*DH177+(1-EXP(-LN(2)/2))/(LN(2)/2)*DB178*DE178*VLOOKUP('Données projet'!$B$13,Paramètres!$A$1:$I$89,3,0)*0.475*44/12</f>
        <v>1.7792568253557963E-8</v>
      </c>
      <c r="DI178" s="22">
        <f t="shared" si="175"/>
        <v>25.97459820786235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2.8421709430404007E-13</v>
      </c>
      <c r="O179" s="13">
        <f>N179*VLOOKUP('Données projet'!$B$9,Paramètres!$A$1:$I$89,3,0)*VLOOKUP('Données projet'!$B$9,Paramètres!$A$1:$I$89,5,0)</f>
        <v>2.3942448024172339E-13</v>
      </c>
      <c r="P179" s="13">
        <f t="shared" si="141"/>
        <v>3.2492669905861755E-12</v>
      </c>
      <c r="Q179" s="20">
        <f t="shared" si="162"/>
        <v>6.0761376450252573E-12</v>
      </c>
      <c r="R179" s="59">
        <f t="shared" si="109"/>
        <v>293.3333333333394</v>
      </c>
      <c r="S179" s="59">
        <f ca="1">AVERAGE(OFFSET($R$3,0,0,'Données projet'!$E$9+1,1))-AVERAGE(OFFSET($H$3,0,0,'Données projet'!$E$9+1,1))</f>
        <v>231.91408074258248</v>
      </c>
      <c r="T179" s="59">
        <f t="shared" si="142"/>
        <v>143.57726487417773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4.5996557599866834E-20</v>
      </c>
      <c r="AC179" s="22">
        <f t="shared" si="163"/>
        <v>4.5996557599866834E-20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2.8421709430404007E-13</v>
      </c>
      <c r="AJ179" s="13">
        <f>AI179*VLOOKUP('Données projet'!$B$10,Paramètres!$A$1:$I$89,3,0)*VLOOKUP('Données projet'!$B$10,Paramètres!$A$1:$I$89,5,0)</f>
        <v>2.5715962692629546E-13</v>
      </c>
      <c r="AK179" s="13">
        <f t="shared" si="164"/>
        <v>3.4610450122128953E-12</v>
      </c>
      <c r="AL179" s="20">
        <f t="shared" si="165"/>
        <v>6.4758730798340893E-12</v>
      </c>
      <c r="AM179" s="59">
        <f t="shared" si="113"/>
        <v>293.33333333333979</v>
      </c>
      <c r="AN179" s="59">
        <f ca="1">AVERAGE(OFFSET($AM$3,0,0,'Données projet'!$E$10+1,1))-AVERAGE(OFFSET($H$3,0,0,'Données projet'!$E$10+1,1))</f>
        <v>253.16772905022714</v>
      </c>
      <c r="AO179" s="59">
        <f t="shared" si="144"/>
        <v>156.67965022779907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4.940371001467179E-20</v>
      </c>
      <c r="AX179" s="21">
        <f t="shared" si="166"/>
        <v>4.940371001467179E-20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-2.8421709430404007E-14</v>
      </c>
      <c r="BE179" s="13">
        <f>BD179*VLOOKUP('Données projet'!$B$11,Paramètres!$A$1:$I$89,3,0)*VLOOKUP('Données projet'!$B$11,Paramètres!$A$1:$I$89,5,0)</f>
        <v>-1.6996182239381599E-14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119.24399403036387</v>
      </c>
      <c r="BJ179" s="59">
        <f t="shared" si="146"/>
        <v>119.60076838354843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1.0585195274581033E-22</v>
      </c>
      <c r="BS179" s="22">
        <f t="shared" si="169"/>
        <v>1.0585195274581033E-22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5.6843418860808015E-14</v>
      </c>
      <c r="BZ179" s="13">
        <f>BY179*VLOOKUP('Données projet'!$B$12,Paramètres!$A$1:$I$89,3,0)*VLOOKUP('Données projet'!$B$12,Paramètres!$A$1:$I$89,5,0)</f>
        <v>5.4978954722173515E-14</v>
      </c>
      <c r="CA179" s="13">
        <f t="shared" si="170"/>
        <v>8.8550225887742724E-13</v>
      </c>
      <c r="CB179" s="20">
        <f t="shared" si="171"/>
        <v>1.6380047803526383E-12</v>
      </c>
      <c r="CC179" s="59">
        <f t="shared" si="119"/>
        <v>293.33333333333496</v>
      </c>
      <c r="CD179" s="59">
        <f ca="1">AVERAGE(OFFSET($CC$3,0,0,'Données projet'!$E$12+1,1))-AVERAGE(OFFSET($H$3,0,0,'Données projet'!$E$12+1,1))</f>
        <v>135.95692658150551</v>
      </c>
      <c r="CE179" s="59">
        <f t="shared" si="148"/>
        <v>79.394119001888612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22.601897347802847</v>
      </c>
      <c r="CL179" s="21">
        <f>EXP(-LN(2)/25)*CL178+(1-EXP(-LN(2)/25))/(LN(2)/25)*Calculateur!CG179*Calculateur!CI179*VLOOKUP('Données projet'!$B$12,Paramètres!$A$1:$I$89,3,0)*0.475*44/12</f>
        <v>0.27771473131222746</v>
      </c>
      <c r="CM179" s="21">
        <f>EXP(-LN(2)/2)*CM178+(1-EXP(-LN(2)/2))/(LN(2)/2)*CG179*CJ179*VLOOKUP('Données projet'!$B$12,Paramètres!$A$1:$I$89,3,0)*0.475*44/12</f>
        <v>1.13048874107616E-8</v>
      </c>
      <c r="CN179" s="22">
        <f t="shared" si="172"/>
        <v>22.879612090419961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5.6843418860808015E-14</v>
      </c>
      <c r="CU179" s="17">
        <f>CT179*VLOOKUP('Données projet'!$B$13,Paramètres!$A$1:$I$89,3,0)*VLOOKUP('Données projet'!$B$13,Paramètres!$A$1:$I$89,5,0)</f>
        <v>6.1186256061773749E-14</v>
      </c>
      <c r="CV179" s="13">
        <f t="shared" si="173"/>
        <v>9.7328366192051127E-13</v>
      </c>
      <c r="CW179" s="20">
        <f t="shared" si="174"/>
        <v>1.8017017738191463E-12</v>
      </c>
      <c r="CX179" s="59">
        <f t="shared" si="122"/>
        <v>293.33333333333513</v>
      </c>
      <c r="CY179" s="59">
        <f ca="1">AVERAGE(OFFSET($CX$3,0,0,'Données projet'!$E$13+1,1))-AVERAGE(OFFSET($H$3,0,0,'Données projet'!$E$13+1,1))</f>
        <v>158.74837032815333</v>
      </c>
      <c r="CZ179" s="59">
        <f t="shared" si="150"/>
        <v>92.286636088270086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25.153724467716064</v>
      </c>
      <c r="DG179" s="21">
        <f>EXP(-LN(2)/25)*DG178+(1-EXP(-LN(2)/25))/(LN(2)/25)*Calculateur!DB179*Calculateur!DD179*VLOOKUP('Données projet'!$B$13,Paramètres!$A$1:$I$89,3,0)*0.475*44/12</f>
        <v>0.30906962033135005</v>
      </c>
      <c r="DH179" s="21">
        <f>EXP(-LN(2)/2)*DH178+(1-EXP(-LN(2)/2))/(LN(2)/2)*DB179*DE179*VLOOKUP('Données projet'!$B$13,Paramètres!$A$1:$I$89,3,0)*0.475*44/12</f>
        <v>1.2581245666815323E-8</v>
      </c>
      <c r="DI179" s="22">
        <f t="shared" si="175"/>
        <v>25.46279410062866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2.8421709430404007E-13</v>
      </c>
      <c r="O180" s="13">
        <f>N180*VLOOKUP('Données projet'!$B$9,Paramètres!$A$1:$I$89,3,0)*VLOOKUP('Données projet'!$B$9,Paramètres!$A$1:$I$89,5,0)</f>
        <v>2.3942448024172339E-13</v>
      </c>
      <c r="P180" s="13">
        <f t="shared" si="141"/>
        <v>3.2492669905861755E-12</v>
      </c>
      <c r="Q180" s="20">
        <f t="shared" si="162"/>
        <v>6.0761376450252573E-12</v>
      </c>
      <c r="R180" s="59">
        <f t="shared" si="109"/>
        <v>293.3333333333394</v>
      </c>
      <c r="S180" s="59">
        <f ca="1">AVERAGE(OFFSET($R$3,0,0,'Données projet'!$E$9+1,1))-AVERAGE(OFFSET($H$3,0,0,'Données projet'!$E$9+1,1))</f>
        <v>231.91408074258248</v>
      </c>
      <c r="T180" s="59">
        <f t="shared" si="142"/>
        <v>143.57726487417773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3.2524477790103466E-20</v>
      </c>
      <c r="AC180" s="22">
        <f t="shared" si="163"/>
        <v>3.2524477790103466E-20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2.8421709430404007E-13</v>
      </c>
      <c r="AJ180" s="13">
        <f>AI180*VLOOKUP('Données projet'!$B$10,Paramètres!$A$1:$I$89,3,0)*VLOOKUP('Données projet'!$B$10,Paramètres!$A$1:$I$89,5,0)</f>
        <v>2.5715962692629546E-13</v>
      </c>
      <c r="AK180" s="13">
        <f t="shared" si="164"/>
        <v>3.4610450122128953E-12</v>
      </c>
      <c r="AL180" s="20">
        <f t="shared" si="165"/>
        <v>6.4758730798340893E-12</v>
      </c>
      <c r="AM180" s="59">
        <f t="shared" si="113"/>
        <v>293.33333333333979</v>
      </c>
      <c r="AN180" s="59">
        <f ca="1">AVERAGE(OFFSET($AM$3,0,0,'Données projet'!$E$10+1,1))-AVERAGE(OFFSET($H$3,0,0,'Données projet'!$E$10+1,1))</f>
        <v>253.16772905022714</v>
      </c>
      <c r="AO180" s="59">
        <f t="shared" si="144"/>
        <v>156.67965022779907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3.4933698367148171E-20</v>
      </c>
      <c r="AX180" s="21">
        <f t="shared" si="166"/>
        <v>3.4933698367148171E-20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-2.8421709430404007E-14</v>
      </c>
      <c r="BE180" s="13">
        <f>BD180*VLOOKUP('Données projet'!$B$11,Paramètres!$A$1:$I$89,3,0)*VLOOKUP('Données projet'!$B$11,Paramètres!$A$1:$I$89,5,0)</f>
        <v>-1.6996182239381599E-14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119.24399403036387</v>
      </c>
      <c r="BJ180" s="59">
        <f t="shared" si="146"/>
        <v>119.60076838354843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7.4848633588400483E-23</v>
      </c>
      <c r="BS180" s="22">
        <f t="shared" si="169"/>
        <v>7.4848633588400483E-23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5.6843418860808015E-14</v>
      </c>
      <c r="BZ180" s="13">
        <f>BY180*VLOOKUP('Données projet'!$B$12,Paramètres!$A$1:$I$89,3,0)*VLOOKUP('Données projet'!$B$12,Paramètres!$A$1:$I$89,5,0)</f>
        <v>5.4978954722173515E-14</v>
      </c>
      <c r="CA180" s="13">
        <f t="shared" si="170"/>
        <v>8.8550225887742724E-13</v>
      </c>
      <c r="CB180" s="20">
        <f t="shared" si="171"/>
        <v>1.6380047803526383E-12</v>
      </c>
      <c r="CC180" s="59">
        <f t="shared" si="119"/>
        <v>293.33333333333496</v>
      </c>
      <c r="CD180" s="59">
        <f ca="1">AVERAGE(OFFSET($CC$3,0,0,'Données projet'!$E$12+1,1))-AVERAGE(OFFSET($H$3,0,0,'Données projet'!$E$12+1,1))</f>
        <v>135.95692658150551</v>
      </c>
      <c r="CE180" s="59">
        <f t="shared" si="148"/>
        <v>79.394119001888612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22.158687926608582</v>
      </c>
      <c r="CL180" s="21">
        <f>EXP(-LN(2)/25)*CL179+(1-EXP(-LN(2)/25))/(LN(2)/25)*Calculateur!CG180*Calculateur!CI180*VLOOKUP('Données projet'!$B$12,Paramètres!$A$1:$I$89,3,0)*0.475*44/12</f>
        <v>0.27012060738011162</v>
      </c>
      <c r="CM180" s="21">
        <f>EXP(-LN(2)/2)*CM179+(1-EXP(-LN(2)/2))/(LN(2)/2)*CG180*CJ180*VLOOKUP('Données projet'!$B$12,Paramètres!$A$1:$I$89,3,0)*0.475*44/12</f>
        <v>7.9937625486999582E-9</v>
      </c>
      <c r="CN180" s="22">
        <f t="shared" si="172"/>
        <v>22.428808541982455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5.6843418860808015E-14</v>
      </c>
      <c r="CU180" s="17">
        <f>CT180*VLOOKUP('Données projet'!$B$13,Paramètres!$A$1:$I$89,3,0)*VLOOKUP('Données projet'!$B$13,Paramètres!$A$1:$I$89,5,0)</f>
        <v>6.1186256061773749E-14</v>
      </c>
      <c r="CV180" s="13">
        <f t="shared" si="173"/>
        <v>9.7328366192051127E-13</v>
      </c>
      <c r="CW180" s="20">
        <f t="shared" si="174"/>
        <v>1.8017017738191463E-12</v>
      </c>
      <c r="CX180" s="59">
        <f t="shared" si="122"/>
        <v>293.33333333333513</v>
      </c>
      <c r="CY180" s="59">
        <f ca="1">AVERAGE(OFFSET($CX$3,0,0,'Données projet'!$E$13+1,1))-AVERAGE(OFFSET($H$3,0,0,'Données projet'!$E$13+1,1))</f>
        <v>158.74837032815333</v>
      </c>
      <c r="CZ180" s="59">
        <f t="shared" si="150"/>
        <v>92.286636088270086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24.660475273161154</v>
      </c>
      <c r="DG180" s="21">
        <f>EXP(-LN(2)/25)*DG179+(1-EXP(-LN(2)/25))/(LN(2)/25)*Calculateur!DB180*Calculateur!DD180*VLOOKUP('Données projet'!$B$13,Paramètres!$A$1:$I$89,3,0)*0.475*44/12</f>
        <v>0.30061809531012434</v>
      </c>
      <c r="DH180" s="21">
        <f>EXP(-LN(2)/2)*DH179+(1-EXP(-LN(2)/2))/(LN(2)/2)*DB180*DE180*VLOOKUP('Données projet'!$B$13,Paramètres!$A$1:$I$89,3,0)*0.475*44/12</f>
        <v>8.8962841267789817E-9</v>
      </c>
      <c r="DI180" s="22">
        <f t="shared" si="175"/>
        <v>24.961093377367561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2.8421709430404007E-13</v>
      </c>
      <c r="O181" s="13">
        <f>N181*VLOOKUP('Données projet'!$B$9,Paramètres!$A$1:$I$89,3,0)*VLOOKUP('Données projet'!$B$9,Paramètres!$A$1:$I$89,5,0)</f>
        <v>2.3942448024172339E-13</v>
      </c>
      <c r="P181" s="13">
        <f t="shared" si="141"/>
        <v>3.2492669905861755E-12</v>
      </c>
      <c r="Q181" s="20">
        <f t="shared" si="162"/>
        <v>6.0761376450252573E-12</v>
      </c>
      <c r="R181" s="59">
        <f t="shared" si="109"/>
        <v>293.3333333333394</v>
      </c>
      <c r="S181" s="59">
        <f ca="1">AVERAGE(OFFSET($R$3,0,0,'Données projet'!$E$9+1,1))-AVERAGE(OFFSET($H$3,0,0,'Données projet'!$E$9+1,1))</f>
        <v>231.91408074258248</v>
      </c>
      <c r="T181" s="59">
        <f t="shared" si="142"/>
        <v>143.57726487417773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2.2998278799933417E-20</v>
      </c>
      <c r="AC181" s="22">
        <f t="shared" si="163"/>
        <v>2.2998278799933417E-20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2.8421709430404007E-13</v>
      </c>
      <c r="AJ181" s="13">
        <f>AI181*VLOOKUP('Données projet'!$B$10,Paramètres!$A$1:$I$89,3,0)*VLOOKUP('Données projet'!$B$10,Paramètres!$A$1:$I$89,5,0)</f>
        <v>2.5715962692629546E-13</v>
      </c>
      <c r="AK181" s="13">
        <f t="shared" si="164"/>
        <v>3.4610450122128953E-12</v>
      </c>
      <c r="AL181" s="20">
        <f t="shared" si="165"/>
        <v>6.4758730798340893E-12</v>
      </c>
      <c r="AM181" s="59">
        <f t="shared" si="113"/>
        <v>293.33333333333979</v>
      </c>
      <c r="AN181" s="59">
        <f ca="1">AVERAGE(OFFSET($AM$3,0,0,'Données projet'!$E$10+1,1))-AVERAGE(OFFSET($H$3,0,0,'Données projet'!$E$10+1,1))</f>
        <v>253.16772905022714</v>
      </c>
      <c r="AO181" s="59">
        <f t="shared" si="144"/>
        <v>156.67965022779907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2.4701855007335895E-20</v>
      </c>
      <c r="AX181" s="21">
        <f t="shared" si="166"/>
        <v>2.4701855007335895E-20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-2.8421709430404007E-14</v>
      </c>
      <c r="BE181" s="13">
        <f>BD181*VLOOKUP('Données projet'!$B$11,Paramètres!$A$1:$I$89,3,0)*VLOOKUP('Données projet'!$B$11,Paramètres!$A$1:$I$89,5,0)</f>
        <v>-1.6996182239381599E-14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119.24399403036387</v>
      </c>
      <c r="BJ181" s="59">
        <f t="shared" si="146"/>
        <v>119.60076838354843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5.2925976372905173E-23</v>
      </c>
      <c r="BS181" s="22">
        <f t="shared" si="169"/>
        <v>5.2925976372905173E-23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5.6843418860808015E-14</v>
      </c>
      <c r="BZ181" s="13">
        <f>BY181*VLOOKUP('Données projet'!$B$12,Paramètres!$A$1:$I$89,3,0)*VLOOKUP('Données projet'!$B$12,Paramètres!$A$1:$I$89,5,0)</f>
        <v>5.4978954722173515E-14</v>
      </c>
      <c r="CA181" s="13">
        <f t="shared" si="170"/>
        <v>8.8550225887742724E-13</v>
      </c>
      <c r="CB181" s="20">
        <f t="shared" si="171"/>
        <v>1.6380047803526383E-12</v>
      </c>
      <c r="CC181" s="59">
        <f t="shared" si="119"/>
        <v>293.33333333333496</v>
      </c>
      <c r="CD181" s="59">
        <f ca="1">AVERAGE(OFFSET($CC$3,0,0,'Données projet'!$E$12+1,1))-AVERAGE(OFFSET($H$3,0,0,'Données projet'!$E$12+1,1))</f>
        <v>135.95692658150551</v>
      </c>
      <c r="CE181" s="59">
        <f t="shared" si="148"/>
        <v>79.394119001888612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21.724169571832881</v>
      </c>
      <c r="CL181" s="21">
        <f>EXP(-LN(2)/25)*CL180+(1-EXP(-LN(2)/25))/(LN(2)/25)*Calculateur!CG181*Calculateur!CI181*VLOOKUP('Données projet'!$B$12,Paramètres!$A$1:$I$89,3,0)*0.475*44/12</f>
        <v>0.26273414516627708</v>
      </c>
      <c r="CM181" s="21">
        <f>EXP(-LN(2)/2)*CM180+(1-EXP(-LN(2)/2))/(LN(2)/2)*CG181*CJ181*VLOOKUP('Données projet'!$B$12,Paramètres!$A$1:$I$89,3,0)*0.475*44/12</f>
        <v>5.6524437053807999E-9</v>
      </c>
      <c r="CN181" s="22">
        <f t="shared" si="172"/>
        <v>21.986903722651601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5.6843418860808015E-14</v>
      </c>
      <c r="CU181" s="17">
        <f>CT181*VLOOKUP('Données projet'!$B$13,Paramètres!$A$1:$I$89,3,0)*VLOOKUP('Données projet'!$B$13,Paramètres!$A$1:$I$89,5,0)</f>
        <v>6.1186256061773749E-14</v>
      </c>
      <c r="CV181" s="13">
        <f t="shared" si="173"/>
        <v>9.7328366192051127E-13</v>
      </c>
      <c r="CW181" s="20">
        <f t="shared" si="174"/>
        <v>1.8017017738191463E-12</v>
      </c>
      <c r="CX181" s="59">
        <f t="shared" si="122"/>
        <v>293.33333333333513</v>
      </c>
      <c r="CY181" s="59">
        <f ca="1">AVERAGE(OFFSET($CX$3,0,0,'Données projet'!$E$13+1,1))-AVERAGE(OFFSET($H$3,0,0,'Données projet'!$E$13+1,1))</f>
        <v>158.74837032815333</v>
      </c>
      <c r="CZ181" s="59">
        <f t="shared" si="150"/>
        <v>92.286636088270086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24.176898394459165</v>
      </c>
      <c r="DG181" s="21">
        <f>EXP(-LN(2)/25)*DG180+(1-EXP(-LN(2)/25))/(LN(2)/25)*Calculateur!DB181*Calculateur!DD181*VLOOKUP('Données projet'!$B$13,Paramètres!$A$1:$I$89,3,0)*0.475*44/12</f>
        <v>0.29239767768505043</v>
      </c>
      <c r="DH181" s="21">
        <f>EXP(-LN(2)/2)*DH180+(1-EXP(-LN(2)/2))/(LN(2)/2)*DB181*DE181*VLOOKUP('Données projet'!$B$13,Paramètres!$A$1:$I$89,3,0)*0.475*44/12</f>
        <v>6.2906228334076615E-9</v>
      </c>
      <c r="DI181" s="22">
        <f t="shared" si="175"/>
        <v>24.469296078434837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2.8421709430404007E-13</v>
      </c>
      <c r="O182" s="13">
        <f>N182*VLOOKUP('Données projet'!$B$9,Paramètres!$A$1:$I$89,3,0)*VLOOKUP('Données projet'!$B$9,Paramètres!$A$1:$I$89,5,0)</f>
        <v>2.3942448024172339E-13</v>
      </c>
      <c r="P182" s="13">
        <f t="shared" si="141"/>
        <v>3.2492669905861755E-12</v>
      </c>
      <c r="Q182" s="20">
        <f t="shared" si="162"/>
        <v>6.0761376450252573E-12</v>
      </c>
      <c r="R182" s="59">
        <f t="shared" si="109"/>
        <v>293.3333333333394</v>
      </c>
      <c r="S182" s="59">
        <f ca="1">AVERAGE(OFFSET($R$3,0,0,'Données projet'!$E$9+1,1))-AVERAGE(OFFSET($H$3,0,0,'Données projet'!$E$9+1,1))</f>
        <v>231.91408074258248</v>
      </c>
      <c r="T182" s="59">
        <f t="shared" si="142"/>
        <v>143.57726487417773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1.6262238895051733E-20</v>
      </c>
      <c r="AC182" s="22">
        <f t="shared" si="163"/>
        <v>1.6262238895051733E-20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2.8421709430404007E-13</v>
      </c>
      <c r="AJ182" s="13">
        <f>AI182*VLOOKUP('Données projet'!$B$10,Paramètres!$A$1:$I$89,3,0)*VLOOKUP('Données projet'!$B$10,Paramètres!$A$1:$I$89,5,0)</f>
        <v>2.5715962692629546E-13</v>
      </c>
      <c r="AK182" s="13">
        <f t="shared" si="164"/>
        <v>3.4610450122128953E-12</v>
      </c>
      <c r="AL182" s="20">
        <f t="shared" si="165"/>
        <v>6.4758730798340893E-12</v>
      </c>
      <c r="AM182" s="59">
        <f t="shared" si="113"/>
        <v>293.33333333333979</v>
      </c>
      <c r="AN182" s="59">
        <f ca="1">AVERAGE(OFFSET($AM$3,0,0,'Données projet'!$E$10+1,1))-AVERAGE(OFFSET($H$3,0,0,'Données projet'!$E$10+1,1))</f>
        <v>253.16772905022714</v>
      </c>
      <c r="AO182" s="59">
        <f t="shared" si="144"/>
        <v>156.67965022779907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1.7466849183574086E-20</v>
      </c>
      <c r="AX182" s="21">
        <f t="shared" si="166"/>
        <v>1.7466849183574086E-20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-2.8421709430404007E-14</v>
      </c>
      <c r="BE182" s="13">
        <f>BD182*VLOOKUP('Données projet'!$B$11,Paramètres!$A$1:$I$89,3,0)*VLOOKUP('Données projet'!$B$11,Paramètres!$A$1:$I$89,5,0)</f>
        <v>-1.6996182239381599E-14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119.24399403036387</v>
      </c>
      <c r="BJ182" s="59">
        <f t="shared" si="146"/>
        <v>119.60076838354843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3.7424316794200247E-23</v>
      </c>
      <c r="BS182" s="22">
        <f t="shared" si="169"/>
        <v>3.7424316794200247E-23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5.6843418860808015E-14</v>
      </c>
      <c r="BZ182" s="13">
        <f>BY182*VLOOKUP('Données projet'!$B$12,Paramètres!$A$1:$I$89,3,0)*VLOOKUP('Données projet'!$B$12,Paramètres!$A$1:$I$89,5,0)</f>
        <v>5.4978954722173515E-14</v>
      </c>
      <c r="CA182" s="13">
        <f t="shared" si="170"/>
        <v>8.8550225887742724E-13</v>
      </c>
      <c r="CB182" s="20">
        <f t="shared" si="171"/>
        <v>1.6380047803526383E-12</v>
      </c>
      <c r="CC182" s="59">
        <f t="shared" si="119"/>
        <v>293.33333333333496</v>
      </c>
      <c r="CD182" s="59">
        <f ca="1">AVERAGE(OFFSET($CC$3,0,0,'Données projet'!$E$12+1,1))-AVERAGE(OFFSET($H$3,0,0,'Données projet'!$E$12+1,1))</f>
        <v>135.95692658150551</v>
      </c>
      <c r="CE182" s="59">
        <f t="shared" si="148"/>
        <v>79.394119001888612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21.298171856964306</v>
      </c>
      <c r="CL182" s="21">
        <f>EXP(-LN(2)/25)*CL181+(1-EXP(-LN(2)/25))/(LN(2)/25)*Calculateur!CG182*Calculateur!CI182*VLOOKUP('Données projet'!$B$12,Paramètres!$A$1:$I$89,3,0)*0.475*44/12</f>
        <v>0.25554966615011704</v>
      </c>
      <c r="CM182" s="21">
        <f>EXP(-LN(2)/2)*CM181+(1-EXP(-LN(2)/2))/(LN(2)/2)*CG182*CJ182*VLOOKUP('Données projet'!$B$12,Paramètres!$A$1:$I$89,3,0)*0.475*44/12</f>
        <v>3.9968812743499791E-9</v>
      </c>
      <c r="CN182" s="22">
        <f t="shared" si="172"/>
        <v>21.553721527111303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5.6843418860808015E-14</v>
      </c>
      <c r="CU182" s="17">
        <f>CT182*VLOOKUP('Données projet'!$B$13,Paramètres!$A$1:$I$89,3,0)*VLOOKUP('Données projet'!$B$13,Paramètres!$A$1:$I$89,5,0)</f>
        <v>6.1186256061773749E-14</v>
      </c>
      <c r="CV182" s="13">
        <f t="shared" si="173"/>
        <v>9.7328366192051127E-13</v>
      </c>
      <c r="CW182" s="20">
        <f t="shared" si="174"/>
        <v>1.8017017738191463E-12</v>
      </c>
      <c r="CX182" s="59">
        <f t="shared" si="122"/>
        <v>293.33333333333513</v>
      </c>
      <c r="CY182" s="59">
        <f ca="1">AVERAGE(OFFSET($CX$3,0,0,'Données projet'!$E$13+1,1))-AVERAGE(OFFSET($H$3,0,0,'Données projet'!$E$13+1,1))</f>
        <v>158.74837032815333</v>
      </c>
      <c r="CZ182" s="59">
        <f t="shared" si="150"/>
        <v>92.286636088270086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23.702804163395751</v>
      </c>
      <c r="DG182" s="21">
        <f>EXP(-LN(2)/25)*DG181+(1-EXP(-LN(2)/25))/(LN(2)/25)*Calculateur!DB182*Calculateur!DD182*VLOOKUP('Données projet'!$B$13,Paramètres!$A$1:$I$89,3,0)*0.475*44/12</f>
        <v>0.28440204781222717</v>
      </c>
      <c r="DH182" s="21">
        <f>EXP(-LN(2)/2)*DH181+(1-EXP(-LN(2)/2))/(LN(2)/2)*DB182*DE182*VLOOKUP('Données projet'!$B$13,Paramètres!$A$1:$I$89,3,0)*0.475*44/12</f>
        <v>4.4481420633894908E-9</v>
      </c>
      <c r="DI182" s="22">
        <f t="shared" si="175"/>
        <v>23.987206215656123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2.8421709430404007E-13</v>
      </c>
      <c r="O183" s="13">
        <f>N183*VLOOKUP('Données projet'!$B$9,Paramètres!$A$1:$I$89,3,0)*VLOOKUP('Données projet'!$B$9,Paramètres!$A$1:$I$89,5,0)</f>
        <v>2.3942448024172339E-13</v>
      </c>
      <c r="P183" s="13">
        <f t="shared" si="141"/>
        <v>3.2492669905861755E-12</v>
      </c>
      <c r="Q183" s="20">
        <f t="shared" si="162"/>
        <v>6.0761376450252573E-12</v>
      </c>
      <c r="R183" s="59">
        <f t="shared" si="109"/>
        <v>293.3333333333394</v>
      </c>
      <c r="S183" s="59">
        <f ca="1">AVERAGE(OFFSET($R$3,0,0,'Données projet'!$E$9+1,1))-AVERAGE(OFFSET($H$3,0,0,'Données projet'!$E$9+1,1))</f>
        <v>231.91408074258248</v>
      </c>
      <c r="T183" s="59">
        <f t="shared" si="142"/>
        <v>143.57726487417773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1.1499139399966708E-20</v>
      </c>
      <c r="AC183" s="22">
        <f t="shared" si="163"/>
        <v>1.1499139399966708E-20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2.8421709430404007E-13</v>
      </c>
      <c r="AJ183" s="13">
        <f>AI183*VLOOKUP('Données projet'!$B$10,Paramètres!$A$1:$I$89,3,0)*VLOOKUP('Données projet'!$B$10,Paramètres!$A$1:$I$89,5,0)</f>
        <v>2.5715962692629546E-13</v>
      </c>
      <c r="AK183" s="13">
        <f t="shared" si="164"/>
        <v>3.4610450122128953E-12</v>
      </c>
      <c r="AL183" s="20">
        <f t="shared" si="165"/>
        <v>6.4758730798340893E-12</v>
      </c>
      <c r="AM183" s="59">
        <f t="shared" si="113"/>
        <v>293.33333333333979</v>
      </c>
      <c r="AN183" s="59">
        <f ca="1">AVERAGE(OFFSET($AM$3,0,0,'Données projet'!$E$10+1,1))-AVERAGE(OFFSET($H$3,0,0,'Données projet'!$E$10+1,1))</f>
        <v>253.16772905022714</v>
      </c>
      <c r="AO183" s="59">
        <f t="shared" si="144"/>
        <v>156.67965022779907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1.2350927503667947E-20</v>
      </c>
      <c r="AX183" s="21">
        <f t="shared" si="166"/>
        <v>1.2350927503667947E-20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-2.8421709430404007E-14</v>
      </c>
      <c r="BE183" s="13">
        <f>BD183*VLOOKUP('Données projet'!$B$11,Paramètres!$A$1:$I$89,3,0)*VLOOKUP('Données projet'!$B$11,Paramètres!$A$1:$I$89,5,0)</f>
        <v>-1.6996182239381599E-14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119.24399403036387</v>
      </c>
      <c r="BJ183" s="59">
        <f t="shared" si="146"/>
        <v>119.60076838354843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2.6462988186452592E-23</v>
      </c>
      <c r="BS183" s="22">
        <f t="shared" si="169"/>
        <v>2.6462988186452592E-23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5.6843418860808015E-14</v>
      </c>
      <c r="BZ183" s="13">
        <f>BY183*VLOOKUP('Données projet'!$B$12,Paramètres!$A$1:$I$89,3,0)*VLOOKUP('Données projet'!$B$12,Paramètres!$A$1:$I$89,5,0)</f>
        <v>5.4978954722173515E-14</v>
      </c>
      <c r="CA183" s="13">
        <f t="shared" si="170"/>
        <v>8.8550225887742724E-13</v>
      </c>
      <c r="CB183" s="20">
        <f t="shared" si="171"/>
        <v>1.6380047803526383E-12</v>
      </c>
      <c r="CC183" s="59">
        <f t="shared" si="119"/>
        <v>293.33333333333496</v>
      </c>
      <c r="CD183" s="59">
        <f ca="1">AVERAGE(OFFSET($CC$3,0,0,'Données projet'!$E$12+1,1))-AVERAGE(OFFSET($H$3,0,0,'Données projet'!$E$12+1,1))</f>
        <v>135.95692658150551</v>
      </c>
      <c r="CE183" s="59">
        <f t="shared" si="148"/>
        <v>79.394119001888612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20.880527697451353</v>
      </c>
      <c r="CL183" s="21">
        <f>EXP(-LN(2)/25)*CL182+(1-EXP(-LN(2)/25))/(LN(2)/25)*Calculateur!CG183*Calculateur!CI183*VLOOKUP('Données projet'!$B$12,Paramètres!$A$1:$I$89,3,0)*0.475*44/12</f>
        <v>0.24856164709046921</v>
      </c>
      <c r="CM183" s="21">
        <f>EXP(-LN(2)/2)*CM182+(1-EXP(-LN(2)/2))/(LN(2)/2)*CG183*CJ183*VLOOKUP('Données projet'!$B$12,Paramètres!$A$1:$I$89,3,0)*0.475*44/12</f>
        <v>2.8262218526903999E-9</v>
      </c>
      <c r="CN183" s="22">
        <f t="shared" si="172"/>
        <v>21.129089347368044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5.6843418860808015E-14</v>
      </c>
      <c r="CU183" s="17">
        <f>CT183*VLOOKUP('Données projet'!$B$13,Paramètres!$A$1:$I$89,3,0)*VLOOKUP('Données projet'!$B$13,Paramètres!$A$1:$I$89,5,0)</f>
        <v>6.1186256061773749E-14</v>
      </c>
      <c r="CV183" s="13">
        <f t="shared" si="173"/>
        <v>9.7328366192051127E-13</v>
      </c>
      <c r="CW183" s="20">
        <f t="shared" si="174"/>
        <v>1.8017017738191463E-12</v>
      </c>
      <c r="CX183" s="59">
        <f t="shared" si="122"/>
        <v>293.33333333333513</v>
      </c>
      <c r="CY183" s="59">
        <f ca="1">AVERAGE(OFFSET($CX$3,0,0,'Données projet'!$E$13+1,1))-AVERAGE(OFFSET($H$3,0,0,'Données projet'!$E$13+1,1))</f>
        <v>158.74837032815333</v>
      </c>
      <c r="CZ183" s="59">
        <f t="shared" si="150"/>
        <v>92.286636088270086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23.238006631034562</v>
      </c>
      <c r="DG183" s="21">
        <f>EXP(-LN(2)/25)*DG182+(1-EXP(-LN(2)/25))/(LN(2)/25)*Calculateur!DB183*Calculateur!DD183*VLOOKUP('Données projet'!$B$13,Paramètres!$A$1:$I$89,3,0)*0.475*44/12</f>
        <v>0.27662505885874811</v>
      </c>
      <c r="DH183" s="21">
        <f>EXP(-LN(2)/2)*DH182+(1-EXP(-LN(2)/2))/(LN(2)/2)*DB183*DE183*VLOOKUP('Données projet'!$B$13,Paramètres!$A$1:$I$89,3,0)*0.475*44/12</f>
        <v>3.1453114167038307E-9</v>
      </c>
      <c r="DI183" s="22">
        <f t="shared" si="175"/>
        <v>23.51463169303862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2.8421709430404007E-13</v>
      </c>
      <c r="O184" s="13">
        <f>N184*VLOOKUP('Données projet'!$B$9,Paramètres!$A$1:$I$89,3,0)*VLOOKUP('Données projet'!$B$9,Paramètres!$A$1:$I$89,5,0)</f>
        <v>2.3942448024172339E-13</v>
      </c>
      <c r="P184" s="13">
        <f t="shared" si="141"/>
        <v>3.2492669905861755E-12</v>
      </c>
      <c r="Q184" s="20">
        <f t="shared" si="162"/>
        <v>6.0761376450252573E-12</v>
      </c>
      <c r="R184" s="59">
        <f t="shared" si="109"/>
        <v>293.3333333333394</v>
      </c>
      <c r="S184" s="59">
        <f ca="1">AVERAGE(OFFSET($R$3,0,0,'Données projet'!$E$9+1,1))-AVERAGE(OFFSET($H$3,0,0,'Données projet'!$E$9+1,1))</f>
        <v>231.91408074258248</v>
      </c>
      <c r="T184" s="59">
        <f t="shared" si="142"/>
        <v>143.57726487417773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8.1311194475258665E-21</v>
      </c>
      <c r="AC184" s="22">
        <f t="shared" si="163"/>
        <v>8.1311194475258665E-21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2.8421709430404007E-13</v>
      </c>
      <c r="AJ184" s="13">
        <f>AI184*VLOOKUP('Données projet'!$B$10,Paramètres!$A$1:$I$89,3,0)*VLOOKUP('Données projet'!$B$10,Paramètres!$A$1:$I$89,5,0)</f>
        <v>2.5715962692629546E-13</v>
      </c>
      <c r="AK184" s="13">
        <f t="shared" si="164"/>
        <v>3.4610450122128953E-12</v>
      </c>
      <c r="AL184" s="20">
        <f t="shared" si="165"/>
        <v>6.4758730798340893E-12</v>
      </c>
      <c r="AM184" s="59">
        <f t="shared" si="113"/>
        <v>293.33333333333979</v>
      </c>
      <c r="AN184" s="59">
        <f ca="1">AVERAGE(OFFSET($AM$3,0,0,'Données projet'!$E$10+1,1))-AVERAGE(OFFSET($H$3,0,0,'Données projet'!$E$10+1,1))</f>
        <v>253.16772905022714</v>
      </c>
      <c r="AO184" s="59">
        <f t="shared" si="144"/>
        <v>156.67965022779907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8.7334245917870428E-21</v>
      </c>
      <c r="AX184" s="21">
        <f t="shared" si="166"/>
        <v>8.7334245917870428E-21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-2.8421709430404007E-14</v>
      </c>
      <c r="BE184" s="13">
        <f>BD184*VLOOKUP('Données projet'!$B$11,Paramètres!$A$1:$I$89,3,0)*VLOOKUP('Données projet'!$B$11,Paramètres!$A$1:$I$89,5,0)</f>
        <v>-1.6996182239381599E-14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119.24399403036387</v>
      </c>
      <c r="BJ184" s="59">
        <f t="shared" si="146"/>
        <v>119.60076838354843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1.8712158397100127E-23</v>
      </c>
      <c r="BS184" s="22">
        <f t="shared" si="169"/>
        <v>1.8712158397100127E-23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5.6843418860808015E-14</v>
      </c>
      <c r="BZ184" s="13">
        <f>BY184*VLOOKUP('Données projet'!$B$12,Paramètres!$A$1:$I$89,3,0)*VLOOKUP('Données projet'!$B$12,Paramètres!$A$1:$I$89,5,0)</f>
        <v>5.4978954722173515E-14</v>
      </c>
      <c r="CA184" s="13">
        <f t="shared" si="170"/>
        <v>8.8550225887742724E-13</v>
      </c>
      <c r="CB184" s="20">
        <f t="shared" si="171"/>
        <v>1.6380047803526383E-12</v>
      </c>
      <c r="CC184" s="59">
        <f t="shared" si="119"/>
        <v>293.33333333333496</v>
      </c>
      <c r="CD184" s="59">
        <f ca="1">AVERAGE(OFFSET($CC$3,0,0,'Données projet'!$E$12+1,1))-AVERAGE(OFFSET($H$3,0,0,'Données projet'!$E$12+1,1))</f>
        <v>135.95692658150551</v>
      </c>
      <c r="CE184" s="59">
        <f t="shared" si="148"/>
        <v>79.394119001888612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20.471073285168664</v>
      </c>
      <c r="CL184" s="21">
        <f>EXP(-LN(2)/25)*CL183+(1-EXP(-LN(2)/25))/(LN(2)/25)*Calculateur!CG184*Calculateur!CI184*VLOOKUP('Données projet'!$B$12,Paramètres!$A$1:$I$89,3,0)*0.475*44/12</f>
        <v>0.24176471577949141</v>
      </c>
      <c r="CM184" s="21">
        <f>EXP(-LN(2)/2)*CM183+(1-EXP(-LN(2)/2))/(LN(2)/2)*CG184*CJ184*VLOOKUP('Données projet'!$B$12,Paramètres!$A$1:$I$89,3,0)*0.475*44/12</f>
        <v>1.9984406371749895E-9</v>
      </c>
      <c r="CN184" s="22">
        <f t="shared" si="172"/>
        <v>20.712838002946597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5.6843418860808015E-14</v>
      </c>
      <c r="CU184" s="17">
        <f>CT184*VLOOKUP('Données projet'!$B$13,Paramètres!$A$1:$I$89,3,0)*VLOOKUP('Données projet'!$B$13,Paramètres!$A$1:$I$89,5,0)</f>
        <v>6.1186256061773749E-14</v>
      </c>
      <c r="CV184" s="13">
        <f t="shared" si="173"/>
        <v>9.7328366192051127E-13</v>
      </c>
      <c r="CW184" s="20">
        <f t="shared" si="174"/>
        <v>1.8017017738191463E-12</v>
      </c>
      <c r="CX184" s="59">
        <f t="shared" si="122"/>
        <v>293.33333333333513</v>
      </c>
      <c r="CY184" s="59">
        <f ca="1">AVERAGE(OFFSET($CX$3,0,0,'Données projet'!$E$13+1,1))-AVERAGE(OFFSET($H$3,0,0,'Données projet'!$E$13+1,1))</f>
        <v>158.74837032815333</v>
      </c>
      <c r="CZ184" s="59">
        <f t="shared" si="150"/>
        <v>92.286636088270086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22.782323494784475</v>
      </c>
      <c r="DG184" s="21">
        <f>EXP(-LN(2)/25)*DG183+(1-EXP(-LN(2)/25))/(LN(2)/25)*Calculateur!DB184*Calculateur!DD184*VLOOKUP('Données projet'!$B$13,Paramètres!$A$1:$I$89,3,0)*0.475*44/12</f>
        <v>0.26906073207717601</v>
      </c>
      <c r="DH184" s="21">
        <f>EXP(-LN(2)/2)*DH183+(1-EXP(-LN(2)/2))/(LN(2)/2)*DB184*DE184*VLOOKUP('Données projet'!$B$13,Paramètres!$A$1:$I$89,3,0)*0.475*44/12</f>
        <v>2.2240710316947454E-9</v>
      </c>
      <c r="DI184" s="22">
        <f t="shared" si="175"/>
        <v>23.05138422908572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2.8421709430404007E-13</v>
      </c>
      <c r="O185" s="13">
        <f>N185*VLOOKUP('Données projet'!$B$9,Paramètres!$A$1:$I$89,3,0)*VLOOKUP('Données projet'!$B$9,Paramètres!$A$1:$I$89,5,0)</f>
        <v>2.3942448024172339E-13</v>
      </c>
      <c r="P185" s="13">
        <f t="shared" si="141"/>
        <v>3.2492669905861755E-12</v>
      </c>
      <c r="Q185" s="20">
        <f t="shared" si="162"/>
        <v>6.0761376450252573E-12</v>
      </c>
      <c r="R185" s="59">
        <f t="shared" si="109"/>
        <v>293.3333333333394</v>
      </c>
      <c r="S185" s="59">
        <f ca="1">AVERAGE(OFFSET($R$3,0,0,'Données projet'!$E$9+1,1))-AVERAGE(OFFSET($H$3,0,0,'Données projet'!$E$9+1,1))</f>
        <v>231.91408074258248</v>
      </c>
      <c r="T185" s="59">
        <f t="shared" si="142"/>
        <v>143.57726487417773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5.7495696999833542E-21</v>
      </c>
      <c r="AC185" s="22">
        <f t="shared" si="163"/>
        <v>5.7495696999833542E-21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2.8421709430404007E-13</v>
      </c>
      <c r="AJ185" s="13">
        <f>AI185*VLOOKUP('Données projet'!$B$10,Paramètres!$A$1:$I$89,3,0)*VLOOKUP('Données projet'!$B$10,Paramètres!$A$1:$I$89,5,0)</f>
        <v>2.5715962692629546E-13</v>
      </c>
      <c r="AK185" s="13">
        <f t="shared" si="164"/>
        <v>3.4610450122128953E-12</v>
      </c>
      <c r="AL185" s="20">
        <f t="shared" si="165"/>
        <v>6.4758730798340893E-12</v>
      </c>
      <c r="AM185" s="59">
        <f t="shared" si="113"/>
        <v>293.33333333333979</v>
      </c>
      <c r="AN185" s="59">
        <f ca="1">AVERAGE(OFFSET($AM$3,0,0,'Données projet'!$E$10+1,1))-AVERAGE(OFFSET($H$3,0,0,'Données projet'!$E$10+1,1))</f>
        <v>253.16772905022714</v>
      </c>
      <c r="AO185" s="59">
        <f t="shared" si="144"/>
        <v>156.67965022779907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6.1754637518339737E-21</v>
      </c>
      <c r="AX185" s="21">
        <f t="shared" si="166"/>
        <v>6.1754637518339737E-21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-2.8421709430404007E-14</v>
      </c>
      <c r="BE185" s="13">
        <f>BD185*VLOOKUP('Données projet'!$B$11,Paramètres!$A$1:$I$89,3,0)*VLOOKUP('Données projet'!$B$11,Paramètres!$A$1:$I$89,5,0)</f>
        <v>-1.6996182239381599E-14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119.24399403036387</v>
      </c>
      <c r="BJ185" s="59">
        <f t="shared" si="146"/>
        <v>119.60076838354843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1.3231494093226298E-23</v>
      </c>
      <c r="BS185" s="22">
        <f t="shared" si="169"/>
        <v>1.3231494093226298E-23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5.6843418860808015E-14</v>
      </c>
      <c r="BZ185" s="13">
        <f>BY185*VLOOKUP('Données projet'!$B$12,Paramètres!$A$1:$I$89,3,0)*VLOOKUP('Données projet'!$B$12,Paramètres!$A$1:$I$89,5,0)</f>
        <v>5.4978954722173515E-14</v>
      </c>
      <c r="CA185" s="13">
        <f t="shared" si="170"/>
        <v>8.8550225887742724E-13</v>
      </c>
      <c r="CB185" s="20">
        <f t="shared" si="171"/>
        <v>1.6380047803526383E-12</v>
      </c>
      <c r="CC185" s="59">
        <f t="shared" si="119"/>
        <v>293.33333333333496</v>
      </c>
      <c r="CD185" s="59">
        <f ca="1">AVERAGE(OFFSET($CC$3,0,0,'Données projet'!$E$12+1,1))-AVERAGE(OFFSET($H$3,0,0,'Données projet'!$E$12+1,1))</f>
        <v>135.95692658150551</v>
      </c>
      <c r="CE185" s="59">
        <f t="shared" si="148"/>
        <v>79.394119001888612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20.069648024168309</v>
      </c>
      <c r="CL185" s="21">
        <f>EXP(-LN(2)/25)*CL184+(1-EXP(-LN(2)/25))/(LN(2)/25)*Calculateur!CG185*Calculateur!CI185*VLOOKUP('Données projet'!$B$12,Paramètres!$A$1:$I$89,3,0)*0.475*44/12</f>
        <v>0.23515364691264737</v>
      </c>
      <c r="CM185" s="21">
        <f>EXP(-LN(2)/2)*CM184+(1-EXP(-LN(2)/2))/(LN(2)/2)*CG185*CJ185*VLOOKUP('Données projet'!$B$12,Paramètres!$A$1:$I$89,3,0)*0.475*44/12</f>
        <v>1.4131109263452E-9</v>
      </c>
      <c r="CN185" s="22">
        <f t="shared" si="172"/>
        <v>20.304801672494065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5.6843418860808015E-14</v>
      </c>
      <c r="CU185" s="17">
        <f>CT185*VLOOKUP('Données projet'!$B$13,Paramètres!$A$1:$I$89,3,0)*VLOOKUP('Données projet'!$B$13,Paramètres!$A$1:$I$89,5,0)</f>
        <v>6.1186256061773749E-14</v>
      </c>
      <c r="CV185" s="13">
        <f t="shared" si="173"/>
        <v>9.7328366192051127E-13</v>
      </c>
      <c r="CW185" s="20">
        <f t="shared" si="174"/>
        <v>1.8017017738191463E-12</v>
      </c>
      <c r="CX185" s="59">
        <f t="shared" si="122"/>
        <v>293.33333333333513</v>
      </c>
      <c r="CY185" s="59">
        <f ca="1">AVERAGE(OFFSET($CX$3,0,0,'Données projet'!$E$13+1,1))-AVERAGE(OFFSET($H$3,0,0,'Données projet'!$E$13+1,1))</f>
        <v>158.74837032815333</v>
      </c>
      <c r="CZ185" s="59">
        <f t="shared" si="150"/>
        <v>92.286636088270086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22.335576026896984</v>
      </c>
      <c r="DG185" s="21">
        <f>EXP(-LN(2)/25)*DG184+(1-EXP(-LN(2)/25))/(LN(2)/25)*Calculateur!DB185*Calculateur!DD185*VLOOKUP('Données projet'!$B$13,Paramètres!$A$1:$I$89,3,0)*0.475*44/12</f>
        <v>0.26170325220923668</v>
      </c>
      <c r="DH185" s="21">
        <f>EXP(-LN(2)/2)*DH184+(1-EXP(-LN(2)/2))/(LN(2)/2)*DB185*DE185*VLOOKUP('Données projet'!$B$13,Paramètres!$A$1:$I$89,3,0)*0.475*44/12</f>
        <v>1.5726557083519154E-9</v>
      </c>
      <c r="DI185" s="22">
        <f t="shared" si="175"/>
        <v>22.597279280678876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2.8421709430404007E-13</v>
      </c>
      <c r="O186" s="13">
        <f>N186*VLOOKUP('Données projet'!$B$9,Paramètres!$A$1:$I$89,3,0)*VLOOKUP('Données projet'!$B$9,Paramètres!$A$1:$I$89,5,0)</f>
        <v>2.3942448024172339E-13</v>
      </c>
      <c r="P186" s="13">
        <f t="shared" si="141"/>
        <v>3.2492669905861755E-12</v>
      </c>
      <c r="Q186" s="20">
        <f t="shared" si="162"/>
        <v>6.0761376450252573E-12</v>
      </c>
      <c r="R186" s="59">
        <f t="shared" si="109"/>
        <v>293.3333333333394</v>
      </c>
      <c r="S186" s="59">
        <f ca="1">AVERAGE(OFFSET($R$3,0,0,'Données projet'!$E$9+1,1))-AVERAGE(OFFSET($H$3,0,0,'Données projet'!$E$9+1,1))</f>
        <v>231.91408074258248</v>
      </c>
      <c r="T186" s="59">
        <f t="shared" si="142"/>
        <v>143.57726487417773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4.0655597237629333E-21</v>
      </c>
      <c r="AC186" s="22">
        <f t="shared" si="163"/>
        <v>4.0655597237629333E-21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2.8421709430404007E-13</v>
      </c>
      <c r="AJ186" s="13">
        <f>AI186*VLOOKUP('Données projet'!$B$10,Paramètres!$A$1:$I$89,3,0)*VLOOKUP('Données projet'!$B$10,Paramètres!$A$1:$I$89,5,0)</f>
        <v>2.5715962692629546E-13</v>
      </c>
      <c r="AK186" s="13">
        <f t="shared" si="164"/>
        <v>3.4610450122128953E-12</v>
      </c>
      <c r="AL186" s="20">
        <f t="shared" si="165"/>
        <v>6.4758730798340893E-12</v>
      </c>
      <c r="AM186" s="59">
        <f t="shared" si="113"/>
        <v>293.33333333333979</v>
      </c>
      <c r="AN186" s="59">
        <f ca="1">AVERAGE(OFFSET($AM$3,0,0,'Données projet'!$E$10+1,1))-AVERAGE(OFFSET($H$3,0,0,'Données projet'!$E$10+1,1))</f>
        <v>253.16772905022714</v>
      </c>
      <c r="AO186" s="59">
        <f t="shared" si="144"/>
        <v>156.67965022779907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4.3667122958935214E-21</v>
      </c>
      <c r="AX186" s="21">
        <f t="shared" si="166"/>
        <v>4.3667122958935214E-21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-2.8421709430404007E-14</v>
      </c>
      <c r="BE186" s="13">
        <f>BD186*VLOOKUP('Données projet'!$B$11,Paramètres!$A$1:$I$89,3,0)*VLOOKUP('Données projet'!$B$11,Paramètres!$A$1:$I$89,5,0)</f>
        <v>-1.6996182239381599E-14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119.24399403036387</v>
      </c>
      <c r="BJ186" s="59">
        <f t="shared" si="146"/>
        <v>119.60076838354843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9.3560791985500647E-24</v>
      </c>
      <c r="BS186" s="22">
        <f t="shared" si="169"/>
        <v>9.3560791985500647E-24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5.6843418860808015E-14</v>
      </c>
      <c r="BZ186" s="13">
        <f>BY186*VLOOKUP('Données projet'!$B$12,Paramètres!$A$1:$I$89,3,0)*VLOOKUP('Données projet'!$B$12,Paramètres!$A$1:$I$89,5,0)</f>
        <v>5.4978954722173515E-14</v>
      </c>
      <c r="CA186" s="13">
        <f t="shared" si="170"/>
        <v>8.8550225887742724E-13</v>
      </c>
      <c r="CB186" s="20">
        <f t="shared" si="171"/>
        <v>1.6380047803526383E-12</v>
      </c>
      <c r="CC186" s="59">
        <f t="shared" si="119"/>
        <v>293.33333333333496</v>
      </c>
      <c r="CD186" s="59">
        <f ca="1">AVERAGE(OFFSET($CC$3,0,0,'Données projet'!$E$12+1,1))-AVERAGE(OFFSET($H$3,0,0,'Données projet'!$E$12+1,1))</f>
        <v>135.95692658150551</v>
      </c>
      <c r="CE186" s="59">
        <f t="shared" si="148"/>
        <v>79.394119001888612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19.676094467690938</v>
      </c>
      <c r="CL186" s="21">
        <f>EXP(-LN(2)/25)*CL185+(1-EXP(-LN(2)/25))/(LN(2)/25)*Calculateur!CG186*Calculateur!CI186*VLOOKUP('Données projet'!$B$12,Paramètres!$A$1:$I$89,3,0)*0.475*44/12</f>
        <v>0.22872335807162819</v>
      </c>
      <c r="CM186" s="21">
        <f>EXP(-LN(2)/2)*CM185+(1-EXP(-LN(2)/2))/(LN(2)/2)*CG186*CJ186*VLOOKUP('Données projet'!$B$12,Paramètres!$A$1:$I$89,3,0)*0.475*44/12</f>
        <v>9.9922031858749477E-10</v>
      </c>
      <c r="CN186" s="22">
        <f t="shared" si="172"/>
        <v>19.904817826761789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5.6843418860808015E-14</v>
      </c>
      <c r="CU186" s="17">
        <f>CT186*VLOOKUP('Données projet'!$B$13,Paramètres!$A$1:$I$89,3,0)*VLOOKUP('Données projet'!$B$13,Paramètres!$A$1:$I$89,5,0)</f>
        <v>6.1186256061773749E-14</v>
      </c>
      <c r="CV186" s="13">
        <f t="shared" si="173"/>
        <v>9.7328366192051127E-13</v>
      </c>
      <c r="CW186" s="20">
        <f t="shared" si="174"/>
        <v>1.8017017738191463E-12</v>
      </c>
      <c r="CX186" s="59">
        <f t="shared" si="122"/>
        <v>293.33333333333513</v>
      </c>
      <c r="CY186" s="59">
        <f ca="1">AVERAGE(OFFSET($CX$3,0,0,'Données projet'!$E$13+1,1))-AVERAGE(OFFSET($H$3,0,0,'Données projet'!$E$13+1,1))</f>
        <v>158.74837032815333</v>
      </c>
      <c r="CZ186" s="59">
        <f t="shared" si="150"/>
        <v>92.286636088270086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21.897589004365717</v>
      </c>
      <c r="DG186" s="21">
        <f>EXP(-LN(2)/25)*DG185+(1-EXP(-LN(2)/25))/(LN(2)/25)*Calculateur!DB186*Calculateur!DD186*VLOOKUP('Données projet'!$B$13,Paramètres!$A$1:$I$89,3,0)*0.475*44/12</f>
        <v>0.25454696301519919</v>
      </c>
      <c r="DH186" s="21">
        <f>EXP(-LN(2)/2)*DH185+(1-EXP(-LN(2)/2))/(LN(2)/2)*DB186*DE186*VLOOKUP('Données projet'!$B$13,Paramètres!$A$1:$I$89,3,0)*0.475*44/12</f>
        <v>1.1120355158473727E-9</v>
      </c>
      <c r="DI186" s="22">
        <f t="shared" si="175"/>
        <v>22.152135968492949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2.8421709430404007E-13</v>
      </c>
      <c r="O187" s="13">
        <f>N187*VLOOKUP('Données projet'!$B$9,Paramètres!$A$1:$I$89,3,0)*VLOOKUP('Données projet'!$B$9,Paramètres!$A$1:$I$89,5,0)</f>
        <v>2.3942448024172339E-13</v>
      </c>
      <c r="P187" s="13">
        <f t="shared" si="141"/>
        <v>3.2492669905861755E-12</v>
      </c>
      <c r="Q187" s="20">
        <f t="shared" si="162"/>
        <v>6.0761376450252573E-12</v>
      </c>
      <c r="R187" s="59">
        <f t="shared" si="109"/>
        <v>293.3333333333394</v>
      </c>
      <c r="S187" s="59">
        <f ca="1">AVERAGE(OFFSET($R$3,0,0,'Données projet'!$E$9+1,1))-AVERAGE(OFFSET($H$3,0,0,'Données projet'!$E$9+1,1))</f>
        <v>231.91408074258248</v>
      </c>
      <c r="T187" s="59">
        <f t="shared" si="142"/>
        <v>143.57726487417773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2.8747848499916771E-21</v>
      </c>
      <c r="AC187" s="22">
        <f t="shared" si="163"/>
        <v>2.8747848499916771E-21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2.8421709430404007E-13</v>
      </c>
      <c r="AJ187" s="13">
        <f>AI187*VLOOKUP('Données projet'!$B$10,Paramètres!$A$1:$I$89,3,0)*VLOOKUP('Données projet'!$B$10,Paramètres!$A$1:$I$89,5,0)</f>
        <v>2.5715962692629546E-13</v>
      </c>
      <c r="AK187" s="13">
        <f t="shared" si="164"/>
        <v>3.4610450122128953E-12</v>
      </c>
      <c r="AL187" s="20">
        <f t="shared" si="165"/>
        <v>6.4758730798340893E-12</v>
      </c>
      <c r="AM187" s="59">
        <f t="shared" si="113"/>
        <v>293.33333333333979</v>
      </c>
      <c r="AN187" s="59">
        <f ca="1">AVERAGE(OFFSET($AM$3,0,0,'Données projet'!$E$10+1,1))-AVERAGE(OFFSET($H$3,0,0,'Données projet'!$E$10+1,1))</f>
        <v>253.16772905022714</v>
      </c>
      <c r="AO187" s="59">
        <f t="shared" si="144"/>
        <v>156.67965022779907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3.0877318759169869E-21</v>
      </c>
      <c r="AX187" s="21">
        <f t="shared" si="166"/>
        <v>3.0877318759169869E-21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-2.8421709430404007E-14</v>
      </c>
      <c r="BE187" s="13">
        <f>BD187*VLOOKUP('Données projet'!$B$11,Paramètres!$A$1:$I$89,3,0)*VLOOKUP('Données projet'!$B$11,Paramètres!$A$1:$I$89,5,0)</f>
        <v>-1.6996182239381599E-14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119.24399403036387</v>
      </c>
      <c r="BJ187" s="59">
        <f t="shared" si="146"/>
        <v>119.60076838354843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6.6157470466131503E-24</v>
      </c>
      <c r="BS187" s="22">
        <f t="shared" si="169"/>
        <v>6.6157470466131503E-24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5.6843418860808015E-14</v>
      </c>
      <c r="BZ187" s="13">
        <f>BY187*VLOOKUP('Données projet'!$B$12,Paramètres!$A$1:$I$89,3,0)*VLOOKUP('Données projet'!$B$12,Paramètres!$A$1:$I$89,5,0)</f>
        <v>5.4978954722173515E-14</v>
      </c>
      <c r="CA187" s="13">
        <f t="shared" si="170"/>
        <v>8.8550225887742724E-13</v>
      </c>
      <c r="CB187" s="20">
        <f t="shared" si="171"/>
        <v>1.6380047803526383E-12</v>
      </c>
      <c r="CC187" s="59">
        <f t="shared" si="119"/>
        <v>293.33333333333496</v>
      </c>
      <c r="CD187" s="59">
        <f ca="1">AVERAGE(OFFSET($CC$3,0,0,'Données projet'!$E$12+1,1))-AVERAGE(OFFSET($H$3,0,0,'Données projet'!$E$12+1,1))</f>
        <v>135.95692658150551</v>
      </c>
      <c r="CE187" s="59">
        <f t="shared" si="148"/>
        <v>79.394119001888612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19.29025825641212</v>
      </c>
      <c r="CL187" s="21">
        <f>EXP(-LN(2)/25)*CL186+(1-EXP(-LN(2)/25))/(LN(2)/25)*Calculateur!CG187*Calculateur!CI187*VLOOKUP('Données projet'!$B$12,Paramètres!$A$1:$I$89,3,0)*0.475*44/12</f>
        <v>0.22246890581712087</v>
      </c>
      <c r="CM187" s="21">
        <f>EXP(-LN(2)/2)*CM186+(1-EXP(-LN(2)/2))/(LN(2)/2)*CG187*CJ187*VLOOKUP('Données projet'!$B$12,Paramètres!$A$1:$I$89,3,0)*0.475*44/12</f>
        <v>7.0655546317259998E-10</v>
      </c>
      <c r="CN187" s="22">
        <f t="shared" si="172"/>
        <v>19.512727162935796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5.6843418860808015E-14</v>
      </c>
      <c r="CU187" s="17">
        <f>CT187*VLOOKUP('Données projet'!$B$13,Paramètres!$A$1:$I$89,3,0)*VLOOKUP('Données projet'!$B$13,Paramètres!$A$1:$I$89,5,0)</f>
        <v>6.1186256061773749E-14</v>
      </c>
      <c r="CV187" s="13">
        <f t="shared" si="173"/>
        <v>9.7328366192051127E-13</v>
      </c>
      <c r="CW187" s="20">
        <f t="shared" si="174"/>
        <v>1.8017017738191463E-12</v>
      </c>
      <c r="CX187" s="59">
        <f t="shared" si="122"/>
        <v>293.33333333333513</v>
      </c>
      <c r="CY187" s="59">
        <f ca="1">AVERAGE(OFFSET($CX$3,0,0,'Données projet'!$E$13+1,1))-AVERAGE(OFFSET($H$3,0,0,'Données projet'!$E$13+1,1))</f>
        <v>158.74837032815333</v>
      </c>
      <c r="CZ187" s="59">
        <f t="shared" si="150"/>
        <v>92.286636088270086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21.468190640200582</v>
      </c>
      <c r="DG187" s="21">
        <f>EXP(-LN(2)/25)*DG186+(1-EXP(-LN(2)/25))/(LN(2)/25)*Calculateur!DB187*Calculateur!DD187*VLOOKUP('Données projet'!$B$13,Paramètres!$A$1:$I$89,3,0)*0.475*44/12</f>
        <v>0.24758636292550557</v>
      </c>
      <c r="DH187" s="21">
        <f>EXP(-LN(2)/2)*DH186+(1-EXP(-LN(2)/2))/(LN(2)/2)*DB187*DE187*VLOOKUP('Données projet'!$B$13,Paramètres!$A$1:$I$89,3,0)*0.475*44/12</f>
        <v>7.8632785417595768E-10</v>
      </c>
      <c r="DI187" s="22">
        <f t="shared" si="175"/>
        <v>21.715777003912418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2.8421709430404007E-13</v>
      </c>
      <c r="O188" s="13">
        <f>N188*VLOOKUP('Données projet'!$B$9,Paramètres!$A$1:$I$89,3,0)*VLOOKUP('Données projet'!$B$9,Paramètres!$A$1:$I$89,5,0)</f>
        <v>2.3942448024172339E-13</v>
      </c>
      <c r="P188" s="13">
        <f t="shared" si="141"/>
        <v>3.2492669905861755E-12</v>
      </c>
      <c r="Q188" s="20">
        <f t="shared" si="162"/>
        <v>6.0761376450252573E-12</v>
      </c>
      <c r="R188" s="59">
        <f t="shared" si="109"/>
        <v>293.3333333333394</v>
      </c>
      <c r="S188" s="59">
        <f ca="1">AVERAGE(OFFSET($R$3,0,0,'Données projet'!$E$9+1,1))-AVERAGE(OFFSET($H$3,0,0,'Données projet'!$E$9+1,1))</f>
        <v>231.91408074258248</v>
      </c>
      <c r="T188" s="59">
        <f t="shared" si="142"/>
        <v>143.57726487417773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2.0327798618814666E-21</v>
      </c>
      <c r="AC188" s="22">
        <f t="shared" si="163"/>
        <v>2.0327798618814666E-21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2.8421709430404007E-13</v>
      </c>
      <c r="AJ188" s="13">
        <f>AI188*VLOOKUP('Données projet'!$B$10,Paramètres!$A$1:$I$89,3,0)*VLOOKUP('Données projet'!$B$10,Paramètres!$A$1:$I$89,5,0)</f>
        <v>2.5715962692629546E-13</v>
      </c>
      <c r="AK188" s="13">
        <f t="shared" si="164"/>
        <v>3.4610450122128953E-12</v>
      </c>
      <c r="AL188" s="20">
        <f t="shared" si="165"/>
        <v>6.4758730798340893E-12</v>
      </c>
      <c r="AM188" s="59">
        <f t="shared" si="113"/>
        <v>293.33333333333979</v>
      </c>
      <c r="AN188" s="59">
        <f ca="1">AVERAGE(OFFSET($AM$3,0,0,'Données projet'!$E$10+1,1))-AVERAGE(OFFSET($H$3,0,0,'Données projet'!$E$10+1,1))</f>
        <v>253.16772905022714</v>
      </c>
      <c r="AO188" s="59">
        <f t="shared" si="144"/>
        <v>156.67965022779907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2.1833561479467607E-21</v>
      </c>
      <c r="AX188" s="21">
        <f t="shared" si="166"/>
        <v>2.1833561479467607E-21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-2.8421709430404007E-14</v>
      </c>
      <c r="BE188" s="13">
        <f>BD188*VLOOKUP('Données projet'!$B$11,Paramètres!$A$1:$I$89,3,0)*VLOOKUP('Données projet'!$B$11,Paramètres!$A$1:$I$89,5,0)</f>
        <v>-1.6996182239381599E-14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119.24399403036387</v>
      </c>
      <c r="BJ188" s="59">
        <f t="shared" si="146"/>
        <v>119.60076838354843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4.6780395992750331E-24</v>
      </c>
      <c r="BS188" s="22">
        <f t="shared" si="169"/>
        <v>4.6780395992750331E-24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5.6843418860808015E-14</v>
      </c>
      <c r="BZ188" s="13">
        <f>BY188*VLOOKUP('Données projet'!$B$12,Paramètres!$A$1:$I$89,3,0)*VLOOKUP('Données projet'!$B$12,Paramètres!$A$1:$I$89,5,0)</f>
        <v>5.4978954722173515E-14</v>
      </c>
      <c r="CA188" s="13">
        <f t="shared" si="170"/>
        <v>8.8550225887742724E-13</v>
      </c>
      <c r="CB188" s="20">
        <f t="shared" si="171"/>
        <v>1.6380047803526383E-12</v>
      </c>
      <c r="CC188" s="59">
        <f t="shared" si="119"/>
        <v>293.33333333333496</v>
      </c>
      <c r="CD188" s="59">
        <f ca="1">AVERAGE(OFFSET($CC$3,0,0,'Données projet'!$E$12+1,1))-AVERAGE(OFFSET($H$3,0,0,'Données projet'!$E$12+1,1))</f>
        <v>135.95692658150551</v>
      </c>
      <c r="CE188" s="59">
        <f t="shared" si="148"/>
        <v>79.394119001888612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18.911988057899627</v>
      </c>
      <c r="CL188" s="21">
        <f>EXP(-LN(2)/25)*CL187+(1-EXP(-LN(2)/25))/(LN(2)/25)*Calculateur!CG188*Calculateur!CI188*VLOOKUP('Données projet'!$B$12,Paramètres!$A$1:$I$89,3,0)*0.475*44/12</f>
        <v>0.21638548188842041</v>
      </c>
      <c r="CM188" s="21">
        <f>EXP(-LN(2)/2)*CM187+(1-EXP(-LN(2)/2))/(LN(2)/2)*CG188*CJ188*VLOOKUP('Données projet'!$B$12,Paramètres!$A$1:$I$89,3,0)*0.475*44/12</f>
        <v>4.9961015929374739E-10</v>
      </c>
      <c r="CN188" s="22">
        <f t="shared" si="172"/>
        <v>19.128373540287658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5.6843418860808015E-14</v>
      </c>
      <c r="CU188" s="17">
        <f>CT188*VLOOKUP('Données projet'!$B$13,Paramètres!$A$1:$I$89,3,0)*VLOOKUP('Données projet'!$B$13,Paramètres!$A$1:$I$89,5,0)</f>
        <v>6.1186256061773749E-14</v>
      </c>
      <c r="CV188" s="13">
        <f t="shared" si="173"/>
        <v>9.7328366192051127E-13</v>
      </c>
      <c r="CW188" s="20">
        <f t="shared" si="174"/>
        <v>1.8017017738191463E-12</v>
      </c>
      <c r="CX188" s="59">
        <f t="shared" si="122"/>
        <v>293.33333333333513</v>
      </c>
      <c r="CY188" s="59">
        <f ca="1">AVERAGE(OFFSET($CX$3,0,0,'Données projet'!$E$13+1,1))-AVERAGE(OFFSET($H$3,0,0,'Données projet'!$E$13+1,1))</f>
        <v>158.74837032815333</v>
      </c>
      <c r="CZ188" s="59">
        <f t="shared" si="150"/>
        <v>92.286636088270086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21.047212516049584</v>
      </c>
      <c r="DG188" s="21">
        <f>EXP(-LN(2)/25)*DG187+(1-EXP(-LN(2)/25))/(LN(2)/25)*Calculateur!DB188*Calculateur!DD188*VLOOKUP('Données projet'!$B$13,Paramètres!$A$1:$I$89,3,0)*0.475*44/12</f>
        <v>0.24081610081130667</v>
      </c>
      <c r="DH188" s="21">
        <f>EXP(-LN(2)/2)*DH187+(1-EXP(-LN(2)/2))/(LN(2)/2)*DB188*DE188*VLOOKUP('Données projet'!$B$13,Paramètres!$A$1:$I$89,3,0)*0.475*44/12</f>
        <v>5.5601775792368635E-10</v>
      </c>
      <c r="DI188" s="22">
        <f t="shared" si="175"/>
        <v>21.288028617416909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2.8421709430404007E-13</v>
      </c>
      <c r="O189" s="13">
        <f>N189*VLOOKUP('Données projet'!$B$9,Paramètres!$A$1:$I$89,3,0)*VLOOKUP('Données projet'!$B$9,Paramètres!$A$1:$I$89,5,0)</f>
        <v>2.3942448024172339E-13</v>
      </c>
      <c r="P189" s="13">
        <f t="shared" si="141"/>
        <v>3.2492669905861755E-12</v>
      </c>
      <c r="Q189" s="20">
        <f t="shared" si="162"/>
        <v>6.0761376450252573E-12</v>
      </c>
      <c r="R189" s="59">
        <f t="shared" si="109"/>
        <v>293.3333333333394</v>
      </c>
      <c r="S189" s="59">
        <f ca="1">AVERAGE(OFFSET($R$3,0,0,'Données projet'!$E$9+1,1))-AVERAGE(OFFSET($H$3,0,0,'Données projet'!$E$9+1,1))</f>
        <v>231.91408074258248</v>
      </c>
      <c r="T189" s="59">
        <f t="shared" si="142"/>
        <v>143.57726487417773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1.4373924249958386E-21</v>
      </c>
      <c r="AC189" s="22">
        <f t="shared" si="163"/>
        <v>1.4373924249958386E-21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2.8421709430404007E-13</v>
      </c>
      <c r="AJ189" s="13">
        <f>AI189*VLOOKUP('Données projet'!$B$10,Paramètres!$A$1:$I$89,3,0)*VLOOKUP('Données projet'!$B$10,Paramètres!$A$1:$I$89,5,0)</f>
        <v>2.5715962692629546E-13</v>
      </c>
      <c r="AK189" s="13">
        <f t="shared" si="164"/>
        <v>3.4610450122128953E-12</v>
      </c>
      <c r="AL189" s="20">
        <f t="shared" si="165"/>
        <v>6.4758730798340893E-12</v>
      </c>
      <c r="AM189" s="59">
        <f t="shared" si="113"/>
        <v>293.33333333333979</v>
      </c>
      <c r="AN189" s="59">
        <f ca="1">AVERAGE(OFFSET($AM$3,0,0,'Données projet'!$E$10+1,1))-AVERAGE(OFFSET($H$3,0,0,'Données projet'!$E$10+1,1))</f>
        <v>253.16772905022714</v>
      </c>
      <c r="AO189" s="59">
        <f t="shared" si="144"/>
        <v>156.67965022779907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1.5438659379584934E-21</v>
      </c>
      <c r="AX189" s="21">
        <f t="shared" si="166"/>
        <v>1.5438659379584934E-21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-2.8421709430404007E-14</v>
      </c>
      <c r="BE189" s="13">
        <f>BD189*VLOOKUP('Données projet'!$B$11,Paramètres!$A$1:$I$89,3,0)*VLOOKUP('Données projet'!$B$11,Paramètres!$A$1:$I$89,5,0)</f>
        <v>-1.6996182239381599E-14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119.24399403036387</v>
      </c>
      <c r="BJ189" s="59">
        <f t="shared" si="146"/>
        <v>119.60076838354843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3.3078735233065755E-24</v>
      </c>
      <c r="BS189" s="22">
        <f t="shared" si="169"/>
        <v>3.3078735233065755E-24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5.6843418860808015E-14</v>
      </c>
      <c r="BZ189" s="13">
        <f>BY189*VLOOKUP('Données projet'!$B$12,Paramètres!$A$1:$I$89,3,0)*VLOOKUP('Données projet'!$B$12,Paramètres!$A$1:$I$89,5,0)</f>
        <v>5.4978954722173515E-14</v>
      </c>
      <c r="CA189" s="13">
        <f t="shared" si="170"/>
        <v>8.8550225887742724E-13</v>
      </c>
      <c r="CB189" s="20">
        <f t="shared" si="171"/>
        <v>1.6380047803526383E-12</v>
      </c>
      <c r="CC189" s="59">
        <f t="shared" si="119"/>
        <v>293.33333333333496</v>
      </c>
      <c r="CD189" s="59">
        <f ca="1">AVERAGE(OFFSET($CC$3,0,0,'Données projet'!$E$12+1,1))-AVERAGE(OFFSET($H$3,0,0,'Données projet'!$E$12+1,1))</f>
        <v>135.95692658150551</v>
      </c>
      <c r="CE189" s="59">
        <f t="shared" si="148"/>
        <v>79.394119001888612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18.541135507257927</v>
      </c>
      <c r="CL189" s="21">
        <f>EXP(-LN(2)/25)*CL188+(1-EXP(-LN(2)/25))/(LN(2)/25)*Calculateur!CG189*Calculateur!CI189*VLOOKUP('Données projet'!$B$12,Paramètres!$A$1:$I$89,3,0)*0.475*44/12</f>
        <v>0.21046840950696361</v>
      </c>
      <c r="CM189" s="21">
        <f>EXP(-LN(2)/2)*CM188+(1-EXP(-LN(2)/2))/(LN(2)/2)*CG189*CJ189*VLOOKUP('Données projet'!$B$12,Paramètres!$A$1:$I$89,3,0)*0.475*44/12</f>
        <v>3.5327773158629999E-10</v>
      </c>
      <c r="CN189" s="22">
        <f t="shared" si="172"/>
        <v>18.751603917118167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5.6843418860808015E-14</v>
      </c>
      <c r="CU189" s="17">
        <f>CT189*VLOOKUP('Données projet'!$B$13,Paramètres!$A$1:$I$89,3,0)*VLOOKUP('Données projet'!$B$13,Paramètres!$A$1:$I$89,5,0)</f>
        <v>6.1186256061773749E-14</v>
      </c>
      <c r="CV189" s="13">
        <f t="shared" si="173"/>
        <v>9.7328366192051127E-13</v>
      </c>
      <c r="CW189" s="20">
        <f t="shared" si="174"/>
        <v>1.8017017738191463E-12</v>
      </c>
      <c r="CX189" s="59">
        <f t="shared" si="122"/>
        <v>293.33333333333513</v>
      </c>
      <c r="CY189" s="59">
        <f ca="1">AVERAGE(OFFSET($CX$3,0,0,'Données projet'!$E$13+1,1))-AVERAGE(OFFSET($H$3,0,0,'Données projet'!$E$13+1,1))</f>
        <v>158.74837032815333</v>
      </c>
      <c r="CZ189" s="59">
        <f t="shared" si="150"/>
        <v>92.286636088270086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20.634489516141883</v>
      </c>
      <c r="DG189" s="21">
        <f>EXP(-LN(2)/25)*DG188+(1-EXP(-LN(2)/25))/(LN(2)/25)*Calculateur!DB189*Calculateur!DD189*VLOOKUP('Données projet'!$B$13,Paramètres!$A$1:$I$89,3,0)*0.475*44/12</f>
        <v>0.23423097187065314</v>
      </c>
      <c r="DH189" s="21">
        <f>EXP(-LN(2)/2)*DH188+(1-EXP(-LN(2)/2))/(LN(2)/2)*DB189*DE189*VLOOKUP('Données projet'!$B$13,Paramètres!$A$1:$I$89,3,0)*0.475*44/12</f>
        <v>3.9316392708797884E-10</v>
      </c>
      <c r="DI189" s="22">
        <f t="shared" si="175"/>
        <v>20.8687204884057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2.8421709430404007E-13</v>
      </c>
      <c r="O190" s="13">
        <f>N190*VLOOKUP('Données projet'!$B$9,Paramètres!$A$1:$I$89,3,0)*VLOOKUP('Données projet'!$B$9,Paramètres!$A$1:$I$89,5,0)</f>
        <v>2.3942448024172339E-13</v>
      </c>
      <c r="P190" s="13">
        <f t="shared" si="141"/>
        <v>3.2492669905861755E-12</v>
      </c>
      <c r="Q190" s="20">
        <f t="shared" si="162"/>
        <v>6.0761376450252573E-12</v>
      </c>
      <c r="R190" s="59">
        <f t="shared" si="109"/>
        <v>293.3333333333394</v>
      </c>
      <c r="S190" s="59">
        <f ca="1">AVERAGE(OFFSET($R$3,0,0,'Données projet'!$E$9+1,1))-AVERAGE(OFFSET($H$3,0,0,'Données projet'!$E$9+1,1))</f>
        <v>231.91408074258248</v>
      </c>
      <c r="T190" s="59">
        <f t="shared" si="142"/>
        <v>143.57726487417773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1.0163899309407333E-21</v>
      </c>
      <c r="AC190" s="22">
        <f t="shared" si="163"/>
        <v>1.0163899309407333E-21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2.8421709430404007E-13</v>
      </c>
      <c r="AJ190" s="13">
        <f>AI190*VLOOKUP('Données projet'!$B$10,Paramètres!$A$1:$I$89,3,0)*VLOOKUP('Données projet'!$B$10,Paramètres!$A$1:$I$89,5,0)</f>
        <v>2.5715962692629546E-13</v>
      </c>
      <c r="AK190" s="13">
        <f t="shared" si="164"/>
        <v>3.4610450122128953E-12</v>
      </c>
      <c r="AL190" s="20">
        <f t="shared" si="165"/>
        <v>6.4758730798340893E-12</v>
      </c>
      <c r="AM190" s="59">
        <f t="shared" si="113"/>
        <v>293.33333333333979</v>
      </c>
      <c r="AN190" s="59">
        <f ca="1">AVERAGE(OFFSET($AM$3,0,0,'Données projet'!$E$10+1,1))-AVERAGE(OFFSET($H$3,0,0,'Données projet'!$E$10+1,1))</f>
        <v>253.16772905022714</v>
      </c>
      <c r="AO190" s="59">
        <f t="shared" si="144"/>
        <v>156.67965022779907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1.0916780739733804E-21</v>
      </c>
      <c r="AX190" s="21">
        <f t="shared" si="166"/>
        <v>1.0916780739733804E-21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-2.8421709430404007E-14</v>
      </c>
      <c r="BE190" s="13">
        <f>BD190*VLOOKUP('Données projet'!$B$11,Paramètres!$A$1:$I$89,3,0)*VLOOKUP('Données projet'!$B$11,Paramètres!$A$1:$I$89,5,0)</f>
        <v>-1.6996182239381599E-14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119.24399403036387</v>
      </c>
      <c r="BJ190" s="59">
        <f t="shared" si="146"/>
        <v>119.60076838354843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2.3390197996375169E-24</v>
      </c>
      <c r="BS190" s="22">
        <f t="shared" si="169"/>
        <v>2.3390197996375169E-24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5.6843418860808015E-14</v>
      </c>
      <c r="BZ190" s="13">
        <f>BY190*VLOOKUP('Données projet'!$B$12,Paramètres!$A$1:$I$89,3,0)*VLOOKUP('Données projet'!$B$12,Paramètres!$A$1:$I$89,5,0)</f>
        <v>5.4978954722173515E-14</v>
      </c>
      <c r="CA190" s="13">
        <f t="shared" si="170"/>
        <v>8.8550225887742724E-13</v>
      </c>
      <c r="CB190" s="20">
        <f t="shared" si="171"/>
        <v>1.6380047803526383E-12</v>
      </c>
      <c r="CC190" s="59">
        <f t="shared" si="119"/>
        <v>293.33333333333496</v>
      </c>
      <c r="CD190" s="59">
        <f ca="1">AVERAGE(OFFSET($CC$3,0,0,'Données projet'!$E$12+1,1))-AVERAGE(OFFSET($H$3,0,0,'Données projet'!$E$12+1,1))</f>
        <v>135.95692658150551</v>
      </c>
      <c r="CE190" s="59">
        <f t="shared" si="148"/>
        <v>79.394119001888612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18.177555148936591</v>
      </c>
      <c r="CL190" s="21">
        <f>EXP(-LN(2)/25)*CL189+(1-EXP(-LN(2)/25))/(LN(2)/25)*Calculateur!CG190*Calculateur!CI190*VLOOKUP('Données projet'!$B$12,Paramètres!$A$1:$I$89,3,0)*0.475*44/12</f>
        <v>0.20471313978094305</v>
      </c>
      <c r="CM190" s="21">
        <f>EXP(-LN(2)/2)*CM189+(1-EXP(-LN(2)/2))/(LN(2)/2)*CG190*CJ190*VLOOKUP('Données projet'!$B$12,Paramètres!$A$1:$I$89,3,0)*0.475*44/12</f>
        <v>2.4980507964687369E-10</v>
      </c>
      <c r="CN190" s="22">
        <f t="shared" si="172"/>
        <v>18.382268288967339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5.6843418860808015E-14</v>
      </c>
      <c r="CU190" s="17">
        <f>CT190*VLOOKUP('Données projet'!$B$13,Paramètres!$A$1:$I$89,3,0)*VLOOKUP('Données projet'!$B$13,Paramètres!$A$1:$I$89,5,0)</f>
        <v>6.1186256061773749E-14</v>
      </c>
      <c r="CV190" s="13">
        <f t="shared" si="173"/>
        <v>9.7328366192051127E-13</v>
      </c>
      <c r="CW190" s="20">
        <f t="shared" si="174"/>
        <v>1.8017017738191463E-12</v>
      </c>
      <c r="CX190" s="59">
        <f t="shared" si="122"/>
        <v>293.33333333333513</v>
      </c>
      <c r="CY190" s="59">
        <f ca="1">AVERAGE(OFFSET($CX$3,0,0,'Données projet'!$E$13+1,1))-AVERAGE(OFFSET($H$3,0,0,'Données projet'!$E$13+1,1))</f>
        <v>158.74837032815333</v>
      </c>
      <c r="CZ190" s="59">
        <f t="shared" si="150"/>
        <v>92.286636088270086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20.229859762526203</v>
      </c>
      <c r="DG190" s="21">
        <f>EXP(-LN(2)/25)*DG189+(1-EXP(-LN(2)/25))/(LN(2)/25)*Calculateur!DB190*Calculateur!DD190*VLOOKUP('Données projet'!$B$13,Paramètres!$A$1:$I$89,3,0)*0.475*44/12</f>
        <v>0.22782591362717866</v>
      </c>
      <c r="DH190" s="21">
        <f>EXP(-LN(2)/2)*DH189+(1-EXP(-LN(2)/2))/(LN(2)/2)*DB190*DE190*VLOOKUP('Données projet'!$B$13,Paramètres!$A$1:$I$89,3,0)*0.475*44/12</f>
        <v>2.7800887896184318E-10</v>
      </c>
      <c r="DI190" s="22">
        <f t="shared" si="175"/>
        <v>20.457685676431392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2.8421709430404007E-13</v>
      </c>
      <c r="O191" s="13">
        <f>N191*VLOOKUP('Données projet'!$B$9,Paramètres!$A$1:$I$89,3,0)*VLOOKUP('Données projet'!$B$9,Paramètres!$A$1:$I$89,5,0)</f>
        <v>2.3942448024172339E-13</v>
      </c>
      <c r="P191" s="13">
        <f t="shared" si="141"/>
        <v>3.2492669905861755E-12</v>
      </c>
      <c r="Q191" s="20">
        <f t="shared" si="162"/>
        <v>6.0761376450252573E-12</v>
      </c>
      <c r="R191" s="59">
        <f t="shared" si="109"/>
        <v>293.3333333333394</v>
      </c>
      <c r="S191" s="59">
        <f ca="1">AVERAGE(OFFSET($R$3,0,0,'Données projet'!$E$9+1,1))-AVERAGE(OFFSET($H$3,0,0,'Données projet'!$E$9+1,1))</f>
        <v>231.91408074258248</v>
      </c>
      <c r="T191" s="59">
        <f t="shared" si="142"/>
        <v>143.57726487417773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7.1869621249791928E-22</v>
      </c>
      <c r="AC191" s="22">
        <f t="shared" si="163"/>
        <v>7.1869621249791928E-22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2.8421709430404007E-13</v>
      </c>
      <c r="AJ191" s="13">
        <f>AI191*VLOOKUP('Données projet'!$B$10,Paramètres!$A$1:$I$89,3,0)*VLOOKUP('Données projet'!$B$10,Paramètres!$A$1:$I$89,5,0)</f>
        <v>2.5715962692629546E-13</v>
      </c>
      <c r="AK191" s="13">
        <f t="shared" si="164"/>
        <v>3.4610450122128953E-12</v>
      </c>
      <c r="AL191" s="20">
        <f t="shared" si="165"/>
        <v>6.4758730798340893E-12</v>
      </c>
      <c r="AM191" s="59">
        <f t="shared" si="113"/>
        <v>293.33333333333979</v>
      </c>
      <c r="AN191" s="59">
        <f ca="1">AVERAGE(OFFSET($AM$3,0,0,'Données projet'!$E$10+1,1))-AVERAGE(OFFSET($H$3,0,0,'Données projet'!$E$10+1,1))</f>
        <v>253.16772905022714</v>
      </c>
      <c r="AO191" s="59">
        <f t="shared" si="144"/>
        <v>156.67965022779907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7.7193296897924672E-22</v>
      </c>
      <c r="AX191" s="21">
        <f t="shared" si="166"/>
        <v>7.7193296897924672E-22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-2.8421709430404007E-14</v>
      </c>
      <c r="BE191" s="13">
        <f>BD191*VLOOKUP('Données projet'!$B$11,Paramètres!$A$1:$I$89,3,0)*VLOOKUP('Données projet'!$B$11,Paramètres!$A$1:$I$89,5,0)</f>
        <v>-1.6996182239381599E-14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119.24399403036387</v>
      </c>
      <c r="BJ191" s="59">
        <f t="shared" si="146"/>
        <v>119.60076838354843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1.6539367616532879E-24</v>
      </c>
      <c r="BS191" s="22">
        <f t="shared" si="169"/>
        <v>1.6539367616532879E-24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5.6843418860808015E-14</v>
      </c>
      <c r="BZ191" s="13">
        <f>BY191*VLOOKUP('Données projet'!$B$12,Paramètres!$A$1:$I$89,3,0)*VLOOKUP('Données projet'!$B$12,Paramètres!$A$1:$I$89,5,0)</f>
        <v>5.4978954722173515E-14</v>
      </c>
      <c r="CA191" s="13">
        <f t="shared" si="170"/>
        <v>8.8550225887742724E-13</v>
      </c>
      <c r="CB191" s="20">
        <f t="shared" si="171"/>
        <v>1.6380047803526383E-12</v>
      </c>
      <c r="CC191" s="59">
        <f t="shared" si="119"/>
        <v>293.33333333333496</v>
      </c>
      <c r="CD191" s="59">
        <f ca="1">AVERAGE(OFFSET($CC$3,0,0,'Données projet'!$E$12+1,1))-AVERAGE(OFFSET($H$3,0,0,'Données projet'!$E$12+1,1))</f>
        <v>135.95692658150551</v>
      </c>
      <c r="CE191" s="59">
        <f t="shared" si="148"/>
        <v>79.394119001888612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17.821104379679813</v>
      </c>
      <c r="CL191" s="21">
        <f>EXP(-LN(2)/25)*CL190+(1-EXP(-LN(2)/25))/(LN(2)/25)*Calculateur!CG191*Calculateur!CI191*VLOOKUP('Données projet'!$B$12,Paramètres!$A$1:$I$89,3,0)*0.475*44/12</f>
        <v>0.19911524820823701</v>
      </c>
      <c r="CM191" s="21">
        <f>EXP(-LN(2)/2)*CM190+(1-EXP(-LN(2)/2))/(LN(2)/2)*CG191*CJ191*VLOOKUP('Données projet'!$B$12,Paramètres!$A$1:$I$89,3,0)*0.475*44/12</f>
        <v>1.7663886579315E-10</v>
      </c>
      <c r="CN191" s="22">
        <f t="shared" si="172"/>
        <v>18.020219628064687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5.6843418860808015E-14</v>
      </c>
      <c r="CU191" s="17">
        <f>CT191*VLOOKUP('Données projet'!$B$13,Paramètres!$A$1:$I$89,3,0)*VLOOKUP('Données projet'!$B$13,Paramètres!$A$1:$I$89,5,0)</f>
        <v>6.1186256061773749E-14</v>
      </c>
      <c r="CV191" s="13">
        <f t="shared" si="173"/>
        <v>9.7328366192051127E-13</v>
      </c>
      <c r="CW191" s="20">
        <f t="shared" si="174"/>
        <v>1.8017017738191463E-12</v>
      </c>
      <c r="CX191" s="59">
        <f t="shared" si="122"/>
        <v>293.33333333333513</v>
      </c>
      <c r="CY191" s="59">
        <f ca="1">AVERAGE(OFFSET($CX$3,0,0,'Données projet'!$E$13+1,1))-AVERAGE(OFFSET($H$3,0,0,'Données projet'!$E$13+1,1))</f>
        <v>158.74837032815333</v>
      </c>
      <c r="CZ191" s="59">
        <f t="shared" si="150"/>
        <v>92.286636088270086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19.833164551579145</v>
      </c>
      <c r="DG191" s="21">
        <f>EXP(-LN(2)/25)*DG190+(1-EXP(-LN(2)/25))/(LN(2)/25)*Calculateur!DB191*Calculateur!DD191*VLOOKUP('Données projet'!$B$13,Paramètres!$A$1:$I$89,3,0)*0.475*44/12</f>
        <v>0.22159600203819937</v>
      </c>
      <c r="DH191" s="21">
        <f>EXP(-LN(2)/2)*DH190+(1-EXP(-LN(2)/2))/(LN(2)/2)*DB191*DE191*VLOOKUP('Données projet'!$B$13,Paramètres!$A$1:$I$89,3,0)*0.475*44/12</f>
        <v>1.9658196354398942E-10</v>
      </c>
      <c r="DI191" s="22">
        <f t="shared" si="175"/>
        <v>20.054760553813928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2.8421709430404007E-13</v>
      </c>
      <c r="O192" s="13">
        <f>N192*VLOOKUP('Données projet'!$B$9,Paramètres!$A$1:$I$89,3,0)*VLOOKUP('Données projet'!$B$9,Paramètres!$A$1:$I$89,5,0)</f>
        <v>2.3942448024172339E-13</v>
      </c>
      <c r="P192" s="13">
        <f t="shared" si="141"/>
        <v>3.2492669905861755E-12</v>
      </c>
      <c r="Q192" s="20">
        <f t="shared" si="162"/>
        <v>6.0761376450252573E-12</v>
      </c>
      <c r="R192" s="59">
        <f t="shared" si="109"/>
        <v>293.3333333333394</v>
      </c>
      <c r="S192" s="59">
        <f ca="1">AVERAGE(OFFSET($R$3,0,0,'Données projet'!$E$9+1,1))-AVERAGE(OFFSET($H$3,0,0,'Données projet'!$E$9+1,1))</f>
        <v>231.91408074258248</v>
      </c>
      <c r="T192" s="59">
        <f t="shared" si="142"/>
        <v>143.57726487417773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5.0819496547036666E-22</v>
      </c>
      <c r="AC192" s="22">
        <f t="shared" si="163"/>
        <v>5.0819496547036666E-22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2.8421709430404007E-13</v>
      </c>
      <c r="AJ192" s="13">
        <f>AI192*VLOOKUP('Données projet'!$B$10,Paramètres!$A$1:$I$89,3,0)*VLOOKUP('Données projet'!$B$10,Paramètres!$A$1:$I$89,5,0)</f>
        <v>2.5715962692629546E-13</v>
      </c>
      <c r="AK192" s="13">
        <f t="shared" si="164"/>
        <v>3.4610450122128953E-12</v>
      </c>
      <c r="AL192" s="20">
        <f t="shared" si="165"/>
        <v>6.4758730798340893E-12</v>
      </c>
      <c r="AM192" s="59">
        <f t="shared" si="113"/>
        <v>293.33333333333979</v>
      </c>
      <c r="AN192" s="59">
        <f ca="1">AVERAGE(OFFSET($AM$3,0,0,'Données projet'!$E$10+1,1))-AVERAGE(OFFSET($H$3,0,0,'Données projet'!$E$10+1,1))</f>
        <v>253.16772905022714</v>
      </c>
      <c r="AO192" s="59">
        <f t="shared" si="144"/>
        <v>156.67965022779907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5.4583903698669018E-22</v>
      </c>
      <c r="AX192" s="21">
        <f t="shared" si="166"/>
        <v>5.4583903698669018E-22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-2.8421709430404007E-14</v>
      </c>
      <c r="BE192" s="13">
        <f>BD192*VLOOKUP('Données projet'!$B$11,Paramètres!$A$1:$I$89,3,0)*VLOOKUP('Données projet'!$B$11,Paramètres!$A$1:$I$89,5,0)</f>
        <v>-1.6996182239381599E-14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119.24399403036387</v>
      </c>
      <c r="BJ192" s="59">
        <f t="shared" si="146"/>
        <v>119.60076838354843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1.1695098998187586E-24</v>
      </c>
      <c r="BS192" s="22">
        <f t="shared" si="169"/>
        <v>1.1695098998187586E-24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5.6843418860808015E-14</v>
      </c>
      <c r="BZ192" s="13">
        <f>BY192*VLOOKUP('Données projet'!$B$12,Paramètres!$A$1:$I$89,3,0)*VLOOKUP('Données projet'!$B$12,Paramètres!$A$1:$I$89,5,0)</f>
        <v>5.4978954722173515E-14</v>
      </c>
      <c r="CA192" s="13">
        <f t="shared" si="170"/>
        <v>8.8550225887742724E-13</v>
      </c>
      <c r="CB192" s="20">
        <f t="shared" si="171"/>
        <v>1.6380047803526383E-12</v>
      </c>
      <c r="CC192" s="59">
        <f t="shared" si="119"/>
        <v>293.33333333333496</v>
      </c>
      <c r="CD192" s="59">
        <f ca="1">AVERAGE(OFFSET($CC$3,0,0,'Données projet'!$E$12+1,1))-AVERAGE(OFFSET($H$3,0,0,'Données projet'!$E$12+1,1))</f>
        <v>135.95692658150551</v>
      </c>
      <c r="CE192" s="59">
        <f t="shared" si="148"/>
        <v>79.394119001888612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17.471643392594661</v>
      </c>
      <c r="CL192" s="21">
        <f>EXP(-LN(2)/25)*CL191+(1-EXP(-LN(2)/25))/(LN(2)/25)*Calculateur!CG192*Calculateur!CI192*VLOOKUP('Données projet'!$B$12,Paramètres!$A$1:$I$89,3,0)*0.475*44/12</f>
        <v>0.19367043127496694</v>
      </c>
      <c r="CM192" s="21">
        <f>EXP(-LN(2)/2)*CM191+(1-EXP(-LN(2)/2))/(LN(2)/2)*CG192*CJ192*VLOOKUP('Données projet'!$B$12,Paramètres!$A$1:$I$89,3,0)*0.475*44/12</f>
        <v>1.2490253982343685E-10</v>
      </c>
      <c r="CN192" s="22">
        <f t="shared" si="172"/>
        <v>17.665313823994531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5.6843418860808015E-14</v>
      </c>
      <c r="CU192" s="17">
        <f>CT192*VLOOKUP('Données projet'!$B$13,Paramètres!$A$1:$I$89,3,0)*VLOOKUP('Données projet'!$B$13,Paramètres!$A$1:$I$89,5,0)</f>
        <v>6.1186256061773749E-14</v>
      </c>
      <c r="CV192" s="13">
        <f t="shared" si="173"/>
        <v>9.7328366192051127E-13</v>
      </c>
      <c r="CW192" s="20">
        <f t="shared" si="174"/>
        <v>1.8017017738191463E-12</v>
      </c>
      <c r="CX192" s="59">
        <f t="shared" si="122"/>
        <v>293.33333333333513</v>
      </c>
      <c r="CY192" s="59">
        <f ca="1">AVERAGE(OFFSET($CX$3,0,0,'Données projet'!$E$13+1,1))-AVERAGE(OFFSET($H$3,0,0,'Données projet'!$E$13+1,1))</f>
        <v>158.74837032815333</v>
      </c>
      <c r="CZ192" s="59">
        <f t="shared" si="150"/>
        <v>92.286636088270086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19.444248291758573</v>
      </c>
      <c r="DG192" s="21">
        <f>EXP(-LN(2)/25)*DG191+(1-EXP(-LN(2)/25))/(LN(2)/25)*Calculateur!DB192*Calculateur!DD192*VLOOKUP('Données projet'!$B$13,Paramètres!$A$1:$I$89,3,0)*0.475*44/12</f>
        <v>0.21553644770923752</v>
      </c>
      <c r="DH192" s="21">
        <f>EXP(-LN(2)/2)*DH191+(1-EXP(-LN(2)/2))/(LN(2)/2)*DB192*DE192*VLOOKUP('Données projet'!$B$13,Paramètres!$A$1:$I$89,3,0)*0.475*44/12</f>
        <v>1.3900443948092159E-10</v>
      </c>
      <c r="DI192" s="22">
        <f t="shared" si="175"/>
        <v>19.659784739606813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2.8421709430404007E-13</v>
      </c>
      <c r="O193" s="13">
        <f>N193*VLOOKUP('Données projet'!$B$9,Paramètres!$A$1:$I$89,3,0)*VLOOKUP('Données projet'!$B$9,Paramètres!$A$1:$I$89,5,0)</f>
        <v>2.3942448024172339E-13</v>
      </c>
      <c r="P193" s="13">
        <f t="shared" si="141"/>
        <v>3.2492669905861755E-12</v>
      </c>
      <c r="Q193" s="20">
        <f t="shared" si="162"/>
        <v>6.0761376450252573E-12</v>
      </c>
      <c r="R193" s="59">
        <f t="shared" si="109"/>
        <v>293.3333333333394</v>
      </c>
      <c r="S193" s="59">
        <f ca="1">AVERAGE(OFFSET($R$3,0,0,'Données projet'!$E$9+1,1))-AVERAGE(OFFSET($H$3,0,0,'Données projet'!$E$9+1,1))</f>
        <v>231.91408074258248</v>
      </c>
      <c r="T193" s="59">
        <f t="shared" si="142"/>
        <v>143.57726487417773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3.5934810624895964E-22</v>
      </c>
      <c r="AC193" s="22">
        <f t="shared" si="163"/>
        <v>3.5934810624895964E-22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2.8421709430404007E-13</v>
      </c>
      <c r="AJ193" s="13">
        <f>AI193*VLOOKUP('Données projet'!$B$10,Paramètres!$A$1:$I$89,3,0)*VLOOKUP('Données projet'!$B$10,Paramètres!$A$1:$I$89,5,0)</f>
        <v>2.5715962692629546E-13</v>
      </c>
      <c r="AK193" s="13">
        <f t="shared" si="164"/>
        <v>3.4610450122128953E-12</v>
      </c>
      <c r="AL193" s="20">
        <f t="shared" si="165"/>
        <v>6.4758730798340893E-12</v>
      </c>
      <c r="AM193" s="59">
        <f t="shared" si="113"/>
        <v>293.33333333333979</v>
      </c>
      <c r="AN193" s="59">
        <f ca="1">AVERAGE(OFFSET($AM$3,0,0,'Données projet'!$E$10+1,1))-AVERAGE(OFFSET($H$3,0,0,'Données projet'!$E$10+1,1))</f>
        <v>253.16772905022714</v>
      </c>
      <c r="AO193" s="59">
        <f t="shared" si="144"/>
        <v>156.67965022779907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3.8596648448962336E-22</v>
      </c>
      <c r="AX193" s="21">
        <f t="shared" si="166"/>
        <v>3.8596648448962336E-22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-2.8421709430404007E-14</v>
      </c>
      <c r="BE193" s="13">
        <f>BD193*VLOOKUP('Données projet'!$B$11,Paramètres!$A$1:$I$89,3,0)*VLOOKUP('Données projet'!$B$11,Paramètres!$A$1:$I$89,5,0)</f>
        <v>-1.6996182239381599E-14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119.24399403036387</v>
      </c>
      <c r="BJ193" s="59">
        <f t="shared" si="146"/>
        <v>119.60076838354843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8.2696838082664416E-25</v>
      </c>
      <c r="BS193" s="22">
        <f t="shared" si="169"/>
        <v>8.2696838082664416E-25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5.6843418860808015E-14</v>
      </c>
      <c r="BZ193" s="13">
        <f>BY193*VLOOKUP('Données projet'!$B$12,Paramètres!$A$1:$I$89,3,0)*VLOOKUP('Données projet'!$B$12,Paramètres!$A$1:$I$89,5,0)</f>
        <v>5.4978954722173515E-14</v>
      </c>
      <c r="CA193" s="13">
        <f t="shared" si="170"/>
        <v>8.8550225887742724E-13</v>
      </c>
      <c r="CB193" s="20">
        <f t="shared" si="171"/>
        <v>1.6380047803526383E-12</v>
      </c>
      <c r="CC193" s="59">
        <f t="shared" si="119"/>
        <v>293.33333333333496</v>
      </c>
      <c r="CD193" s="59">
        <f ca="1">AVERAGE(OFFSET($CC$3,0,0,'Données projet'!$E$12+1,1))-AVERAGE(OFFSET($H$3,0,0,'Données projet'!$E$12+1,1))</f>
        <v>135.95692658150551</v>
      </c>
      <c r="CE193" s="59">
        <f t="shared" si="148"/>
        <v>79.394119001888612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17.129035122316093</v>
      </c>
      <c r="CL193" s="21">
        <f>EXP(-LN(2)/25)*CL192+(1-EXP(-LN(2)/25))/(LN(2)/25)*Calculateur!CG193*Calculateur!CI193*VLOOKUP('Données projet'!$B$12,Paramètres!$A$1:$I$89,3,0)*0.475*44/12</f>
        <v>0.18837450314706763</v>
      </c>
      <c r="CM193" s="21">
        <f>EXP(-LN(2)/2)*CM192+(1-EXP(-LN(2)/2))/(LN(2)/2)*CG193*CJ193*VLOOKUP('Données projet'!$B$12,Paramètres!$A$1:$I$89,3,0)*0.475*44/12</f>
        <v>8.8319432896574998E-11</v>
      </c>
      <c r="CN193" s="22">
        <f t="shared" si="172"/>
        <v>17.31740962555148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5.6843418860808015E-14</v>
      </c>
      <c r="CU193" s="17">
        <f>CT193*VLOOKUP('Données projet'!$B$13,Paramètres!$A$1:$I$89,3,0)*VLOOKUP('Données projet'!$B$13,Paramètres!$A$1:$I$89,5,0)</f>
        <v>6.1186256061773749E-14</v>
      </c>
      <c r="CV193" s="13">
        <f t="shared" si="173"/>
        <v>9.7328366192051127E-13</v>
      </c>
      <c r="CW193" s="20">
        <f t="shared" si="174"/>
        <v>1.8017017738191463E-12</v>
      </c>
      <c r="CX193" s="59">
        <f t="shared" si="122"/>
        <v>293.33333333333513</v>
      </c>
      <c r="CY193" s="59">
        <f ca="1">AVERAGE(OFFSET($CX$3,0,0,'Données projet'!$E$13+1,1))-AVERAGE(OFFSET($H$3,0,0,'Données projet'!$E$13+1,1))</f>
        <v>158.74837032815333</v>
      </c>
      <c r="CZ193" s="59">
        <f t="shared" si="150"/>
        <v>92.286636088270086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19.062958442577585</v>
      </c>
      <c r="DG193" s="21">
        <f>EXP(-LN(2)/25)*DG192+(1-EXP(-LN(2)/25))/(LN(2)/25)*Calculateur!DB193*Calculateur!DD193*VLOOKUP('Données projet'!$B$13,Paramètres!$A$1:$I$89,3,0)*0.475*44/12</f>
        <v>0.20964259221205925</v>
      </c>
      <c r="DH193" s="21">
        <f>EXP(-LN(2)/2)*DH192+(1-EXP(-LN(2)/2))/(LN(2)/2)*DB193*DE193*VLOOKUP('Données projet'!$B$13,Paramètres!$A$1:$I$89,3,0)*0.475*44/12</f>
        <v>9.829098177199471E-11</v>
      </c>
      <c r="DI193" s="22">
        <f t="shared" si="175"/>
        <v>19.272601034887934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2.8421709430404007E-13</v>
      </c>
      <c r="O194" s="13">
        <f>N194*VLOOKUP('Données projet'!$B$9,Paramètres!$A$1:$I$89,3,0)*VLOOKUP('Données projet'!$B$9,Paramètres!$A$1:$I$89,5,0)</f>
        <v>2.3942448024172339E-13</v>
      </c>
      <c r="P194" s="13">
        <f t="shared" si="141"/>
        <v>3.2492669905861755E-12</v>
      </c>
      <c r="Q194" s="20">
        <f t="shared" si="162"/>
        <v>6.0761376450252573E-12</v>
      </c>
      <c r="R194" s="59">
        <f t="shared" si="109"/>
        <v>293.3333333333394</v>
      </c>
      <c r="S194" s="59">
        <f ca="1">AVERAGE(OFFSET($R$3,0,0,'Données projet'!$E$9+1,1))-AVERAGE(OFFSET($H$3,0,0,'Données projet'!$E$9+1,1))</f>
        <v>231.91408074258248</v>
      </c>
      <c r="T194" s="59">
        <f t="shared" si="142"/>
        <v>143.57726487417773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2.5409748273518333E-22</v>
      </c>
      <c r="AC194" s="22">
        <f t="shared" si="163"/>
        <v>2.5409748273518333E-22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2.8421709430404007E-13</v>
      </c>
      <c r="AJ194" s="13">
        <f>AI194*VLOOKUP('Données projet'!$B$10,Paramètres!$A$1:$I$89,3,0)*VLOOKUP('Données projet'!$B$10,Paramètres!$A$1:$I$89,5,0)</f>
        <v>2.5715962692629546E-13</v>
      </c>
      <c r="AK194" s="13">
        <f t="shared" si="164"/>
        <v>3.4610450122128953E-12</v>
      </c>
      <c r="AL194" s="20">
        <f t="shared" si="165"/>
        <v>6.4758730798340893E-12</v>
      </c>
      <c r="AM194" s="59">
        <f t="shared" si="113"/>
        <v>293.33333333333979</v>
      </c>
      <c r="AN194" s="59">
        <f ca="1">AVERAGE(OFFSET($AM$3,0,0,'Données projet'!$E$10+1,1))-AVERAGE(OFFSET($H$3,0,0,'Données projet'!$E$10+1,1))</f>
        <v>253.16772905022714</v>
      </c>
      <c r="AO194" s="59">
        <f t="shared" si="144"/>
        <v>156.67965022779907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2.7291951849334509E-22</v>
      </c>
      <c r="AX194" s="21">
        <f t="shared" si="166"/>
        <v>2.7291951849334509E-22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-2.8421709430404007E-14</v>
      </c>
      <c r="BE194" s="13">
        <f>BD194*VLOOKUP('Données projet'!$B$11,Paramètres!$A$1:$I$89,3,0)*VLOOKUP('Données projet'!$B$11,Paramètres!$A$1:$I$89,5,0)</f>
        <v>-1.6996182239381599E-14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119.24399403036387</v>
      </c>
      <c r="BJ194" s="59">
        <f t="shared" si="146"/>
        <v>119.60076838354843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5.8475494990937941E-25</v>
      </c>
      <c r="BS194" s="22">
        <f t="shared" si="169"/>
        <v>5.8475494990937941E-25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5.6843418860808015E-14</v>
      </c>
      <c r="BZ194" s="13">
        <f>BY194*VLOOKUP('Données projet'!$B$12,Paramètres!$A$1:$I$89,3,0)*VLOOKUP('Données projet'!$B$12,Paramètres!$A$1:$I$89,5,0)</f>
        <v>5.4978954722173515E-14</v>
      </c>
      <c r="CA194" s="13">
        <f t="shared" si="170"/>
        <v>8.8550225887742724E-13</v>
      </c>
      <c r="CB194" s="20">
        <f t="shared" si="171"/>
        <v>1.6380047803526383E-12</v>
      </c>
      <c r="CC194" s="59">
        <f t="shared" si="119"/>
        <v>293.33333333333496</v>
      </c>
      <c r="CD194" s="59">
        <f ca="1">AVERAGE(OFFSET($CC$3,0,0,'Données projet'!$E$12+1,1))-AVERAGE(OFFSET($H$3,0,0,'Données projet'!$E$12+1,1))</f>
        <v>135.95692658150551</v>
      </c>
      <c r="CE194" s="59">
        <f t="shared" si="148"/>
        <v>79.394119001888612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16.793145191247277</v>
      </c>
      <c r="CL194" s="21">
        <f>EXP(-LN(2)/25)*CL193+(1-EXP(-LN(2)/25))/(LN(2)/25)*Calculateur!CG194*Calculateur!CI194*VLOOKUP('Données projet'!$B$12,Paramètres!$A$1:$I$89,3,0)*0.475*44/12</f>
        <v>0.18322339245232649</v>
      </c>
      <c r="CM194" s="21">
        <f>EXP(-LN(2)/2)*CM193+(1-EXP(-LN(2)/2))/(LN(2)/2)*CG194*CJ194*VLOOKUP('Données projet'!$B$12,Paramètres!$A$1:$I$89,3,0)*0.475*44/12</f>
        <v>6.2451269911718423E-11</v>
      </c>
      <c r="CN194" s="22">
        <f t="shared" si="172"/>
        <v>16.976368583762053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5.6843418860808015E-14</v>
      </c>
      <c r="CU194" s="17">
        <f>CT194*VLOOKUP('Données projet'!$B$13,Paramètres!$A$1:$I$89,3,0)*VLOOKUP('Données projet'!$B$13,Paramètres!$A$1:$I$89,5,0)</f>
        <v>6.1186256061773749E-14</v>
      </c>
      <c r="CV194" s="13">
        <f t="shared" si="173"/>
        <v>9.7328366192051127E-13</v>
      </c>
      <c r="CW194" s="20">
        <f t="shared" si="174"/>
        <v>1.8017017738191463E-12</v>
      </c>
      <c r="CX194" s="59">
        <f t="shared" si="122"/>
        <v>293.33333333333513</v>
      </c>
      <c r="CY194" s="59">
        <f ca="1">AVERAGE(OFFSET($CX$3,0,0,'Données projet'!$E$13+1,1))-AVERAGE(OFFSET($H$3,0,0,'Données projet'!$E$13+1,1))</f>
        <v>158.74837032815333</v>
      </c>
      <c r="CZ194" s="59">
        <f t="shared" si="150"/>
        <v>92.286636088270086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18.689145454775193</v>
      </c>
      <c r="DG194" s="21">
        <f>EXP(-LN(2)/25)*DG193+(1-EXP(-LN(2)/25))/(LN(2)/25)*Calculateur!DB194*Calculateur!DD194*VLOOKUP('Données projet'!$B$13,Paramètres!$A$1:$I$89,3,0)*0.475*44/12</f>
        <v>0.20390990450339572</v>
      </c>
      <c r="DH194" s="21">
        <f>EXP(-LN(2)/2)*DH193+(1-EXP(-LN(2)/2))/(LN(2)/2)*DB194*DE194*VLOOKUP('Données projet'!$B$13,Paramètres!$A$1:$I$89,3,0)*0.475*44/12</f>
        <v>6.9502219740460794E-11</v>
      </c>
      <c r="DI194" s="22">
        <f t="shared" si="175"/>
        <v>18.893055359348089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2.8421709430404007E-13</v>
      </c>
      <c r="O195" s="13">
        <f>N195*VLOOKUP('Données projet'!$B$9,Paramètres!$A$1:$I$89,3,0)*VLOOKUP('Données projet'!$B$9,Paramètres!$A$1:$I$89,5,0)</f>
        <v>2.3942448024172339E-13</v>
      </c>
      <c r="P195" s="13">
        <f t="shared" si="141"/>
        <v>3.2492669905861755E-12</v>
      </c>
      <c r="Q195" s="20">
        <f t="shared" si="162"/>
        <v>6.0761376450252573E-12</v>
      </c>
      <c r="R195" s="59">
        <f t="shared" ref="R195:R203" si="191">Q195+(I195+J195)*44/12</f>
        <v>293.3333333333394</v>
      </c>
      <c r="S195" s="59">
        <f ca="1">AVERAGE(OFFSET($R$3,0,0,'Données projet'!$E$9+1,1))-AVERAGE(OFFSET($H$3,0,0,'Données projet'!$E$9+1,1))</f>
        <v>231.91408074258248</v>
      </c>
      <c r="T195" s="59">
        <f t="shared" si="142"/>
        <v>143.57726487417773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1.7967405312447982E-22</v>
      </c>
      <c r="AC195" s="22">
        <f t="shared" si="163"/>
        <v>1.7967405312447982E-22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2.8421709430404007E-13</v>
      </c>
      <c r="AJ195" s="13">
        <f>AI195*VLOOKUP('Données projet'!$B$10,Paramètres!$A$1:$I$89,3,0)*VLOOKUP('Données projet'!$B$10,Paramètres!$A$1:$I$89,5,0)</f>
        <v>2.5715962692629546E-13</v>
      </c>
      <c r="AK195" s="13">
        <f t="shared" si="164"/>
        <v>3.4610450122128953E-12</v>
      </c>
      <c r="AL195" s="20">
        <f t="shared" si="165"/>
        <v>6.4758730798340893E-12</v>
      </c>
      <c r="AM195" s="59">
        <f t="shared" si="113"/>
        <v>293.33333333333979</v>
      </c>
      <c r="AN195" s="59">
        <f ca="1">AVERAGE(OFFSET($AM$3,0,0,'Données projet'!$E$10+1,1))-AVERAGE(OFFSET($H$3,0,0,'Données projet'!$E$10+1,1))</f>
        <v>253.16772905022714</v>
      </c>
      <c r="AO195" s="59">
        <f t="shared" si="144"/>
        <v>156.67965022779907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1.9298324224481168E-22</v>
      </c>
      <c r="AX195" s="21">
        <f t="shared" si="166"/>
        <v>1.9298324224481168E-22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-2.8421709430404007E-14</v>
      </c>
      <c r="BE195" s="13">
        <f>BD195*VLOOKUP('Données projet'!$B$11,Paramètres!$A$1:$I$89,3,0)*VLOOKUP('Données projet'!$B$11,Paramètres!$A$1:$I$89,5,0)</f>
        <v>-1.6996182239381599E-14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119.24399403036387</v>
      </c>
      <c r="BJ195" s="59">
        <f t="shared" si="146"/>
        <v>119.60076838354843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4.1348419041332213E-25</v>
      </c>
      <c r="BS195" s="22">
        <f t="shared" si="169"/>
        <v>4.1348419041332213E-25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5.6843418860808015E-14</v>
      </c>
      <c r="BZ195" s="13">
        <f>BY195*VLOOKUP('Données projet'!$B$12,Paramètres!$A$1:$I$89,3,0)*VLOOKUP('Données projet'!$B$12,Paramètres!$A$1:$I$89,5,0)</f>
        <v>5.4978954722173515E-14</v>
      </c>
      <c r="CA195" s="13">
        <f t="shared" si="170"/>
        <v>8.8550225887742724E-13</v>
      </c>
      <c r="CB195" s="20">
        <f t="shared" si="171"/>
        <v>1.6380047803526383E-12</v>
      </c>
      <c r="CC195" s="59">
        <f t="shared" si="119"/>
        <v>293.33333333333496</v>
      </c>
      <c r="CD195" s="59">
        <f ca="1">AVERAGE(OFFSET($CC$3,0,0,'Données projet'!$E$12+1,1))-AVERAGE(OFFSET($H$3,0,0,'Données projet'!$E$12+1,1))</f>
        <v>135.95692658150551</v>
      </c>
      <c r="CE195" s="59">
        <f t="shared" si="148"/>
        <v>79.394119001888612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16.463841856854092</v>
      </c>
      <c r="CL195" s="21">
        <f>EXP(-LN(2)/25)*CL194+(1-EXP(-LN(2)/25))/(LN(2)/25)*Calculateur!CG195*Calculateur!CI195*VLOOKUP('Données projet'!$B$12,Paramètres!$A$1:$I$89,3,0)*0.475*44/12</f>
        <v>0.17821313915041817</v>
      </c>
      <c r="CM195" s="21">
        <f>EXP(-LN(2)/2)*CM194+(1-EXP(-LN(2)/2))/(LN(2)/2)*CG195*CJ195*VLOOKUP('Données projet'!$B$12,Paramètres!$A$1:$I$89,3,0)*0.475*44/12</f>
        <v>4.4159716448287499E-11</v>
      </c>
      <c r="CN195" s="22">
        <f t="shared" si="172"/>
        <v>16.642054996048671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5.6843418860808015E-14</v>
      </c>
      <c r="CU195" s="17">
        <f>CT195*VLOOKUP('Données projet'!$B$13,Paramètres!$A$1:$I$89,3,0)*VLOOKUP('Données projet'!$B$13,Paramètres!$A$1:$I$89,5,0)</f>
        <v>6.1186256061773749E-14</v>
      </c>
      <c r="CV195" s="13">
        <f t="shared" si="173"/>
        <v>9.7328366192051127E-13</v>
      </c>
      <c r="CW195" s="20">
        <f t="shared" si="174"/>
        <v>1.8017017738191463E-12</v>
      </c>
      <c r="CX195" s="59">
        <f t="shared" si="122"/>
        <v>293.33333333333513</v>
      </c>
      <c r="CY195" s="59">
        <f ca="1">AVERAGE(OFFSET($CX$3,0,0,'Données projet'!$E$13+1,1))-AVERAGE(OFFSET($H$3,0,0,'Données projet'!$E$13+1,1))</f>
        <v>158.74837032815333</v>
      </c>
      <c r="CZ195" s="59">
        <f t="shared" si="150"/>
        <v>92.286636088270086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18.322662711660197</v>
      </c>
      <c r="DG195" s="21">
        <f>EXP(-LN(2)/25)*DG194+(1-EXP(-LN(2)/25))/(LN(2)/25)*Calculateur!DB195*Calculateur!DD195*VLOOKUP('Données projet'!$B$13,Paramètres!$A$1:$I$89,3,0)*0.475*44/12</f>
        <v>0.19833397744159453</v>
      </c>
      <c r="DH195" s="21">
        <f>EXP(-LN(2)/2)*DH194+(1-EXP(-LN(2)/2))/(LN(2)/2)*DB195*DE195*VLOOKUP('Données projet'!$B$13,Paramètres!$A$1:$I$89,3,0)*0.475*44/12</f>
        <v>4.9145490885997355E-11</v>
      </c>
      <c r="DI195" s="22">
        <f t="shared" si="175"/>
        <v>18.520996689150937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2.8421709430404007E-13</v>
      </c>
      <c r="O196" s="13">
        <f>N196*VLOOKUP('Données projet'!$B$9,Paramètres!$A$1:$I$89,3,0)*VLOOKUP('Données projet'!$B$9,Paramètres!$A$1:$I$89,5,0)</f>
        <v>2.3942448024172339E-13</v>
      </c>
      <c r="P196" s="13">
        <f t="shared" si="141"/>
        <v>3.2492669905861755E-12</v>
      </c>
      <c r="Q196" s="20">
        <f t="shared" si="162"/>
        <v>6.0761376450252573E-12</v>
      </c>
      <c r="R196" s="59">
        <f t="shared" si="191"/>
        <v>293.3333333333394</v>
      </c>
      <c r="S196" s="59">
        <f ca="1">AVERAGE(OFFSET($R$3,0,0,'Données projet'!$E$9+1,1))-AVERAGE(OFFSET($H$3,0,0,'Données projet'!$E$9+1,1))</f>
        <v>231.91408074258248</v>
      </c>
      <c r="T196" s="59">
        <f t="shared" si="142"/>
        <v>143.57726487417773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1.2704874136759166E-22</v>
      </c>
      <c r="AC196" s="22">
        <f t="shared" si="163"/>
        <v>1.2704874136759166E-22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2.8421709430404007E-13</v>
      </c>
      <c r="AJ196" s="13">
        <f>AI196*VLOOKUP('Données projet'!$B$10,Paramètres!$A$1:$I$89,3,0)*VLOOKUP('Données projet'!$B$10,Paramètres!$A$1:$I$89,5,0)</f>
        <v>2.5715962692629546E-13</v>
      </c>
      <c r="AK196" s="13">
        <f t="shared" si="164"/>
        <v>3.4610450122128953E-12</v>
      </c>
      <c r="AL196" s="20">
        <f t="shared" si="165"/>
        <v>6.4758730798340893E-12</v>
      </c>
      <c r="AM196" s="59">
        <f t="shared" ref="AM196:AM203" si="193">AL196+(AD196+AE196)*44/12</f>
        <v>293.33333333333979</v>
      </c>
      <c r="AN196" s="59">
        <f ca="1">AVERAGE(OFFSET($AM$3,0,0,'Données projet'!$E$10+1,1))-AVERAGE(OFFSET($H$3,0,0,'Données projet'!$E$10+1,1))</f>
        <v>253.16772905022714</v>
      </c>
      <c r="AO196" s="59">
        <f t="shared" si="144"/>
        <v>156.67965022779907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1.3645975924667254E-22</v>
      </c>
      <c r="AX196" s="21">
        <f t="shared" si="166"/>
        <v>1.3645975924667254E-22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-2.8421709430404007E-14</v>
      </c>
      <c r="BE196" s="13">
        <f>BD196*VLOOKUP('Données projet'!$B$11,Paramètres!$A$1:$I$89,3,0)*VLOOKUP('Données projet'!$B$11,Paramètres!$A$1:$I$89,5,0)</f>
        <v>-1.6996182239381599E-14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119.24399403036387</v>
      </c>
      <c r="BJ196" s="59">
        <f t="shared" si="146"/>
        <v>119.60076838354843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2.9237747495468975E-25</v>
      </c>
      <c r="BS196" s="22">
        <f t="shared" si="169"/>
        <v>2.9237747495468975E-25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5.6843418860808015E-14</v>
      </c>
      <c r="BZ196" s="13">
        <f>BY196*VLOOKUP('Données projet'!$B$12,Paramètres!$A$1:$I$89,3,0)*VLOOKUP('Données projet'!$B$12,Paramètres!$A$1:$I$89,5,0)</f>
        <v>5.4978954722173515E-14</v>
      </c>
      <c r="CA196" s="13">
        <f t="shared" si="170"/>
        <v>8.8550225887742724E-13</v>
      </c>
      <c r="CB196" s="20">
        <f t="shared" si="171"/>
        <v>1.6380047803526383E-12</v>
      </c>
      <c r="CC196" s="59">
        <f t="shared" ref="CC196:CC203" si="195">CB196+(BT196+BU196)*44/12</f>
        <v>293.33333333333496</v>
      </c>
      <c r="CD196" s="59">
        <f ca="1">AVERAGE(OFFSET($CC$3,0,0,'Données projet'!$E$12+1,1))-AVERAGE(OFFSET($H$3,0,0,'Données projet'!$E$12+1,1))</f>
        <v>135.95692658150551</v>
      </c>
      <c r="CE196" s="59">
        <f t="shared" si="148"/>
        <v>79.394119001888612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16.140995959993155</v>
      </c>
      <c r="CL196" s="21">
        <f>EXP(-LN(2)/25)*CL195+(1-EXP(-LN(2)/25))/(LN(2)/25)*Calculateur!CG196*Calculateur!CI196*VLOOKUP('Données projet'!$B$12,Paramètres!$A$1:$I$89,3,0)*0.475*44/12</f>
        <v>0.1733398914885283</v>
      </c>
      <c r="CM196" s="21">
        <f>EXP(-LN(2)/2)*CM195+(1-EXP(-LN(2)/2))/(LN(2)/2)*CG196*CJ196*VLOOKUP('Données projet'!$B$12,Paramètres!$A$1:$I$89,3,0)*0.475*44/12</f>
        <v>3.1225634955859212E-11</v>
      </c>
      <c r="CN196" s="22">
        <f t="shared" si="172"/>
        <v>16.314335851512908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5.6843418860808015E-14</v>
      </c>
      <c r="CU196" s="17">
        <f>CT196*VLOOKUP('Données projet'!$B$13,Paramètres!$A$1:$I$89,3,0)*VLOOKUP('Données projet'!$B$13,Paramètres!$A$1:$I$89,5,0)</f>
        <v>6.1186256061773749E-14</v>
      </c>
      <c r="CV196" s="13">
        <f t="shared" si="173"/>
        <v>9.7328366192051127E-13</v>
      </c>
      <c r="CW196" s="20">
        <f t="shared" si="174"/>
        <v>1.8017017738191463E-12</v>
      </c>
      <c r="CX196" s="59">
        <f t="shared" ref="CX196:CX203" si="196">CW196+(CO196+CP196)*44/12</f>
        <v>293.33333333333513</v>
      </c>
      <c r="CY196" s="59">
        <f ca="1">AVERAGE(OFFSET($CX$3,0,0,'Données projet'!$E$13+1,1))-AVERAGE(OFFSET($H$3,0,0,'Données projet'!$E$13+1,1))</f>
        <v>158.74837032815333</v>
      </c>
      <c r="CZ196" s="59">
        <f t="shared" si="150"/>
        <v>92.286636088270086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17.963366471605283</v>
      </c>
      <c r="DG196" s="21">
        <f>EXP(-LN(2)/25)*DG195+(1-EXP(-LN(2)/25))/(LN(2)/25)*Calculateur!DB196*Calculateur!DD196*VLOOKUP('Données projet'!$B$13,Paramètres!$A$1:$I$89,3,0)*0.475*44/12</f>
        <v>0.19291052439852355</v>
      </c>
      <c r="DH196" s="21">
        <f>EXP(-LN(2)/2)*DH195+(1-EXP(-LN(2)/2))/(LN(2)/2)*DB196*DE196*VLOOKUP('Données projet'!$B$13,Paramètres!$A$1:$I$89,3,0)*0.475*44/12</f>
        <v>3.4751109870230397E-11</v>
      </c>
      <c r="DI196" s="22">
        <f t="shared" si="175"/>
        <v>18.15627699603856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2.8421709430404007E-13</v>
      </c>
      <c r="O197" s="13">
        <f>N197*VLOOKUP('Données projet'!$B$9,Paramètres!$A$1:$I$89,3,0)*VLOOKUP('Données projet'!$B$9,Paramètres!$A$1:$I$89,5,0)</f>
        <v>2.3942448024172339E-13</v>
      </c>
      <c r="P197" s="13">
        <f t="shared" ref="P197:P203" si="203">EXP(-1.0587+0.8836*LN(O197)+0.284)</f>
        <v>3.2492669905861755E-12</v>
      </c>
      <c r="Q197" s="20">
        <f t="shared" si="162"/>
        <v>6.0761376450252573E-12</v>
      </c>
      <c r="R197" s="59">
        <f t="shared" si="191"/>
        <v>293.3333333333394</v>
      </c>
      <c r="S197" s="59">
        <f ca="1">AVERAGE(OFFSET($R$3,0,0,'Données projet'!$E$9+1,1))-AVERAGE(OFFSET($H$3,0,0,'Données projet'!$E$9+1,1))</f>
        <v>231.91408074258248</v>
      </c>
      <c r="T197" s="59">
        <f t="shared" ref="T197:T203" si="204">$T$3</f>
        <v>143.57726487417773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8.983702656223991E-23</v>
      </c>
      <c r="AC197" s="22">
        <f t="shared" si="163"/>
        <v>8.983702656223991E-23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2.8421709430404007E-13</v>
      </c>
      <c r="AJ197" s="13">
        <f>AI197*VLOOKUP('Données projet'!$B$10,Paramètres!$A$1:$I$89,3,0)*VLOOKUP('Données projet'!$B$10,Paramètres!$A$1:$I$89,5,0)</f>
        <v>2.5715962692629546E-13</v>
      </c>
      <c r="AK197" s="13">
        <f t="shared" si="164"/>
        <v>3.4610450122128953E-12</v>
      </c>
      <c r="AL197" s="20">
        <f t="shared" si="165"/>
        <v>6.4758730798340893E-12</v>
      </c>
      <c r="AM197" s="59">
        <f t="shared" si="193"/>
        <v>293.33333333333979</v>
      </c>
      <c r="AN197" s="59">
        <f ca="1">AVERAGE(OFFSET($AM$3,0,0,'Données projet'!$E$10+1,1))-AVERAGE(OFFSET($H$3,0,0,'Données projet'!$E$10+1,1))</f>
        <v>253.16772905022714</v>
      </c>
      <c r="AO197" s="59">
        <f t="shared" ref="AO197:AO203" si="205">$AO$3</f>
        <v>156.67965022779907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9.649162112240584E-23</v>
      </c>
      <c r="AX197" s="21">
        <f t="shared" si="166"/>
        <v>9.649162112240584E-23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-2.8421709430404007E-14</v>
      </c>
      <c r="BE197" s="13">
        <f>BD197*VLOOKUP('Données projet'!$B$11,Paramètres!$A$1:$I$89,3,0)*VLOOKUP('Données projet'!$B$11,Paramètres!$A$1:$I$89,5,0)</f>
        <v>-1.6996182239381599E-14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119.24399403036387</v>
      </c>
      <c r="BJ197" s="59">
        <f t="shared" ref="BJ197:BJ203" si="206">$BJ$3</f>
        <v>119.60076838354843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2.0674209520666111E-25</v>
      </c>
      <c r="BS197" s="22">
        <f t="shared" si="169"/>
        <v>2.0674209520666111E-25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5.6843418860808015E-14</v>
      </c>
      <c r="BZ197" s="13">
        <f>BY197*VLOOKUP('Données projet'!$B$12,Paramètres!$A$1:$I$89,3,0)*VLOOKUP('Données projet'!$B$12,Paramètres!$A$1:$I$89,5,0)</f>
        <v>5.4978954722173515E-14</v>
      </c>
      <c r="CA197" s="13">
        <f t="shared" si="170"/>
        <v>8.8550225887742724E-13</v>
      </c>
      <c r="CB197" s="20">
        <f t="shared" si="171"/>
        <v>1.6380047803526383E-12</v>
      </c>
      <c r="CC197" s="59">
        <f t="shared" si="195"/>
        <v>293.33333333333496</v>
      </c>
      <c r="CD197" s="59">
        <f ca="1">AVERAGE(OFFSET($CC$3,0,0,'Données projet'!$E$12+1,1))-AVERAGE(OFFSET($H$3,0,0,'Données projet'!$E$12+1,1))</f>
        <v>135.95692658150551</v>
      </c>
      <c r="CE197" s="59">
        <f t="shared" ref="CE197:CE203" si="207">$CE$3</f>
        <v>79.394119001888612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15.824480874253108</v>
      </c>
      <c r="CL197" s="21">
        <f>EXP(-LN(2)/25)*CL196+(1-EXP(-LN(2)/25))/(LN(2)/25)*Calculateur!CG197*Calculateur!CI197*VLOOKUP('Données projet'!$B$12,Paramètres!$A$1:$I$89,3,0)*0.475*44/12</f>
        <v>0.16859990304022576</v>
      </c>
      <c r="CM197" s="21">
        <f>EXP(-LN(2)/2)*CM196+(1-EXP(-LN(2)/2))/(LN(2)/2)*CG197*CJ197*VLOOKUP('Données projet'!$B$12,Paramètres!$A$1:$I$89,3,0)*0.475*44/12</f>
        <v>2.2079858224143749E-11</v>
      </c>
      <c r="CN197" s="22">
        <f t="shared" si="172"/>
        <v>15.993080777315415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5.6843418860808015E-14</v>
      </c>
      <c r="CU197" s="17">
        <f>CT197*VLOOKUP('Données projet'!$B$13,Paramètres!$A$1:$I$89,3,0)*VLOOKUP('Données projet'!$B$13,Paramètres!$A$1:$I$89,5,0)</f>
        <v>6.1186256061773749E-14</v>
      </c>
      <c r="CV197" s="13">
        <f t="shared" si="173"/>
        <v>9.7328366192051127E-13</v>
      </c>
      <c r="CW197" s="20">
        <f t="shared" si="174"/>
        <v>1.8017017738191463E-12</v>
      </c>
      <c r="CX197" s="59">
        <f t="shared" si="196"/>
        <v>293.33333333333513</v>
      </c>
      <c r="CY197" s="59">
        <f ca="1">AVERAGE(OFFSET($CX$3,0,0,'Données projet'!$E$13+1,1))-AVERAGE(OFFSET($H$3,0,0,'Données projet'!$E$13+1,1))</f>
        <v>158.74837032815333</v>
      </c>
      <c r="CZ197" s="59">
        <f t="shared" ref="CZ197:CZ203" si="208">$CZ$3</f>
        <v>92.286636088270086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17.611115811668778</v>
      </c>
      <c r="DG197" s="21">
        <f>EXP(-LN(2)/25)*DG196+(1-EXP(-LN(2)/25))/(LN(2)/25)*Calculateur!DB197*Calculateur!DD197*VLOOKUP('Données projet'!$B$13,Paramètres!$A$1:$I$89,3,0)*0.475*44/12</f>
        <v>0.18763537596412236</v>
      </c>
      <c r="DH197" s="21">
        <f>EXP(-LN(2)/2)*DH196+(1-EXP(-LN(2)/2))/(LN(2)/2)*DB197*DE197*VLOOKUP('Données projet'!$B$13,Paramètres!$A$1:$I$89,3,0)*0.475*44/12</f>
        <v>2.4572745442998678E-11</v>
      </c>
      <c r="DI197" s="22">
        <f t="shared" si="175"/>
        <v>17.798751187657476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2.8421709430404007E-13</v>
      </c>
      <c r="O198" s="13">
        <f>N198*VLOOKUP('Données projet'!$B$9,Paramètres!$A$1:$I$89,3,0)*VLOOKUP('Données projet'!$B$9,Paramètres!$A$1:$I$89,5,0)</f>
        <v>2.3942448024172339E-13</v>
      </c>
      <c r="P198" s="13">
        <f t="shared" si="203"/>
        <v>3.2492669905861755E-12</v>
      </c>
      <c r="Q198" s="20">
        <f t="shared" si="162"/>
        <v>6.0761376450252573E-12</v>
      </c>
      <c r="R198" s="59">
        <f t="shared" si="191"/>
        <v>293.3333333333394</v>
      </c>
      <c r="S198" s="59">
        <f ca="1">AVERAGE(OFFSET($R$3,0,0,'Données projet'!$E$9+1,1))-AVERAGE(OFFSET($H$3,0,0,'Données projet'!$E$9+1,1))</f>
        <v>231.91408074258248</v>
      </c>
      <c r="T198" s="59">
        <f t="shared" si="204"/>
        <v>143.57726487417773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6.3524370683795832E-23</v>
      </c>
      <c r="AC198" s="22">
        <f t="shared" si="163"/>
        <v>6.3524370683795832E-23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2.8421709430404007E-13</v>
      </c>
      <c r="AJ198" s="13">
        <f>AI198*VLOOKUP('Données projet'!$B$10,Paramètres!$A$1:$I$89,3,0)*VLOOKUP('Données projet'!$B$10,Paramètres!$A$1:$I$89,5,0)</f>
        <v>2.5715962692629546E-13</v>
      </c>
      <c r="AK198" s="13">
        <f t="shared" si="164"/>
        <v>3.4610450122128953E-12</v>
      </c>
      <c r="AL198" s="20">
        <f t="shared" si="165"/>
        <v>6.4758730798340893E-12</v>
      </c>
      <c r="AM198" s="59">
        <f t="shared" si="193"/>
        <v>293.33333333333979</v>
      </c>
      <c r="AN198" s="59">
        <f ca="1">AVERAGE(OFFSET($AM$3,0,0,'Données projet'!$E$10+1,1))-AVERAGE(OFFSET($H$3,0,0,'Données projet'!$E$10+1,1))</f>
        <v>253.16772905022714</v>
      </c>
      <c r="AO198" s="59">
        <f t="shared" si="205"/>
        <v>156.67965022779907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6.8229879623336272E-23</v>
      </c>
      <c r="AX198" s="21">
        <f t="shared" si="166"/>
        <v>6.8229879623336272E-23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-2.8421709430404007E-14</v>
      </c>
      <c r="BE198" s="13">
        <f>BD198*VLOOKUP('Données projet'!$B$11,Paramètres!$A$1:$I$89,3,0)*VLOOKUP('Données projet'!$B$11,Paramètres!$A$1:$I$89,5,0)</f>
        <v>-1.6996182239381599E-14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119.24399403036387</v>
      </c>
      <c r="BJ198" s="59">
        <f t="shared" si="206"/>
        <v>119.60076838354843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1.461887374773449E-25</v>
      </c>
      <c r="BS198" s="22">
        <f t="shared" si="169"/>
        <v>1.461887374773449E-25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5.6843418860808015E-14</v>
      </c>
      <c r="BZ198" s="13">
        <f>BY198*VLOOKUP('Données projet'!$B$12,Paramètres!$A$1:$I$89,3,0)*VLOOKUP('Données projet'!$B$12,Paramètres!$A$1:$I$89,5,0)</f>
        <v>5.4978954722173515E-14</v>
      </c>
      <c r="CA198" s="13">
        <f t="shared" si="170"/>
        <v>8.8550225887742724E-13</v>
      </c>
      <c r="CB198" s="20">
        <f t="shared" si="171"/>
        <v>1.6380047803526383E-12</v>
      </c>
      <c r="CC198" s="59">
        <f t="shared" si="195"/>
        <v>293.33333333333496</v>
      </c>
      <c r="CD198" s="59">
        <f ca="1">AVERAGE(OFFSET($CC$3,0,0,'Données projet'!$E$12+1,1))-AVERAGE(OFFSET($H$3,0,0,'Données projet'!$E$12+1,1))</f>
        <v>135.95692658150551</v>
      </c>
      <c r="CE198" s="59">
        <f t="shared" si="207"/>
        <v>79.394119001888612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15.514172456289284</v>
      </c>
      <c r="CL198" s="21">
        <f>EXP(-LN(2)/25)*CL197+(1-EXP(-LN(2)/25))/(LN(2)/25)*Calculateur!CG198*Calculateur!CI198*VLOOKUP('Données projet'!$B$12,Paramètres!$A$1:$I$89,3,0)*0.475*44/12</f>
        <v>0.16398952982530723</v>
      </c>
      <c r="CM198" s="21">
        <f>EXP(-LN(2)/2)*CM197+(1-EXP(-LN(2)/2))/(LN(2)/2)*CG198*CJ198*VLOOKUP('Données projet'!$B$12,Paramètres!$A$1:$I$89,3,0)*0.475*44/12</f>
        <v>1.5612817477929606E-11</v>
      </c>
      <c r="CN198" s="22">
        <f t="shared" si="172"/>
        <v>15.678161986130204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5.6843418860808015E-14</v>
      </c>
      <c r="CU198" s="17">
        <f>CT198*VLOOKUP('Données projet'!$B$13,Paramètres!$A$1:$I$89,3,0)*VLOOKUP('Données projet'!$B$13,Paramètres!$A$1:$I$89,5,0)</f>
        <v>6.1186256061773749E-14</v>
      </c>
      <c r="CV198" s="13">
        <f t="shared" si="173"/>
        <v>9.7328366192051127E-13</v>
      </c>
      <c r="CW198" s="20">
        <f t="shared" si="174"/>
        <v>1.8017017738191463E-12</v>
      </c>
      <c r="CX198" s="59">
        <f t="shared" si="196"/>
        <v>293.33333333333513</v>
      </c>
      <c r="CY198" s="59">
        <f ca="1">AVERAGE(OFFSET($CX$3,0,0,'Données projet'!$E$13+1,1))-AVERAGE(OFFSET($H$3,0,0,'Données projet'!$E$13+1,1))</f>
        <v>158.74837032815333</v>
      </c>
      <c r="CZ198" s="59">
        <f t="shared" si="208"/>
        <v>92.286636088270086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17.265772572321943</v>
      </c>
      <c r="DG198" s="21">
        <f>EXP(-LN(2)/25)*DG197+(1-EXP(-LN(2)/25))/(LN(2)/25)*Calculateur!DB198*Calculateur!DD198*VLOOKUP('Données projet'!$B$13,Paramètres!$A$1:$I$89,3,0)*0.475*44/12</f>
        <v>0.18250447674106784</v>
      </c>
      <c r="DH198" s="21">
        <f>EXP(-LN(2)/2)*DH197+(1-EXP(-LN(2)/2))/(LN(2)/2)*DB198*DE198*VLOOKUP('Données projet'!$B$13,Paramètres!$A$1:$I$89,3,0)*0.475*44/12</f>
        <v>1.7375554935115199E-11</v>
      </c>
      <c r="DI198" s="22">
        <f t="shared" si="175"/>
        <v>17.448277049080389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2.8421709430404007E-13</v>
      </c>
      <c r="O199" s="13">
        <f>N199*VLOOKUP('Données projet'!$B$9,Paramètres!$A$1:$I$89,3,0)*VLOOKUP('Données projet'!$B$9,Paramètres!$A$1:$I$89,5,0)</f>
        <v>2.3942448024172339E-13</v>
      </c>
      <c r="P199" s="13">
        <f t="shared" si="203"/>
        <v>3.2492669905861755E-12</v>
      </c>
      <c r="Q199" s="20">
        <f t="shared" si="162"/>
        <v>6.0761376450252573E-12</v>
      </c>
      <c r="R199" s="59">
        <f t="shared" si="191"/>
        <v>293.3333333333394</v>
      </c>
      <c r="S199" s="59">
        <f ca="1">AVERAGE(OFFSET($R$3,0,0,'Données projet'!$E$9+1,1))-AVERAGE(OFFSET($H$3,0,0,'Données projet'!$E$9+1,1))</f>
        <v>231.91408074258248</v>
      </c>
      <c r="T199" s="59">
        <f t="shared" si="204"/>
        <v>143.57726487417773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4.4918513281119955E-23</v>
      </c>
      <c r="AC199" s="22">
        <f t="shared" si="163"/>
        <v>4.4918513281119955E-23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2.8421709430404007E-13</v>
      </c>
      <c r="AJ199" s="13">
        <f>AI199*VLOOKUP('Données projet'!$B$10,Paramètres!$A$1:$I$89,3,0)*VLOOKUP('Données projet'!$B$10,Paramètres!$A$1:$I$89,5,0)</f>
        <v>2.5715962692629546E-13</v>
      </c>
      <c r="AK199" s="13">
        <f t="shared" si="164"/>
        <v>3.4610450122128953E-12</v>
      </c>
      <c r="AL199" s="20">
        <f t="shared" si="165"/>
        <v>6.4758730798340893E-12</v>
      </c>
      <c r="AM199" s="59">
        <f t="shared" si="193"/>
        <v>293.33333333333979</v>
      </c>
      <c r="AN199" s="59">
        <f ca="1">AVERAGE(OFFSET($AM$3,0,0,'Données projet'!$E$10+1,1))-AVERAGE(OFFSET($H$3,0,0,'Données projet'!$E$10+1,1))</f>
        <v>253.16772905022714</v>
      </c>
      <c r="AO199" s="59">
        <f t="shared" si="205"/>
        <v>156.67965022779907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4.824581056120292E-23</v>
      </c>
      <c r="AX199" s="21">
        <f t="shared" si="166"/>
        <v>4.824581056120292E-23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-2.8421709430404007E-14</v>
      </c>
      <c r="BE199" s="13">
        <f>BD199*VLOOKUP('Données projet'!$B$11,Paramètres!$A$1:$I$89,3,0)*VLOOKUP('Données projet'!$B$11,Paramètres!$A$1:$I$89,5,0)</f>
        <v>-1.6996182239381599E-14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119.24399403036387</v>
      </c>
      <c r="BJ199" s="59">
        <f t="shared" si="206"/>
        <v>119.60076838354843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1.0337104760333057E-25</v>
      </c>
      <c r="BS199" s="22">
        <f t="shared" si="169"/>
        <v>1.0337104760333057E-25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5.6843418860808015E-14</v>
      </c>
      <c r="BZ199" s="13">
        <f>BY199*VLOOKUP('Données projet'!$B$12,Paramètres!$A$1:$I$89,3,0)*VLOOKUP('Données projet'!$B$12,Paramètres!$A$1:$I$89,5,0)</f>
        <v>5.4978954722173515E-14</v>
      </c>
      <c r="CA199" s="13">
        <f t="shared" si="170"/>
        <v>8.8550225887742724E-13</v>
      </c>
      <c r="CB199" s="20">
        <f t="shared" si="171"/>
        <v>1.6380047803526383E-12</v>
      </c>
      <c r="CC199" s="59">
        <f t="shared" si="195"/>
        <v>293.33333333333496</v>
      </c>
      <c r="CD199" s="59">
        <f ca="1">AVERAGE(OFFSET($CC$3,0,0,'Données projet'!$E$12+1,1))-AVERAGE(OFFSET($H$3,0,0,'Données projet'!$E$12+1,1))</f>
        <v>135.95692658150551</v>
      </c>
      <c r="CE199" s="59">
        <f t="shared" si="207"/>
        <v>79.394119001888612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15.209948997132285</v>
      </c>
      <c r="CL199" s="21">
        <f>EXP(-LN(2)/25)*CL198+(1-EXP(-LN(2)/25))/(LN(2)/25)*Calculateur!CG199*Calculateur!CI199*VLOOKUP('Données projet'!$B$12,Paramètres!$A$1:$I$89,3,0)*0.475*44/12</f>
        <v>0.15950522750839963</v>
      </c>
      <c r="CM199" s="21">
        <f>EXP(-LN(2)/2)*CM198+(1-EXP(-LN(2)/2))/(LN(2)/2)*CG199*CJ199*VLOOKUP('Données projet'!$B$12,Paramètres!$A$1:$I$89,3,0)*0.475*44/12</f>
        <v>1.1039929112071875E-11</v>
      </c>
      <c r="CN199" s="22">
        <f t="shared" si="172"/>
        <v>15.369454224651724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5.6843418860808015E-14</v>
      </c>
      <c r="CU199" s="17">
        <f>CT199*VLOOKUP('Données projet'!$B$13,Paramètres!$A$1:$I$89,3,0)*VLOOKUP('Données projet'!$B$13,Paramètres!$A$1:$I$89,5,0)</f>
        <v>6.1186256061773749E-14</v>
      </c>
      <c r="CV199" s="13">
        <f t="shared" si="173"/>
        <v>9.7328366192051127E-13</v>
      </c>
      <c r="CW199" s="20">
        <f t="shared" si="174"/>
        <v>1.8017017738191463E-12</v>
      </c>
      <c r="CX199" s="59">
        <f t="shared" si="196"/>
        <v>293.33333333333513</v>
      </c>
      <c r="CY199" s="59">
        <f ca="1">AVERAGE(OFFSET($CX$3,0,0,'Données projet'!$E$13+1,1))-AVERAGE(OFFSET($H$3,0,0,'Données projet'!$E$13+1,1))</f>
        <v>158.74837032815333</v>
      </c>
      <c r="CZ199" s="59">
        <f t="shared" si="208"/>
        <v>92.286636088270086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16.927201303260119</v>
      </c>
      <c r="DG199" s="21">
        <f>EXP(-LN(2)/25)*DG198+(1-EXP(-LN(2)/25))/(LN(2)/25)*Calculateur!DB199*Calculateur!DD199*VLOOKUP('Données projet'!$B$13,Paramètres!$A$1:$I$89,3,0)*0.475*44/12</f>
        <v>0.17751388222709003</v>
      </c>
      <c r="DH199" s="21">
        <f>EXP(-LN(2)/2)*DH198+(1-EXP(-LN(2)/2))/(LN(2)/2)*DB199*DE199*VLOOKUP('Données projet'!$B$13,Paramètres!$A$1:$I$89,3,0)*0.475*44/12</f>
        <v>1.2286372721499339E-11</v>
      </c>
      <c r="DI199" s="22">
        <f t="shared" si="175"/>
        <v>17.104715185499494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2.8421709430404007E-13</v>
      </c>
      <c r="O200" s="13">
        <f>N200*VLOOKUP('Données projet'!$B$9,Paramètres!$A$1:$I$89,3,0)*VLOOKUP('Données projet'!$B$9,Paramètres!$A$1:$I$89,5,0)</f>
        <v>2.3942448024172339E-13</v>
      </c>
      <c r="P200" s="13">
        <f t="shared" si="203"/>
        <v>3.2492669905861755E-12</v>
      </c>
      <c r="Q200" s="20">
        <f t="shared" si="162"/>
        <v>6.0761376450252573E-12</v>
      </c>
      <c r="R200" s="59">
        <f t="shared" si="191"/>
        <v>293.3333333333394</v>
      </c>
      <c r="S200" s="59">
        <f ca="1">AVERAGE(OFFSET($R$3,0,0,'Données projet'!$E$9+1,1))-AVERAGE(OFFSET($H$3,0,0,'Données projet'!$E$9+1,1))</f>
        <v>231.91408074258248</v>
      </c>
      <c r="T200" s="59">
        <f t="shared" si="204"/>
        <v>143.57726487417773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3.1762185341897916E-23</v>
      </c>
      <c r="AC200" s="22">
        <f t="shared" si="163"/>
        <v>3.1762185341897916E-23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2.8421709430404007E-13</v>
      </c>
      <c r="AJ200" s="13">
        <f>AI200*VLOOKUP('Données projet'!$B$10,Paramètres!$A$1:$I$89,3,0)*VLOOKUP('Données projet'!$B$10,Paramètres!$A$1:$I$89,5,0)</f>
        <v>2.5715962692629546E-13</v>
      </c>
      <c r="AK200" s="13">
        <f t="shared" si="164"/>
        <v>3.4610450122128953E-12</v>
      </c>
      <c r="AL200" s="20">
        <f t="shared" si="165"/>
        <v>6.4758730798340893E-12</v>
      </c>
      <c r="AM200" s="59">
        <f t="shared" si="193"/>
        <v>293.33333333333979</v>
      </c>
      <c r="AN200" s="59">
        <f ca="1">AVERAGE(OFFSET($AM$3,0,0,'Données projet'!$E$10+1,1))-AVERAGE(OFFSET($H$3,0,0,'Données projet'!$E$10+1,1))</f>
        <v>253.16772905022714</v>
      </c>
      <c r="AO200" s="59">
        <f t="shared" si="205"/>
        <v>156.67965022779907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3.4114939811668136E-23</v>
      </c>
      <c r="AX200" s="21">
        <f t="shared" si="166"/>
        <v>3.4114939811668136E-23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-2.8421709430404007E-14</v>
      </c>
      <c r="BE200" s="13">
        <f>BD200*VLOOKUP('Données projet'!$B$11,Paramètres!$A$1:$I$89,3,0)*VLOOKUP('Données projet'!$B$11,Paramètres!$A$1:$I$89,5,0)</f>
        <v>-1.6996182239381599E-14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119.24399403036387</v>
      </c>
      <c r="BJ200" s="59">
        <f t="shared" si="206"/>
        <v>119.60076838354843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7.3094368738672461E-26</v>
      </c>
      <c r="BS200" s="22">
        <f t="shared" si="169"/>
        <v>7.3094368738672461E-26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5.6843418860808015E-14</v>
      </c>
      <c r="BZ200" s="13">
        <f>BY200*VLOOKUP('Données projet'!$B$12,Paramètres!$A$1:$I$89,3,0)*VLOOKUP('Données projet'!$B$12,Paramètres!$A$1:$I$89,5,0)</f>
        <v>5.4978954722173515E-14</v>
      </c>
      <c r="CA200" s="13">
        <f t="shared" si="170"/>
        <v>8.8550225887742724E-13</v>
      </c>
      <c r="CB200" s="20">
        <f t="shared" si="171"/>
        <v>1.6380047803526383E-12</v>
      </c>
      <c r="CC200" s="59">
        <f t="shared" si="195"/>
        <v>293.33333333333496</v>
      </c>
      <c r="CD200" s="59">
        <f ca="1">AVERAGE(OFFSET($CC$3,0,0,'Données projet'!$E$12+1,1))-AVERAGE(OFFSET($H$3,0,0,'Données projet'!$E$12+1,1))</f>
        <v>135.95692658150551</v>
      </c>
      <c r="CE200" s="59">
        <f t="shared" si="207"/>
        <v>79.394119001888612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14.911691174451366</v>
      </c>
      <c r="CL200" s="21">
        <f>EXP(-LN(2)/25)*CL199+(1-EXP(-LN(2)/25))/(LN(2)/25)*Calculateur!CG200*Calculateur!CI200*VLOOKUP('Données projet'!$B$12,Paramètres!$A$1:$I$89,3,0)*0.475*44/12</f>
        <v>0.15514354867416708</v>
      </c>
      <c r="CM200" s="21">
        <f>EXP(-LN(2)/2)*CM199+(1-EXP(-LN(2)/2))/(LN(2)/2)*CG200*CJ200*VLOOKUP('Données projet'!$B$12,Paramètres!$A$1:$I$89,3,0)*0.475*44/12</f>
        <v>7.8064087389648029E-12</v>
      </c>
      <c r="CN200" s="22">
        <f t="shared" si="172"/>
        <v>15.06683472313334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5.6843418860808015E-14</v>
      </c>
      <c r="CU200" s="17">
        <f>CT200*VLOOKUP('Données projet'!$B$13,Paramètres!$A$1:$I$89,3,0)*VLOOKUP('Données projet'!$B$13,Paramètres!$A$1:$I$89,5,0)</f>
        <v>6.1186256061773749E-14</v>
      </c>
      <c r="CV200" s="13">
        <f t="shared" si="173"/>
        <v>9.7328366192051127E-13</v>
      </c>
      <c r="CW200" s="20">
        <f t="shared" si="174"/>
        <v>1.8017017738191463E-12</v>
      </c>
      <c r="CX200" s="59">
        <f t="shared" si="196"/>
        <v>293.33333333333513</v>
      </c>
      <c r="CY200" s="59">
        <f ca="1">AVERAGE(OFFSET($CX$3,0,0,'Données projet'!$E$13+1,1))-AVERAGE(OFFSET($H$3,0,0,'Données projet'!$E$13+1,1))</f>
        <v>158.74837032815333</v>
      </c>
      <c r="CZ200" s="59">
        <f t="shared" si="208"/>
        <v>92.286636088270086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16.595269210276516</v>
      </c>
      <c r="DG200" s="21">
        <f>EXP(-LN(2)/25)*DG199+(1-EXP(-LN(2)/25))/(LN(2)/25)*Calculateur!DB200*Calculateur!DD200*VLOOKUP('Données projet'!$B$13,Paramètres!$A$1:$I$89,3,0)*0.475*44/12</f>
        <v>0.17265975578254089</v>
      </c>
      <c r="DH200" s="21">
        <f>EXP(-LN(2)/2)*DH199+(1-EXP(-LN(2)/2))/(LN(2)/2)*DB200*DE200*VLOOKUP('Données projet'!$B$13,Paramètres!$A$1:$I$89,3,0)*0.475*44/12</f>
        <v>8.6877774675575993E-12</v>
      </c>
      <c r="DI200" s="22">
        <f t="shared" si="175"/>
        <v>16.767928966067743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2.8421709430404007E-13</v>
      </c>
      <c r="O201" s="13">
        <f>N201*VLOOKUP('Données projet'!$B$9,Paramètres!$A$1:$I$89,3,0)*VLOOKUP('Données projet'!$B$9,Paramètres!$A$1:$I$89,5,0)</f>
        <v>2.3942448024172339E-13</v>
      </c>
      <c r="P201" s="13">
        <f t="shared" si="203"/>
        <v>3.2492669905861755E-12</v>
      </c>
      <c r="Q201" s="20">
        <f t="shared" si="162"/>
        <v>6.0761376450252573E-12</v>
      </c>
      <c r="R201" s="59">
        <f t="shared" si="191"/>
        <v>293.3333333333394</v>
      </c>
      <c r="S201" s="59">
        <f ca="1">AVERAGE(OFFSET($R$3,0,0,'Données projet'!$E$9+1,1))-AVERAGE(OFFSET($H$3,0,0,'Données projet'!$E$9+1,1))</f>
        <v>231.91408074258248</v>
      </c>
      <c r="T201" s="59">
        <f t="shared" si="204"/>
        <v>143.57726487417773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2.2459256640559977E-23</v>
      </c>
      <c r="AC201" s="22">
        <f t="shared" si="163"/>
        <v>2.2459256640559977E-23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2.8421709430404007E-13</v>
      </c>
      <c r="AJ201" s="13">
        <f>AI201*VLOOKUP('Données projet'!$B$10,Paramètres!$A$1:$I$89,3,0)*VLOOKUP('Données projet'!$B$10,Paramètres!$A$1:$I$89,5,0)</f>
        <v>2.5715962692629546E-13</v>
      </c>
      <c r="AK201" s="13">
        <f t="shared" si="164"/>
        <v>3.4610450122128953E-12</v>
      </c>
      <c r="AL201" s="20">
        <f t="shared" si="165"/>
        <v>6.4758730798340893E-12</v>
      </c>
      <c r="AM201" s="59">
        <f t="shared" si="193"/>
        <v>293.33333333333979</v>
      </c>
      <c r="AN201" s="59">
        <f ca="1">AVERAGE(OFFSET($AM$3,0,0,'Données projet'!$E$10+1,1))-AVERAGE(OFFSET($H$3,0,0,'Données projet'!$E$10+1,1))</f>
        <v>253.16772905022714</v>
      </c>
      <c r="AO201" s="59">
        <f t="shared" si="205"/>
        <v>156.67965022779907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2.412290528060146E-23</v>
      </c>
      <c r="AX201" s="21">
        <f t="shared" si="166"/>
        <v>2.412290528060146E-23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-2.8421709430404007E-14</v>
      </c>
      <c r="BE201" s="13">
        <f>BD201*VLOOKUP('Données projet'!$B$11,Paramètres!$A$1:$I$89,3,0)*VLOOKUP('Données projet'!$B$11,Paramètres!$A$1:$I$89,5,0)</f>
        <v>-1.6996182239381599E-14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119.24399403036387</v>
      </c>
      <c r="BJ201" s="59">
        <f t="shared" si="206"/>
        <v>119.60076838354843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5.1685523801665289E-26</v>
      </c>
      <c r="BS201" s="22">
        <f t="shared" si="169"/>
        <v>5.1685523801665289E-26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5.6843418860808015E-14</v>
      </c>
      <c r="BZ201" s="13">
        <f>BY201*VLOOKUP('Données projet'!$B$12,Paramètres!$A$1:$I$89,3,0)*VLOOKUP('Données projet'!$B$12,Paramètres!$A$1:$I$89,5,0)</f>
        <v>5.4978954722173515E-14</v>
      </c>
      <c r="CA201" s="13">
        <f t="shared" si="170"/>
        <v>8.8550225887742724E-13</v>
      </c>
      <c r="CB201" s="20">
        <f t="shared" si="171"/>
        <v>1.6380047803526383E-12</v>
      </c>
      <c r="CC201" s="59">
        <f t="shared" si="195"/>
        <v>293.33333333333496</v>
      </c>
      <c r="CD201" s="59">
        <f ca="1">AVERAGE(OFFSET($CC$3,0,0,'Données projet'!$E$12+1,1))-AVERAGE(OFFSET($H$3,0,0,'Données projet'!$E$12+1,1))</f>
        <v>135.95692658150551</v>
      </c>
      <c r="CE201" s="59">
        <f t="shared" si="207"/>
        <v>79.394119001888612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14.619282005753911</v>
      </c>
      <c r="CL201" s="21">
        <f>EXP(-LN(2)/25)*CL200+(1-EXP(-LN(2)/25))/(LN(2)/25)*Calculateur!CG201*Calculateur!CI201*VLOOKUP('Données projet'!$B$12,Paramètres!$A$1:$I$89,3,0)*0.475*44/12</f>
        <v>0.15090114017702733</v>
      </c>
      <c r="CM201" s="21">
        <f>EXP(-LN(2)/2)*CM200+(1-EXP(-LN(2)/2))/(LN(2)/2)*CG201*CJ201*VLOOKUP('Données projet'!$B$12,Paramètres!$A$1:$I$89,3,0)*0.475*44/12</f>
        <v>5.5199645560359374E-12</v>
      </c>
      <c r="CN201" s="22">
        <f t="shared" si="172"/>
        <v>14.770183145936457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5.6843418860808015E-14</v>
      </c>
      <c r="CU201" s="17">
        <f>CT201*VLOOKUP('Données projet'!$B$13,Paramètres!$A$1:$I$89,3,0)*VLOOKUP('Données projet'!$B$13,Paramètres!$A$1:$I$89,5,0)</f>
        <v>6.1186256061773749E-14</v>
      </c>
      <c r="CV201" s="13">
        <f t="shared" si="173"/>
        <v>9.7328366192051127E-13</v>
      </c>
      <c r="CW201" s="20">
        <f t="shared" si="174"/>
        <v>1.8017017738191463E-12</v>
      </c>
      <c r="CX201" s="59">
        <f t="shared" si="196"/>
        <v>293.33333333333513</v>
      </c>
      <c r="CY201" s="59">
        <f ca="1">AVERAGE(OFFSET($CX$3,0,0,'Données projet'!$E$13+1,1))-AVERAGE(OFFSET($H$3,0,0,'Données projet'!$E$13+1,1))</f>
        <v>158.74837032815333</v>
      </c>
      <c r="CZ201" s="59">
        <f t="shared" si="208"/>
        <v>92.286636088270086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16.269846103177738</v>
      </c>
      <c r="DG201" s="21">
        <f>EXP(-LN(2)/25)*DG200+(1-EXP(-LN(2)/25))/(LN(2)/25)*Calculateur!DB201*Calculateur!DD201*VLOOKUP('Données projet'!$B$13,Paramètres!$A$1:$I$89,3,0)*0.475*44/12</f>
        <v>0.16793836568088538</v>
      </c>
      <c r="DH201" s="21">
        <f>EXP(-LN(2)/2)*DH200+(1-EXP(-LN(2)/2))/(LN(2)/2)*DB201*DE201*VLOOKUP('Données projet'!$B$13,Paramètres!$A$1:$I$89,3,0)*0.475*44/12</f>
        <v>6.1431863607496694E-12</v>
      </c>
      <c r="DI201" s="22">
        <f t="shared" si="175"/>
        <v>16.437784468864766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2.8421709430404007E-13</v>
      </c>
      <c r="O202" s="13">
        <f>N202*VLOOKUP('Données projet'!$B$9,Paramètres!$A$1:$I$89,3,0)*VLOOKUP('Données projet'!$B$9,Paramètres!$A$1:$I$89,5,0)</f>
        <v>2.3942448024172339E-13</v>
      </c>
      <c r="P202" s="13">
        <f t="shared" si="203"/>
        <v>3.2492669905861755E-12</v>
      </c>
      <c r="Q202" s="20">
        <f t="shared" si="162"/>
        <v>6.0761376450252573E-12</v>
      </c>
      <c r="R202" s="59">
        <f t="shared" si="191"/>
        <v>293.3333333333394</v>
      </c>
      <c r="S202" s="59">
        <f ca="1">AVERAGE(OFFSET($R$3,0,0,'Données projet'!$E$9+1,1))-AVERAGE(OFFSET($H$3,0,0,'Données projet'!$E$9+1,1))</f>
        <v>231.91408074258248</v>
      </c>
      <c r="T202" s="59">
        <f t="shared" si="204"/>
        <v>143.57726487417773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1.5881092670948958E-23</v>
      </c>
      <c r="AC202" s="22">
        <f t="shared" si="163"/>
        <v>1.5881092670948958E-23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2.8421709430404007E-13</v>
      </c>
      <c r="AJ202" s="13">
        <f>AI202*VLOOKUP('Données projet'!$B$10,Paramètres!$A$1:$I$89,3,0)*VLOOKUP('Données projet'!$B$10,Paramètres!$A$1:$I$89,5,0)</f>
        <v>2.5715962692629546E-13</v>
      </c>
      <c r="AK202" s="13">
        <f t="shared" si="164"/>
        <v>3.4610450122128953E-12</v>
      </c>
      <c r="AL202" s="20">
        <f t="shared" si="165"/>
        <v>6.4758730798340893E-12</v>
      </c>
      <c r="AM202" s="59">
        <f t="shared" si="193"/>
        <v>293.33333333333979</v>
      </c>
      <c r="AN202" s="59">
        <f ca="1">AVERAGE(OFFSET($AM$3,0,0,'Données projet'!$E$10+1,1))-AVERAGE(OFFSET($H$3,0,0,'Données projet'!$E$10+1,1))</f>
        <v>253.16772905022714</v>
      </c>
      <c r="AO202" s="59">
        <f t="shared" si="205"/>
        <v>156.67965022779907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1.7057469905834068E-23</v>
      </c>
      <c r="AX202" s="21">
        <f t="shared" si="166"/>
        <v>1.7057469905834068E-23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-2.8421709430404007E-14</v>
      </c>
      <c r="BE202" s="13">
        <f>BD202*VLOOKUP('Données projet'!$B$11,Paramètres!$A$1:$I$89,3,0)*VLOOKUP('Données projet'!$B$11,Paramètres!$A$1:$I$89,5,0)</f>
        <v>-1.6996182239381599E-14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119.24399403036387</v>
      </c>
      <c r="BJ202" s="59">
        <f t="shared" si="206"/>
        <v>119.60076838354843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3.6547184369336236E-26</v>
      </c>
      <c r="BS202" s="22">
        <f t="shared" si="169"/>
        <v>3.6547184369336236E-26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5.6843418860808015E-14</v>
      </c>
      <c r="BZ202" s="13">
        <f>BY202*VLOOKUP('Données projet'!$B$12,Paramètres!$A$1:$I$89,3,0)*VLOOKUP('Données projet'!$B$12,Paramètres!$A$1:$I$89,5,0)</f>
        <v>5.4978954722173515E-14</v>
      </c>
      <c r="CA202" s="13">
        <f t="shared" si="170"/>
        <v>8.8550225887742724E-13</v>
      </c>
      <c r="CB202" s="20">
        <f t="shared" si="171"/>
        <v>1.6380047803526383E-12</v>
      </c>
      <c r="CC202" s="59">
        <f t="shared" si="195"/>
        <v>293.33333333333496</v>
      </c>
      <c r="CD202" s="59">
        <f ca="1">AVERAGE(OFFSET($CC$3,0,0,'Données projet'!$E$12+1,1))-AVERAGE(OFFSET($H$3,0,0,'Données projet'!$E$12+1,1))</f>
        <v>135.95692658150551</v>
      </c>
      <c r="CE202" s="59">
        <f t="shared" si="207"/>
        <v>79.394119001888612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14.332606802502632</v>
      </c>
      <c r="CL202" s="21">
        <f>EXP(-LN(2)/25)*CL201+(1-EXP(-LN(2)/25))/(LN(2)/25)*Calculateur!CG202*Calculateur!CI202*VLOOKUP('Données projet'!$B$12,Paramètres!$A$1:$I$89,3,0)*0.475*44/12</f>
        <v>0.14677474056334044</v>
      </c>
      <c r="CM202" s="21">
        <f>EXP(-LN(2)/2)*CM201+(1-EXP(-LN(2)/2))/(LN(2)/2)*CG202*CJ202*VLOOKUP('Données projet'!$B$12,Paramètres!$A$1:$I$89,3,0)*0.475*44/12</f>
        <v>3.9032043694824015E-12</v>
      </c>
      <c r="CN202" s="22">
        <f t="shared" si="172"/>
        <v>14.479381543069875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5.6843418860808015E-14</v>
      </c>
      <c r="CU202" s="17">
        <f>CT202*VLOOKUP('Données projet'!$B$13,Paramètres!$A$1:$I$89,3,0)*VLOOKUP('Données projet'!$B$13,Paramètres!$A$1:$I$89,5,0)</f>
        <v>6.1186256061773749E-14</v>
      </c>
      <c r="CV202" s="13">
        <f t="shared" si="173"/>
        <v>9.7328366192051127E-13</v>
      </c>
      <c r="CW202" s="20">
        <f t="shared" si="174"/>
        <v>1.8017017738191463E-12</v>
      </c>
      <c r="CX202" s="59">
        <f t="shared" si="196"/>
        <v>293.33333333333513</v>
      </c>
      <c r="CY202" s="59">
        <f ca="1">AVERAGE(OFFSET($CX$3,0,0,'Données projet'!$E$13+1,1))-AVERAGE(OFFSET($H$3,0,0,'Données projet'!$E$13+1,1))</f>
        <v>158.74837032815333</v>
      </c>
      <c r="CZ202" s="59">
        <f t="shared" si="208"/>
        <v>92.286636088270086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15.950804344720668</v>
      </c>
      <c r="DG202" s="21">
        <f>EXP(-LN(2)/25)*DG201+(1-EXP(-LN(2)/25))/(LN(2)/25)*Calculateur!DB202*Calculateur!DD202*VLOOKUP('Données projet'!$B$13,Paramètres!$A$1:$I$89,3,0)*0.475*44/12</f>
        <v>0.16334608223984676</v>
      </c>
      <c r="DH202" s="21">
        <f>EXP(-LN(2)/2)*DH201+(1-EXP(-LN(2)/2))/(LN(2)/2)*DB202*DE202*VLOOKUP('Données projet'!$B$13,Paramètres!$A$1:$I$89,3,0)*0.475*44/12</f>
        <v>4.3438887337787996E-12</v>
      </c>
      <c r="DI202" s="22">
        <f t="shared" si="175"/>
        <v>16.114150426964859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2.8421709430404007E-13</v>
      </c>
      <c r="O203" s="13">
        <f>N203*VLOOKUP('Données projet'!$B$9,Paramètres!$A$1:$I$89,3,0)*VLOOKUP('Données projet'!$B$9,Paramètres!$A$1:$I$89,5,0)</f>
        <v>2.3942448024172339E-13</v>
      </c>
      <c r="P203" s="13">
        <f t="shared" si="203"/>
        <v>3.2492669905861755E-12</v>
      </c>
      <c r="Q203" s="20">
        <f t="shared" si="162"/>
        <v>6.0761376450252573E-12</v>
      </c>
      <c r="R203" s="59">
        <f t="shared" si="191"/>
        <v>293.3333333333394</v>
      </c>
      <c r="S203" s="59">
        <f ca="1">AVERAGE(OFFSET($R$3,0,0,'Données projet'!$E$9+1,1))-AVERAGE(OFFSET($H$3,0,0,'Données projet'!$E$9+1,1))</f>
        <v>231.91408074258248</v>
      </c>
      <c r="T203" s="59">
        <f t="shared" si="204"/>
        <v>143.57726487417773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1.1229628320279989E-23</v>
      </c>
      <c r="AC203" s="22">
        <f t="shared" si="163"/>
        <v>1.1229628320279989E-23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2.8421709430404007E-13</v>
      </c>
      <c r="AJ203" s="13">
        <f>AI203*VLOOKUP('Données projet'!$B$10,Paramètres!$A$1:$I$89,3,0)*VLOOKUP('Données projet'!$B$10,Paramètres!$A$1:$I$89,5,0)</f>
        <v>2.5715962692629546E-13</v>
      </c>
      <c r="AK203" s="13">
        <f t="shared" si="164"/>
        <v>3.4610450122128953E-12</v>
      </c>
      <c r="AL203" s="20">
        <f t="shared" si="165"/>
        <v>6.4758730798340893E-12</v>
      </c>
      <c r="AM203" s="59">
        <f t="shared" si="193"/>
        <v>293.33333333333979</v>
      </c>
      <c r="AN203" s="59">
        <f ca="1">AVERAGE(OFFSET($AM$3,0,0,'Données projet'!$E$10+1,1))-AVERAGE(OFFSET($H$3,0,0,'Données projet'!$E$10+1,1))</f>
        <v>253.16772905022714</v>
      </c>
      <c r="AO203" s="59">
        <f t="shared" si="205"/>
        <v>156.67965022779907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1.206145264030073E-23</v>
      </c>
      <c r="AX203" s="21">
        <f t="shared" si="166"/>
        <v>1.206145264030073E-23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-2.8421709430404007E-14</v>
      </c>
      <c r="BE203" s="13">
        <f>BD203*VLOOKUP('Données projet'!$B$11,Paramètres!$A$1:$I$89,3,0)*VLOOKUP('Données projet'!$B$11,Paramètres!$A$1:$I$89,5,0)</f>
        <v>-1.6996182239381599E-14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119.24399403036387</v>
      </c>
      <c r="BJ203" s="59">
        <f t="shared" si="206"/>
        <v>119.60076838354843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2.584276190083265E-26</v>
      </c>
      <c r="BS203" s="22">
        <f t="shared" si="169"/>
        <v>2.584276190083265E-26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5.6843418860808015E-14</v>
      </c>
      <c r="BZ203" s="13">
        <f>BY203*VLOOKUP('Données projet'!$B$12,Paramètres!$A$1:$I$89,3,0)*VLOOKUP('Données projet'!$B$12,Paramètres!$A$1:$I$89,5,0)</f>
        <v>5.4978954722173515E-14</v>
      </c>
      <c r="CA203" s="13">
        <f t="shared" si="170"/>
        <v>8.8550225887742724E-13</v>
      </c>
      <c r="CB203" s="20">
        <f t="shared" si="171"/>
        <v>1.6380047803526383E-12</v>
      </c>
      <c r="CC203" s="59">
        <f t="shared" si="195"/>
        <v>293.33333333333496</v>
      </c>
      <c r="CD203" s="59">
        <f ca="1">AVERAGE(OFFSET($CC$3,0,0,'Données projet'!$E$12+1,1))-AVERAGE(OFFSET($H$3,0,0,'Données projet'!$E$12+1,1))</f>
        <v>135.95692658150551</v>
      </c>
      <c r="CE203" s="59">
        <f t="shared" si="207"/>
        <v>79.394119001888612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14.051553125132502</v>
      </c>
      <c r="CL203" s="21">
        <f>EXP(-LN(2)/25)*CL202+(1-EXP(-LN(2)/25))/(LN(2)/25)*Calculateur!CG203*Calculateur!CI203*VLOOKUP('Données projet'!$B$12,Paramètres!$A$1:$I$89,3,0)*0.475*44/12</f>
        <v>0.14276117756408777</v>
      </c>
      <c r="CM203" s="21">
        <f>EXP(-LN(2)/2)*CM202+(1-EXP(-LN(2)/2))/(LN(2)/2)*CG203*CJ203*VLOOKUP('Données projet'!$B$12,Paramètres!$A$1:$I$89,3,0)*0.475*44/12</f>
        <v>2.7599822780179687E-12</v>
      </c>
      <c r="CN203" s="22">
        <f t="shared" si="172"/>
        <v>14.19431430269935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5.6843418860808015E-14</v>
      </c>
      <c r="CU203" s="17">
        <f>CT203*VLOOKUP('Données projet'!$B$13,Paramètres!$A$1:$I$89,3,0)*VLOOKUP('Données projet'!$B$13,Paramètres!$A$1:$I$89,5,0)</f>
        <v>6.1186256061773749E-14</v>
      </c>
      <c r="CV203" s="13">
        <f t="shared" si="173"/>
        <v>9.7328366192051127E-13</v>
      </c>
      <c r="CW203" s="20">
        <f t="shared" si="174"/>
        <v>1.8017017738191463E-12</v>
      </c>
      <c r="CX203" s="59">
        <f t="shared" si="196"/>
        <v>293.33333333333513</v>
      </c>
      <c r="CY203" s="59">
        <f ca="1">AVERAGE(OFFSET($CX$3,0,0,'Données projet'!$E$13+1,1))-AVERAGE(OFFSET($H$3,0,0,'Données projet'!$E$13+1,1))</f>
        <v>158.74837032815333</v>
      </c>
      <c r="CZ203" s="59">
        <f t="shared" si="208"/>
        <v>92.286636088270086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15.638018800550684</v>
      </c>
      <c r="DG203" s="21">
        <f>EXP(-LN(2)/25)*DG202+(1-EXP(-LN(2)/25))/(LN(2)/25)*Calculateur!DB203*Calculateur!DD203*VLOOKUP('Données projet'!$B$13,Paramètres!$A$1:$I$89,3,0)*0.475*44/12</f>
        <v>0.15887937503100102</v>
      </c>
      <c r="DH203" s="21">
        <f>EXP(-LN(2)/2)*DH202+(1-EXP(-LN(2)/2))/(LN(2)/2)*DB203*DE203*VLOOKUP('Données projet'!$B$13,Paramètres!$A$1:$I$89,3,0)*0.475*44/12</f>
        <v>3.0715931803748347E-12</v>
      </c>
      <c r="DI203" s="22">
        <f t="shared" si="175"/>
        <v>15.796898175584756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1.2054868146447177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1.2054868146447177</v>
      </c>
      <c r="BA205" s="82">
        <f>EXP(LN('Données projet'!B88)/'Données projet'!A88)</f>
        <v>1.3076604860118306</v>
      </c>
      <c r="BV205" s="82">
        <f>EXP(LN('Données projet'!B114)/'Données projet'!A114)</f>
        <v>1.1644235083052243</v>
      </c>
      <c r="CQ205" s="82">
        <f>EXP(LN('Données projet'!B140)/'Données projet'!A140)</f>
        <v>1.1644235083052243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Chêne pédonculé</v>
      </c>
      <c r="B6" s="146">
        <f>'Données projet'!D9</f>
        <v>0.3745</v>
      </c>
      <c r="C6" s="147">
        <f ca="1">IF(OR('Données projet'!B9="",'Données projet'!C9="",'Données projet'!C9=0%),0,Calculateur!S3)</f>
        <v>231.91408074258248</v>
      </c>
      <c r="D6" s="147">
        <f>IF(OR('Données projet'!B9="",'Données projet'!C9="",'Données projet'!C9=0%),0,Calculateur!T3)</f>
        <v>143.57726487417773</v>
      </c>
      <c r="E6" s="147">
        <f ca="1">MIN(C6,D6)</f>
        <v>143.57726487417773</v>
      </c>
      <c r="F6" s="147">
        <f ca="1">E6*B6</f>
        <v>53.769685695379557</v>
      </c>
      <c r="G6" s="147">
        <f ca="1">F6*(100%-'Données projet'!$C$24)*(100%-'Données projet'!$C$25)*(100%-'Données projet'!$C$26)*(100%-'Données projet'!$C$27)</f>
        <v>48.3927171258416</v>
      </c>
      <c r="H6" s="148">
        <f>IF(OR('Données projet'!B9="",'Données projet'!C9="",'Données projet'!C9=0%),0,AVERAGE(Calculateur!$AC$3:$AC$33)*B6)</f>
        <v>0.17245040816778442</v>
      </c>
      <c r="I6" s="149">
        <f>H6*(100%-'Données projet'!$C$24)*(100%-'Données projet'!$C$25)*(100%-'Données projet'!$C$26)*(100%-'Données projet'!$C$27)</f>
        <v>0.15520536735100599</v>
      </c>
      <c r="J6" s="150">
        <f>IF(OR('Données projet'!B9="",'Données projet'!C9="",'Données projet'!C9=0%),0,SUM(Calculateur!$V$3:$V$33)*VLOOKUP('Données projet'!$B$9,Paramètres!$A$1:$I$89,9,0)*B6)</f>
        <v>2.715125</v>
      </c>
      <c r="K6" s="151">
        <f>J6*(100%-'Données projet'!$C$24)*(100%-'Données projet'!$C$25)*(100%-'Données projet'!$C$26)*(100%-'Données projet'!$C$27)</f>
        <v>2.4436125</v>
      </c>
      <c r="L6" s="152">
        <f ca="1">G6+I6+K6</f>
        <v>50.991534993192609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sessile</v>
      </c>
      <c r="B7" s="154">
        <f>'Données projet'!D10</f>
        <v>0.66500000000000004</v>
      </c>
      <c r="C7" s="147">
        <f ca="1">IF(OR('Données projet'!B10="",'Données projet'!C10="",'Données projet'!C10=0%),0,Calculateur!AN3)</f>
        <v>253.16772905022714</v>
      </c>
      <c r="D7" s="147">
        <f>IF(OR('Données projet'!B10="",'Données projet'!C10="",'Données projet'!C10=0%),0,Calculateur!AO3)</f>
        <v>156.67965022779907</v>
      </c>
      <c r="E7" s="147">
        <f t="shared" ref="E7:E15" ca="1" si="0">MIN(C7,D7)</f>
        <v>156.67965022779907</v>
      </c>
      <c r="F7" s="147">
        <f t="shared" ref="F7:F15" ca="1" si="1">E7*B7</f>
        <v>104.19196740148639</v>
      </c>
      <c r="G7" s="147">
        <f ca="1">F7*(100%-'Données projet'!$C$24)*(100%-'Données projet'!$C$25)*(100%-'Données projet'!$C$26)*(100%-'Données projet'!$C$27)</f>
        <v>93.772770661337759</v>
      </c>
      <c r="H7" s="155">
        <f>IF(OR('Données projet'!B10="",'Données projet'!C10="",'Données projet'!C10=0%),0,AVERAGE(Calculateur!$AX$3:$AX$33)*B7)</f>
        <v>0.3289033399115584</v>
      </c>
      <c r="I7" s="149">
        <f>H7*(100%-'Données projet'!$C$24)*(100%-'Données projet'!$C$25)*(100%-'Données projet'!$C$26)*(100%-'Données projet'!$C$27)</f>
        <v>0.29601300592040258</v>
      </c>
      <c r="J7" s="150">
        <f>IF(OR('Données projet'!B10="",'Données projet'!C10="",'Données projet'!C10=0%),0,SUM(Calculateur!$AQ$3:$AQ$33)*VLOOKUP('Données projet'!$B$10,Paramètres!$A$1:$I$89,9,0)*B7)</f>
        <v>4.82125</v>
      </c>
      <c r="K7" s="151">
        <f>J7*(100%-'Données projet'!$C$24)*(100%-'Données projet'!$C$25)*(100%-'Données projet'!$C$26)*(100%-'Données projet'!$C$27)</f>
        <v>4.3391250000000001</v>
      </c>
      <c r="L7" s="152">
        <f t="shared" ref="L7:L15" ca="1" si="2">G7+I7+K7</f>
        <v>98.407908667258155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Pin maritime</v>
      </c>
      <c r="B8" s="154">
        <f>'Données projet'!D11</f>
        <v>2.31</v>
      </c>
      <c r="C8" s="147">
        <f ca="1">IF(OR('Données projet'!B11="",'Données projet'!C11="",'Données projet'!C11=0%),0,Calculateur!BI3)</f>
        <v>119.24399403036387</v>
      </c>
      <c r="D8" s="147">
        <f>IF(OR('Données projet'!B11="",'Données projet'!C11="",'Données projet'!C11=0%),0,Calculateur!BJ3)</f>
        <v>119.60076838354843</v>
      </c>
      <c r="E8" s="147">
        <f t="shared" ca="1" si="0"/>
        <v>119.24399403036387</v>
      </c>
      <c r="F8" s="147">
        <f t="shared" ca="1" si="1"/>
        <v>275.45362621014056</v>
      </c>
      <c r="G8" s="147">
        <f ca="1">F8*(100%-'Données projet'!$C$24)*(100%-'Données projet'!$C$25)*(100%-'Données projet'!$C$26)*(100%-'Données projet'!$C$27)</f>
        <v>247.90826358912651</v>
      </c>
      <c r="H8" s="155">
        <f>IF(OR('Données projet'!B11="",'Données projet'!C11="",'Données projet'!C11=0%),0,AVERAGE(Calculateur!$BS$3:$BS$33)*B8)</f>
        <v>3.3600362848062728</v>
      </c>
      <c r="I8" s="149">
        <f>H8*(100%-'Données projet'!$C$24)*(100%-'Données projet'!$C$25)*(100%-'Données projet'!$C$26)*(100%-'Données projet'!$C$27)</f>
        <v>3.0240326563256454</v>
      </c>
      <c r="J8" s="150">
        <f>IF(OR('Données projet'!B11="",'Données projet'!C11="",'Données projet'!C11=0%),0,SUM(Calculateur!$BL$3:$BL$33)*VLOOKUP('Données projet'!$B$11,Paramètres!$A$1:$I$89,9,0)*B8)</f>
        <v>87.907049999999998</v>
      </c>
      <c r="K8" s="151">
        <f>J8*(100%-'Données projet'!$C$24)*(100%-'Données projet'!$C$25)*(100%-'Données projet'!$C$26)*(100%-'Données projet'!$C$27)</f>
        <v>79.116344999999995</v>
      </c>
      <c r="L8" s="152">
        <f t="shared" ca="1" si="2"/>
        <v>330.04864124545213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Alisier torminal</v>
      </c>
      <c r="B9" s="154">
        <f>'Données projet'!D12</f>
        <v>7.0000000000000007E-2</v>
      </c>
      <c r="C9" s="147">
        <f ca="1">IF(OR('Données projet'!B12="",'Données projet'!C12="",'Données projet'!C12=0%),0,Calculateur!CD3)</f>
        <v>135.95692658150551</v>
      </c>
      <c r="D9" s="147">
        <f>IF(OR('Données projet'!B12="",'Données projet'!C12="",'Données projet'!C12=0%),0,Calculateur!CE3)</f>
        <v>79.394119001888612</v>
      </c>
      <c r="E9" s="147">
        <f t="shared" ca="1" si="0"/>
        <v>79.394119001888612</v>
      </c>
      <c r="F9" s="147">
        <f t="shared" ca="1" si="1"/>
        <v>5.5575883301322033</v>
      </c>
      <c r="G9" s="147">
        <f ca="1">F9*(100%-'Données projet'!$C$24)*(100%-'Données projet'!$C$25)*(100%-'Données projet'!$C$26)*(100%-'Données projet'!$C$27)</f>
        <v>5.0018294971189832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0.15750000000000003</v>
      </c>
      <c r="K9" s="151">
        <f>J9*(100%-'Données projet'!$C$24)*(100%-'Données projet'!$C$25)*(100%-'Données projet'!$C$26)*(100%-'Données projet'!$C$27)</f>
        <v>0.14175000000000004</v>
      </c>
      <c r="L9" s="152">
        <f t="shared" ca="1" si="2"/>
        <v>5.1435794971189832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Cormier</v>
      </c>
      <c r="B10" s="154">
        <f>'Données projet'!D13</f>
        <v>7.0000000000000007E-2</v>
      </c>
      <c r="C10" s="147">
        <f ca="1">IF(OR('Données projet'!B13="",'Données projet'!C13="",'Données projet'!C13=0%),0,Calculateur!CY3)</f>
        <v>158.74837032815333</v>
      </c>
      <c r="D10" s="147">
        <f>IF(OR('Données projet'!B13="",'Données projet'!C13="",'Données projet'!C13=0%),0,Calculateur!CZ3)</f>
        <v>92.286636088270086</v>
      </c>
      <c r="E10" s="147">
        <f t="shared" ca="1" si="0"/>
        <v>92.286636088270086</v>
      </c>
      <c r="F10" s="147">
        <f t="shared" ca="1" si="1"/>
        <v>6.4600645261789067</v>
      </c>
      <c r="G10" s="147">
        <f ca="1">F10*(100%-'Données projet'!$C$24)*(100%-'Données projet'!$C$25)*(100%-'Données projet'!$C$26)*(100%-'Données projet'!$C$27)</f>
        <v>5.8140580735610161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0.15750000000000003</v>
      </c>
      <c r="K10" s="151">
        <f>J10*(100%-'Données projet'!$C$24)*(100%-'Données projet'!$C$25)*(100%-'Données projet'!$C$26)*(100%-'Données projet'!$C$27)</f>
        <v>0.14175000000000004</v>
      </c>
      <c r="L10" s="152">
        <f t="shared" ca="1" si="2"/>
        <v>5.9558080735610162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445.43293216331756</v>
      </c>
      <c r="G16" s="166">
        <f t="shared" ca="1" si="3"/>
        <v>400.88963894698583</v>
      </c>
      <c r="H16" s="167">
        <f t="shared" si="3"/>
        <v>3.8613900328856157</v>
      </c>
      <c r="I16" s="167">
        <f t="shared" si="3"/>
        <v>3.4752510295970538</v>
      </c>
      <c r="J16" s="168">
        <f t="shared" si="3"/>
        <v>95.758424999999988</v>
      </c>
      <c r="K16" s="168">
        <f t="shared" si="3"/>
        <v>86.182582499999995</v>
      </c>
      <c r="L16" s="169">
        <f t="shared" ca="1" si="3"/>
        <v>490.54747247658287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Chêne pédonculé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Pin maritime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Alisier torminal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Cormier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G75" sqref="G75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pédonculé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886.14543898305237</v>
      </c>
      <c r="U10" s="178">
        <f>'Données projet'!D9</f>
        <v>0.3745</v>
      </c>
      <c r="V10" s="177">
        <f>U10*T10</f>
        <v>331.86146689915313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sessile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878.15990466278208</v>
      </c>
      <c r="U11" s="178">
        <f>'Données projet'!D10</f>
        <v>0.66500000000000004</v>
      </c>
      <c r="V11" s="177">
        <f t="shared" ref="V11" si="0">U11*T11</f>
        <v>583.97633660075007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maritime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905.85000051068266</v>
      </c>
      <c r="U12" s="178">
        <f>'Données projet'!D11</f>
        <v>2.31</v>
      </c>
      <c r="V12" s="177">
        <f t="shared" ref="V12:V19" si="1">U12*T12</f>
        <v>2092.513501179677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Alisier torminal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519.53644611940013</v>
      </c>
      <c r="U13" s="178">
        <f>'Données projet'!D12</f>
        <v>7.0000000000000007E-2</v>
      </c>
      <c r="V13" s="177">
        <f t="shared" si="1"/>
        <v>36.36755122835801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Chêne pédonculé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Cormier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519.53644611940013</v>
      </c>
      <c r="U14" s="178">
        <f>'Données projet'!D13</f>
        <v>7.0000000000000007E-2</v>
      </c>
      <c r="V14" s="177">
        <f t="shared" si="1"/>
        <v>36.36755122835801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v>6394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6394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6394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20</v>
      </c>
      <c r="B23" s="181">
        <f>'Données projet'!D36</f>
        <v>0</v>
      </c>
      <c r="C23" s="193">
        <v>2</v>
      </c>
      <c r="D23" s="182">
        <f>B23*C23</f>
        <v>0</v>
      </c>
      <c r="E23" s="193"/>
      <c r="F23" s="230"/>
      <c r="H23" s="190">
        <v>4</v>
      </c>
      <c r="I23" s="191">
        <v>6394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-95162.203156445903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25</v>
      </c>
      <c r="B24" s="181">
        <f>'Données projet'!D37</f>
        <v>8</v>
      </c>
      <c r="C24" s="193">
        <v>3</v>
      </c>
      <c r="D24" s="182">
        <f t="shared" ref="D24:D42" si="2">B24*C24</f>
        <v>24</v>
      </c>
      <c r="E24" s="193"/>
      <c r="F24" s="233"/>
      <c r="H24" s="190">
        <v>5</v>
      </c>
      <c r="I24" s="191">
        <v>6394</v>
      </c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30</v>
      </c>
      <c r="B25" s="181">
        <f>'Données projet'!D38</f>
        <v>21</v>
      </c>
      <c r="C25" s="193">
        <v>6</v>
      </c>
      <c r="D25" s="182">
        <f t="shared" si="2"/>
        <v>126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-95162.203156445903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40</v>
      </c>
      <c r="B26" s="181">
        <f>'Données projet'!D39</f>
        <v>42</v>
      </c>
      <c r="C26" s="193">
        <v>20</v>
      </c>
      <c r="D26" s="182">
        <f t="shared" si="2"/>
        <v>840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50</v>
      </c>
      <c r="B27" s="181">
        <f>'Données projet'!D40</f>
        <v>42</v>
      </c>
      <c r="C27" s="193">
        <v>35</v>
      </c>
      <c r="D27" s="182">
        <f t="shared" si="2"/>
        <v>1470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60</v>
      </c>
      <c r="B28" s="181">
        <f>'Données projet'!D41</f>
        <v>42</v>
      </c>
      <c r="C28" s="193">
        <v>55</v>
      </c>
      <c r="D28" s="182">
        <f t="shared" si="2"/>
        <v>2310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70</v>
      </c>
      <c r="B29" s="181">
        <f>'Données projet'!D42</f>
        <v>42</v>
      </c>
      <c r="C29" s="193">
        <v>75</v>
      </c>
      <c r="D29" s="182">
        <f t="shared" si="2"/>
        <v>3150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80</v>
      </c>
      <c r="B30" s="181">
        <f>'Données projet'!D43</f>
        <v>42</v>
      </c>
      <c r="C30" s="193">
        <v>100</v>
      </c>
      <c r="D30" s="182">
        <f t="shared" si="2"/>
        <v>4200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90</v>
      </c>
      <c r="B31" s="181">
        <f>'Données projet'!D44</f>
        <v>42</v>
      </c>
      <c r="C31" s="193">
        <v>130</v>
      </c>
      <c r="D31" s="182">
        <f t="shared" si="2"/>
        <v>5460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100</v>
      </c>
      <c r="B32" s="181">
        <f>'Données projet'!D45</f>
        <v>303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sessile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0</v>
      </c>
      <c r="C54" s="191">
        <v>2</v>
      </c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25</v>
      </c>
      <c r="B55" s="181">
        <f>'Données projet'!D63</f>
        <v>8</v>
      </c>
      <c r="C55" s="191">
        <v>3</v>
      </c>
      <c r="D55" s="179">
        <f t="shared" ref="D55:D73" si="4">B55*C55</f>
        <v>24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30</v>
      </c>
      <c r="B56" s="181">
        <f>'Données projet'!D64</f>
        <v>21</v>
      </c>
      <c r="C56" s="191">
        <v>6</v>
      </c>
      <c r="D56" s="179">
        <f t="shared" si="4"/>
        <v>126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40</v>
      </c>
      <c r="B57" s="181">
        <f>'Données projet'!D65</f>
        <v>42</v>
      </c>
      <c r="C57" s="191">
        <v>20</v>
      </c>
      <c r="D57" s="179">
        <f t="shared" si="4"/>
        <v>840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50</v>
      </c>
      <c r="B58" s="181">
        <f>'Données projet'!D66</f>
        <v>42</v>
      </c>
      <c r="C58" s="191">
        <v>35</v>
      </c>
      <c r="D58" s="179">
        <f t="shared" si="4"/>
        <v>1470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60</v>
      </c>
      <c r="B59" s="181">
        <f>'Données projet'!D67</f>
        <v>42</v>
      </c>
      <c r="C59" s="191">
        <v>55</v>
      </c>
      <c r="D59" s="179">
        <f t="shared" si="4"/>
        <v>2310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70</v>
      </c>
      <c r="B60" s="181">
        <f>'Données projet'!D68</f>
        <v>42</v>
      </c>
      <c r="C60" s="191">
        <v>75</v>
      </c>
      <c r="D60" s="179">
        <f t="shared" si="4"/>
        <v>3150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80</v>
      </c>
      <c r="B61" s="181">
        <f>'Données projet'!D69</f>
        <v>42</v>
      </c>
      <c r="C61" s="191">
        <v>100</v>
      </c>
      <c r="D61" s="179">
        <f t="shared" si="4"/>
        <v>4200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90</v>
      </c>
      <c r="B62" s="181">
        <f>'Données projet'!D70</f>
        <v>42</v>
      </c>
      <c r="C62" s="191">
        <v>130</v>
      </c>
      <c r="D62" s="179">
        <f t="shared" si="4"/>
        <v>5460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100</v>
      </c>
      <c r="B63" s="181">
        <f>'Données projet'!D71</f>
        <v>303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Pin maritime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12</v>
      </c>
      <c r="B85" s="181">
        <f>'Données projet'!D88</f>
        <v>0</v>
      </c>
      <c r="C85" s="191">
        <v>3.5</v>
      </c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16</v>
      </c>
      <c r="B86" s="181">
        <f>'Données projet'!D89</f>
        <v>7.6</v>
      </c>
      <c r="C86" s="191">
        <v>4</v>
      </c>
      <c r="D86" s="179">
        <f t="shared" ref="D86:D104" si="6">B86*C86</f>
        <v>30.4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20</v>
      </c>
      <c r="B87" s="181">
        <f>'Données projet'!D90</f>
        <v>13.8</v>
      </c>
      <c r="C87" s="191">
        <v>15</v>
      </c>
      <c r="D87" s="179">
        <f t="shared" si="6"/>
        <v>207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24</v>
      </c>
      <c r="B88" s="181">
        <f>'Données projet'!D91</f>
        <v>19.7</v>
      </c>
      <c r="C88" s="191">
        <v>24</v>
      </c>
      <c r="D88" s="179">
        <f t="shared" si="6"/>
        <v>472.79999999999995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28</v>
      </c>
      <c r="B89" s="181">
        <f>'Données projet'!D92</f>
        <v>23.4</v>
      </c>
      <c r="C89" s="191">
        <v>24</v>
      </c>
      <c r="D89" s="179">
        <f t="shared" si="6"/>
        <v>561.59999999999991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34</v>
      </c>
      <c r="B90" s="181">
        <f>'Données projet'!D93</f>
        <v>38.299999999999997</v>
      </c>
      <c r="C90" s="191">
        <v>25</v>
      </c>
      <c r="D90" s="179">
        <f t="shared" si="6"/>
        <v>957.49999999999989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40</v>
      </c>
      <c r="B91" s="181">
        <f>'Données projet'!D94</f>
        <v>30.9</v>
      </c>
      <c r="C91" s="191">
        <v>25</v>
      </c>
      <c r="D91" s="179">
        <f t="shared" si="6"/>
        <v>772.5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46</v>
      </c>
      <c r="B92" s="181">
        <f>'Données projet'!D95</f>
        <v>22.9</v>
      </c>
      <c r="C92" s="191">
        <v>25</v>
      </c>
      <c r="D92" s="179">
        <f t="shared" si="6"/>
        <v>572.5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54</v>
      </c>
      <c r="B93" s="181">
        <f>'Données projet'!D96</f>
        <v>22.4</v>
      </c>
      <c r="C93" s="191">
        <v>26</v>
      </c>
      <c r="D93" s="179">
        <f t="shared" si="6"/>
        <v>582.4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62</v>
      </c>
      <c r="B94" s="181">
        <f>'Données projet'!D97</f>
        <v>232.3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str">
        <f>IF(O95+1&lt;=MIN('Données projet'!$E$9:$E$18),O95+1,"STOP")</f>
        <v>STOP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Alisier torminal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20</v>
      </c>
      <c r="B116" s="181">
        <f>'Données projet'!D114</f>
        <v>0</v>
      </c>
      <c r="C116" s="191">
        <v>1</v>
      </c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25</v>
      </c>
      <c r="B117" s="181">
        <f>'Données projet'!D115</f>
        <v>0</v>
      </c>
      <c r="C117" s="191">
        <v>5</v>
      </c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30</v>
      </c>
      <c r="B118" s="181">
        <f>'Données projet'!D116</f>
        <v>9</v>
      </c>
      <c r="C118" s="191">
        <v>10</v>
      </c>
      <c r="D118" s="179">
        <f t="shared" si="8"/>
        <v>90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35</v>
      </c>
      <c r="B119" s="181">
        <f>'Données projet'!D117</f>
        <v>8</v>
      </c>
      <c r="C119" s="191">
        <v>30</v>
      </c>
      <c r="D119" s="179">
        <f t="shared" si="8"/>
        <v>240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40</v>
      </c>
      <c r="B120" s="181">
        <f>'Données projet'!D118</f>
        <v>9</v>
      </c>
      <c r="C120" s="191">
        <v>50</v>
      </c>
      <c r="D120" s="179">
        <f t="shared" si="8"/>
        <v>450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45</v>
      </c>
      <c r="B121" s="181">
        <f>'Données projet'!D119</f>
        <v>9</v>
      </c>
      <c r="C121" s="191">
        <v>70</v>
      </c>
      <c r="D121" s="179">
        <f t="shared" si="8"/>
        <v>630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50</v>
      </c>
      <c r="B122" s="181">
        <f>'Données projet'!D120</f>
        <v>9</v>
      </c>
      <c r="C122" s="191">
        <v>70</v>
      </c>
      <c r="D122" s="179">
        <f t="shared" si="8"/>
        <v>630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55</v>
      </c>
      <c r="B123" s="181">
        <f>'Données projet'!D121</f>
        <v>10</v>
      </c>
      <c r="C123" s="191">
        <v>70</v>
      </c>
      <c r="D123" s="179">
        <f t="shared" si="8"/>
        <v>700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60</v>
      </c>
      <c r="B124" s="181">
        <f>'Données projet'!D122</f>
        <v>10</v>
      </c>
      <c r="C124" s="191">
        <v>70</v>
      </c>
      <c r="D124" s="179">
        <f t="shared" si="8"/>
        <v>700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65</v>
      </c>
      <c r="B125" s="181">
        <f>'Données projet'!D123</f>
        <v>10</v>
      </c>
      <c r="C125" s="191">
        <v>70</v>
      </c>
      <c r="D125" s="179">
        <f t="shared" si="8"/>
        <v>700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70</v>
      </c>
      <c r="B126" s="181">
        <f>'Données projet'!D124</f>
        <v>10</v>
      </c>
      <c r="C126" s="191">
        <v>70</v>
      </c>
      <c r="D126" s="179">
        <f t="shared" si="8"/>
        <v>700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75</v>
      </c>
      <c r="B127" s="181">
        <f>'Données projet'!D125</f>
        <v>10</v>
      </c>
      <c r="C127" s="191">
        <v>70</v>
      </c>
      <c r="D127" s="179">
        <f t="shared" si="8"/>
        <v>700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80</v>
      </c>
      <c r="B128" s="181">
        <f>'Données projet'!D126</f>
        <v>9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85</v>
      </c>
      <c r="B129" s="181">
        <f>'Données projet'!D127</f>
        <v>9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90</v>
      </c>
      <c r="B130" s="181">
        <f>'Données projet'!D128</f>
        <v>9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95</v>
      </c>
      <c r="B131" s="181">
        <f>'Données projet'!D129</f>
        <v>9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100</v>
      </c>
      <c r="B132" s="181">
        <f>'Données projet'!D130</f>
        <v>9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105</v>
      </c>
      <c r="B133" s="181">
        <f>'Données projet'!D131</f>
        <v>9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110</v>
      </c>
      <c r="B134" s="181">
        <f>'Données projet'!D132</f>
        <v>10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115</v>
      </c>
      <c r="B135" s="181">
        <f>'Données projet'!D133</f>
        <v>186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Cormier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20</v>
      </c>
      <c r="B147" s="175">
        <f>'Données projet'!D140</f>
        <v>0</v>
      </c>
      <c r="C147" s="191">
        <v>1</v>
      </c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25</v>
      </c>
      <c r="B148" s="175">
        <f>'Données projet'!D141</f>
        <v>0</v>
      </c>
      <c r="C148" s="191">
        <v>5</v>
      </c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30</v>
      </c>
      <c r="B149" s="175">
        <f>'Données projet'!D142</f>
        <v>9</v>
      </c>
      <c r="C149" s="191">
        <v>10</v>
      </c>
      <c r="D149" s="182">
        <f t="shared" si="10"/>
        <v>90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35</v>
      </c>
      <c r="B150" s="175">
        <f>'Données projet'!D143</f>
        <v>8</v>
      </c>
      <c r="C150" s="191">
        <v>30</v>
      </c>
      <c r="D150" s="182">
        <f t="shared" si="10"/>
        <v>240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40</v>
      </c>
      <c r="B151" s="175">
        <f>'Données projet'!D144</f>
        <v>9</v>
      </c>
      <c r="C151" s="191">
        <v>50</v>
      </c>
      <c r="D151" s="182">
        <f t="shared" si="10"/>
        <v>450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45</v>
      </c>
      <c r="B152" s="175">
        <f>'Données projet'!D145</f>
        <v>9</v>
      </c>
      <c r="C152" s="191">
        <v>70</v>
      </c>
      <c r="D152" s="182">
        <f t="shared" si="10"/>
        <v>630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50</v>
      </c>
      <c r="B153" s="175">
        <f>'Données projet'!D146</f>
        <v>9</v>
      </c>
      <c r="C153" s="191">
        <v>70</v>
      </c>
      <c r="D153" s="182">
        <f t="shared" si="10"/>
        <v>630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55</v>
      </c>
      <c r="B154" s="175">
        <f>'Données projet'!D147</f>
        <v>10</v>
      </c>
      <c r="C154" s="191">
        <v>70</v>
      </c>
      <c r="D154" s="182">
        <f t="shared" si="10"/>
        <v>700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60</v>
      </c>
      <c r="B155" s="175">
        <f>'Données projet'!D148</f>
        <v>10</v>
      </c>
      <c r="C155" s="191">
        <v>70</v>
      </c>
      <c r="D155" s="182">
        <f t="shared" si="10"/>
        <v>700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65</v>
      </c>
      <c r="B156" s="175">
        <f>'Données projet'!D149</f>
        <v>10</v>
      </c>
      <c r="C156" s="191">
        <v>70</v>
      </c>
      <c r="D156" s="182">
        <f t="shared" si="10"/>
        <v>700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70</v>
      </c>
      <c r="B157" s="175">
        <f>'Données projet'!D150</f>
        <v>10</v>
      </c>
      <c r="C157" s="191">
        <v>70</v>
      </c>
      <c r="D157" s="182">
        <f t="shared" si="10"/>
        <v>700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75</v>
      </c>
      <c r="B158" s="175">
        <f>'Données projet'!D151</f>
        <v>10</v>
      </c>
      <c r="C158" s="191">
        <v>70</v>
      </c>
      <c r="D158" s="182">
        <f t="shared" si="10"/>
        <v>700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80</v>
      </c>
      <c r="B159" s="175">
        <f>'Données projet'!D152</f>
        <v>9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85</v>
      </c>
      <c r="B160" s="175">
        <f>'Données projet'!D153</f>
        <v>9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90</v>
      </c>
      <c r="B161" s="175">
        <f>'Données projet'!D154</f>
        <v>9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95</v>
      </c>
      <c r="B162" s="175">
        <f>'Données projet'!D155</f>
        <v>9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100</v>
      </c>
      <c r="B163" s="175">
        <f>'Données projet'!D156</f>
        <v>9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105</v>
      </c>
      <c r="B164" s="175">
        <f>'Données projet'!D157</f>
        <v>9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110</v>
      </c>
      <c r="B165" s="175">
        <f>'Données projet'!D158</f>
        <v>10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115</v>
      </c>
      <c r="B166" s="175">
        <f>'Données projet'!D159</f>
        <v>186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Sixte du CREST</cp:lastModifiedBy>
  <dcterms:created xsi:type="dcterms:W3CDTF">2021-02-01T08:22:39Z</dcterms:created>
  <dcterms:modified xsi:type="dcterms:W3CDTF">2025-11-20T09:25:03Z</dcterms:modified>
</cp:coreProperties>
</file>