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5\136\Z00GHLB5\"/>
    </mc:Choice>
  </mc:AlternateContent>
  <xr:revisionPtr revIDLastSave="0" documentId="13_ncr:1_{A7369833-260A-4D9A-949F-F68E661E33AF}" xr6:coauthVersionLast="47" xr6:coauthVersionMax="47" xr10:uidLastSave="{00000000-0000-0000-0000-000000000000}"/>
  <bookViews>
    <workbookView xWindow="-12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E17" i="6"/>
  <c r="E48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D155" i="2"/>
  <c r="AX152" i="2"/>
  <c r="HH156" i="2" l="1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B173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HH203" i="2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<sst xmlns="http://schemas.openxmlformats.org/spreadsheetml/2006/main" count="1171" uniqueCount="324">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</sst>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2.108474572518316</c:v>
                </c:pt>
                <c:pt idx="2">
                  <c:v>2.8670085021075149</c:v>
                </c:pt>
                <c:pt idx="3">
                  <c:v>3.8995836938128075</c:v>
                </c:pt>
                <c:pt idx="4">
                  <c:v>5.3055980481022571</c:v>
                </c:pt>
                <c:pt idx="5">
                  <c:v>7.2206353449995211</c:v>
                </c:pt>
                <c:pt idx="6">
                  <c:v>9.8296836619511652</c:v>
                </c:pt>
                <c:pt idx="7">
                  <c:v>13.38519747861622</c:v>
                </c:pt>
                <c:pt idx="8">
                  <c:v>18.23178342374937</c:v>
                </c:pt>
                <c:pt idx="9">
                  <c:v>24.839945406389592</c:v>
                </c:pt>
                <c:pt idx="10">
                  <c:v>33.852222834482681</c:v>
                </c:pt>
                <c:pt idx="11">
                  <c:v>46.146285377623315</c:v>
                </c:pt>
                <c:pt idx="12">
                  <c:v>62.921232121831004</c:v>
                </c:pt>
                <c:pt idx="13">
                  <c:v>83.125805197857886</c:v>
                </c:pt>
                <c:pt idx="14">
                  <c:v>103.20556924537884</c:v>
                </c:pt>
                <c:pt idx="15">
                  <c:v>123.18839787166746</c:v>
                </c:pt>
                <c:pt idx="16">
                  <c:v>143.09228790376088</c:v>
                </c:pt>
                <c:pt idx="17">
                  <c:v>142.76655885346182</c:v>
                </c:pt>
                <c:pt idx="18">
                  <c:v>174.93402927835265</c:v>
                </c:pt>
                <c:pt idx="19">
                  <c:v>206.96216292372014</c:v>
                </c:pt>
                <c:pt idx="20">
                  <c:v>238.87559954497763</c:v>
                </c:pt>
                <c:pt idx="21">
                  <c:v>211.15892501458293</c:v>
                </c:pt>
                <c:pt idx="22">
                  <c:v>227.28276448985946</c:v>
                </c:pt>
                <c:pt idx="23">
                  <c:v>243.38042530319774</c:v>
                </c:pt>
                <c:pt idx="24">
                  <c:v>259.45388286365005</c:v>
                </c:pt>
                <c:pt idx="25">
                  <c:v>229.5379645972439</c:v>
                </c:pt>
                <c:pt idx="26">
                  <c:v>254.95565122562834</c:v>
                </c:pt>
                <c:pt idx="27">
                  <c:v>280.31597953415428</c:v>
                </c:pt>
                <c:pt idx="28">
                  <c:v>305.62486594574432</c:v>
                </c:pt>
                <c:pt idx="29">
                  <c:v>272.7242242833733</c:v>
                </c:pt>
                <c:pt idx="30">
                  <c:v>292.38918258804711</c:v>
                </c:pt>
                <c:pt idx="31">
                  <c:v>312.02461684041356</c:v>
                </c:pt>
                <c:pt idx="32">
                  <c:v>331.63264563812885</c:v>
                </c:pt>
                <c:pt idx="33">
                  <c:v>351.21511662636493</c:v>
                </c:pt>
                <c:pt idx="34">
                  <c:v>370.77365464076291</c:v>
                </c:pt>
                <c:pt idx="35">
                  <c:v>323.74997875439948</c:v>
                </c:pt>
                <c:pt idx="36">
                  <c:v>353.34217677452347</c:v>
                </c:pt>
                <c:pt idx="37">
                  <c:v>382.88007441660244</c:v>
                </c:pt>
                <c:pt idx="38">
                  <c:v>412.36844503553056</c:v>
                </c:pt>
                <c:pt idx="39">
                  <c:v>441.81132396532462</c:v>
                </c:pt>
                <c:pt idx="40">
                  <c:v>471.21216521688075</c:v>
                </c:pt>
                <c:pt idx="41">
                  <c:v>435.67214265339436</c:v>
                </c:pt>
                <c:pt idx="42">
                  <c:v>443.29292031429787</c:v>
                </c:pt>
                <c:pt idx="43">
                  <c:v>450.91089137244722</c:v>
                </c:pt>
                <c:pt idx="44">
                  <c:v>458.52610995674218</c:v>
                </c:pt>
                <c:pt idx="45">
                  <c:v>466.1386282505589</c:v>
                </c:pt>
                <c:pt idx="46">
                  <c:v>473.74849659300236</c:v>
                </c:pt>
                <c:pt idx="47">
                  <c:v>456.30528575759053</c:v>
                </c:pt>
                <c:pt idx="48">
                  <c:v>465.50435362197771</c:v>
                </c:pt>
                <c:pt idx="49">
                  <c:v>474.69954624952533</c:v>
                </c:pt>
                <c:pt idx="50">
                  <c:v>483.89094931012505</c:v>
                </c:pt>
                <c:pt idx="51">
                  <c:v>493.07864495283178</c:v>
                </c:pt>
                <c:pt idx="52">
                  <c:v>502.26271201488458</c:v>
                </c:pt>
                <c:pt idx="53">
                  <c:v>511.44322621464363</c:v>
                </c:pt>
                <c:pt idx="54">
                  <c:v>520.62026032995107</c:v>
                </c:pt>
                <c:pt idx="55">
                  <c:v>502.89596414017234</c:v>
                </c:pt>
                <c:pt idx="56">
                  <c:v>506.69512340906527</c:v>
                </c:pt>
                <c:pt idx="57">
                  <c:v>510.49368045075335</c:v>
                </c:pt>
                <c:pt idx="58">
                  <c:v>514.29164038230522</c:v>
                </c:pt>
                <c:pt idx="59">
                  <c:v>518.08900823898568</c:v>
                </c:pt>
                <c:pt idx="60">
                  <c:v>521.88578897616765</c:v>
                </c:pt>
                <c:pt idx="61">
                  <c:v>525.68198747118436</c:v>
                </c:pt>
                <c:pt idx="62">
                  <c:v>529.47760852512613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6" zoomScale="80" zoomScaleNormal="80" workbookViewId="0">
      <selection activeCell="M26" sqref="M2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5.07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0.65</v>
      </c>
      <c r="D9" s="33">
        <f t="shared" ref="D9:D18" si="0">C9*$C$5</f>
        <v>3.2955000000000001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18</v>
      </c>
      <c r="C10" s="32">
        <v>0.35</v>
      </c>
      <c r="D10" s="33">
        <f t="shared" si="0"/>
        <v>1.7745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5.07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12</v>
      </c>
      <c r="B36" s="60">
        <v>46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3.8333333333333335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16</v>
      </c>
      <c r="B37" s="60">
        <v>107</v>
      </c>
      <c r="C37" s="60">
        <v>2</v>
      </c>
      <c r="D37" s="60">
        <v>25</v>
      </c>
      <c r="E37" s="51">
        <v>0.2</v>
      </c>
      <c r="F37" s="51">
        <v>0.2</v>
      </c>
      <c r="G37" s="51">
        <v>0.6</v>
      </c>
      <c r="H37" s="51"/>
      <c r="I37" s="53">
        <f t="shared" ref="I37:I55" si="1">IF(A37&lt;&gt;0,(B37-(B36-D36))/(A37-A36),"")</f>
        <v>15.25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20</v>
      </c>
      <c r="B38" s="60">
        <v>181</v>
      </c>
      <c r="C38" s="60">
        <v>3</v>
      </c>
      <c r="D38" s="60">
        <v>34</v>
      </c>
      <c r="E38" s="51">
        <v>0.3</v>
      </c>
      <c r="F38" s="51">
        <v>0.4</v>
      </c>
      <c r="G38" s="51">
        <v>0.3</v>
      </c>
      <c r="H38" s="51"/>
      <c r="I38" s="53">
        <f t="shared" si="1"/>
        <v>24.75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24</v>
      </c>
      <c r="B39" s="60">
        <v>197</v>
      </c>
      <c r="C39" s="60">
        <v>4</v>
      </c>
      <c r="D39" s="60">
        <v>43</v>
      </c>
      <c r="E39" s="51">
        <v>0.4</v>
      </c>
      <c r="F39" s="51">
        <v>0.3</v>
      </c>
      <c r="G39" s="51">
        <v>0.3</v>
      </c>
      <c r="H39" s="51"/>
      <c r="I39" s="49">
        <f t="shared" si="1"/>
        <v>12.5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28</v>
      </c>
      <c r="B40" s="60">
        <v>233</v>
      </c>
      <c r="C40" s="60">
        <v>5</v>
      </c>
      <c r="D40" s="60">
        <v>41</v>
      </c>
      <c r="E40" s="51">
        <v>0.4</v>
      </c>
      <c r="F40" s="51">
        <v>0.3</v>
      </c>
      <c r="G40" s="51">
        <v>0.3</v>
      </c>
      <c r="H40" s="51"/>
      <c r="I40" s="49">
        <f t="shared" si="1"/>
        <v>19.75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34</v>
      </c>
      <c r="B41" s="60">
        <v>284</v>
      </c>
      <c r="C41" s="60">
        <v>6</v>
      </c>
      <c r="D41" s="60">
        <v>60</v>
      </c>
      <c r="E41" s="51"/>
      <c r="F41" s="51"/>
      <c r="G41" s="51"/>
      <c r="H41" s="51"/>
      <c r="I41" s="53">
        <f t="shared" si="1"/>
        <v>15.333333333333334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40</v>
      </c>
      <c r="B42" s="60">
        <v>363</v>
      </c>
      <c r="C42" s="60">
        <v>7</v>
      </c>
      <c r="D42" s="60">
        <v>34</v>
      </c>
      <c r="E42" s="51"/>
      <c r="F42" s="51"/>
      <c r="G42" s="51"/>
      <c r="H42" s="51"/>
      <c r="I42" s="53">
        <f t="shared" si="1"/>
        <v>23.166666666666668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46</v>
      </c>
      <c r="B43" s="60">
        <v>365</v>
      </c>
      <c r="C43" s="60">
        <v>8</v>
      </c>
      <c r="D43" s="60">
        <v>21</v>
      </c>
      <c r="E43" s="51"/>
      <c r="F43" s="51"/>
      <c r="G43" s="51"/>
      <c r="H43" s="51"/>
      <c r="I43" s="49">
        <f t="shared" si="1"/>
        <v>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54</v>
      </c>
      <c r="B44" s="60">
        <v>402</v>
      </c>
      <c r="C44" s="60">
        <v>9</v>
      </c>
      <c r="D44" s="60">
        <v>17</v>
      </c>
      <c r="E44" s="51"/>
      <c r="F44" s="51"/>
      <c r="G44" s="51"/>
      <c r="H44" s="51"/>
      <c r="I44" s="49">
        <f t="shared" si="1"/>
        <v>7.25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62</v>
      </c>
      <c r="B45" s="60">
        <v>409</v>
      </c>
      <c r="C45" s="60">
        <v>10</v>
      </c>
      <c r="D45" s="60">
        <v>409</v>
      </c>
      <c r="E45" s="51"/>
      <c r="F45" s="51"/>
      <c r="G45" s="51"/>
      <c r="H45" s="51"/>
      <c r="I45" s="49">
        <f t="shared" si="1"/>
        <v>3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19</v>
      </c>
      <c r="B62" s="60">
        <v>162</v>
      </c>
      <c r="C62" s="60">
        <v>1</v>
      </c>
      <c r="D62" s="60">
        <v>0</v>
      </c>
      <c r="E62" s="51"/>
      <c r="F62" s="51">
        <v>0.6</v>
      </c>
      <c r="G62" s="51">
        <v>0.4</v>
      </c>
      <c r="H62" s="51"/>
      <c r="I62" s="53">
        <f>IFERROR(B62/A62,"")</f>
        <v>8.526315789473685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25</v>
      </c>
      <c r="B63" s="60">
        <v>335</v>
      </c>
      <c r="C63" s="60">
        <v>2</v>
      </c>
      <c r="D63" s="60">
        <v>54</v>
      </c>
      <c r="E63" s="51"/>
      <c r="F63" s="51">
        <v>0.6</v>
      </c>
      <c r="G63" s="51">
        <v>0.4</v>
      </c>
      <c r="H63" s="51"/>
      <c r="I63" s="49">
        <f>IF(A63&lt;&gt;0,(B63-(B62-D62))/(A63-A62),"")</f>
        <v>28.833333333333332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421</v>
      </c>
      <c r="C64" s="60">
        <v>3</v>
      </c>
      <c r="D64" s="60">
        <v>54</v>
      </c>
      <c r="E64" s="51">
        <v>0.2</v>
      </c>
      <c r="F64" s="51">
        <v>0.6</v>
      </c>
      <c r="G64" s="51">
        <v>0.2</v>
      </c>
      <c r="H64" s="51"/>
      <c r="I64" s="49">
        <f>IF(A64&lt;&gt;0,(B64-(B63-D63))/(A64-A63),"")</f>
        <v>28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35</v>
      </c>
      <c r="B65" s="60">
        <v>505</v>
      </c>
      <c r="C65" s="60">
        <v>4</v>
      </c>
      <c r="D65" s="60">
        <v>69</v>
      </c>
      <c r="E65" s="51"/>
      <c r="F65" s="51"/>
      <c r="G65" s="51"/>
      <c r="H65" s="51"/>
      <c r="I65" s="49">
        <f>IF(A65&lt;&gt;0,(B65-(B64-D64))/(A65-A64),"")</f>
        <v>27.6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40</v>
      </c>
      <c r="B66" s="60">
        <v>564</v>
      </c>
      <c r="C66" s="60">
        <v>5</v>
      </c>
      <c r="D66" s="60">
        <v>72</v>
      </c>
      <c r="E66" s="51"/>
      <c r="F66" s="51"/>
      <c r="G66" s="51"/>
      <c r="H66" s="51"/>
      <c r="I66" s="49">
        <f t="shared" ref="I66:I81" si="2">IF(A66&lt;&gt;0,(B66-(B65-D65))/(A66-A65),"")</f>
        <v>25.6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45</v>
      </c>
      <c r="B67" s="60">
        <v>606</v>
      </c>
      <c r="C67" s="60">
        <v>6</v>
      </c>
      <c r="D67" s="60">
        <v>66</v>
      </c>
      <c r="E67" s="51"/>
      <c r="F67" s="51"/>
      <c r="G67" s="51"/>
      <c r="H67" s="51"/>
      <c r="I67" s="49">
        <f t="shared" si="2"/>
        <v>22.8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50</v>
      </c>
      <c r="B68" s="60">
        <v>629</v>
      </c>
      <c r="C68" s="60">
        <v>7</v>
      </c>
      <c r="D68" s="60">
        <v>48</v>
      </c>
      <c r="E68" s="51"/>
      <c r="F68" s="51"/>
      <c r="G68" s="51"/>
      <c r="H68" s="51"/>
      <c r="I68" s="49">
        <f t="shared" si="2"/>
        <v>17.8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55</v>
      </c>
      <c r="B69" s="50">
        <v>650</v>
      </c>
      <c r="C69" s="50">
        <v>8</v>
      </c>
      <c r="D69" s="50">
        <v>35</v>
      </c>
      <c r="E69" s="51"/>
      <c r="F69" s="51"/>
      <c r="G69" s="51"/>
      <c r="H69" s="51"/>
      <c r="I69" s="49">
        <f t="shared" si="2"/>
        <v>13.8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60</v>
      </c>
      <c r="B70" s="50">
        <v>666</v>
      </c>
      <c r="C70" s="50">
        <v>9</v>
      </c>
      <c r="D70" s="50">
        <v>666</v>
      </c>
      <c r="E70" s="51"/>
      <c r="F70" s="51"/>
      <c r="G70" s="51"/>
      <c r="H70" s="51"/>
      <c r="I70" s="49">
        <f t="shared" si="2"/>
        <v>10.199999999999999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255.24521135682858</v>
      </c>
      <c r="T3" s="59">
        <f>IF('Données projet'!E9&gt;30,$R$33-$H$33,LOOKUP('Données projet'!$E$9,$A$3:$A$203,R3:R203)-LOOKUP('Données projet'!$E$9,$A$3:$A$203,$H$3:$H$203))</f>
        <v>254.36590349790589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378.17323480030268</v>
      </c>
      <c r="AO3" s="59">
        <f>IF('Données projet'!E10&gt;30,$AM$33-$H$33,LOOKUP('Données projet'!$E$10,$A$3:$A$203,AM3:AM203)-LOOKUP('Données projet'!$E$10,$A$3:$A$203,$H$3:$H$203))</f>
        <v>471.89239871617241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3.8333333333333335</v>
      </c>
      <c r="N4" s="13">
        <f>IF('Données projet'!$A$36&gt;35,N3+M4-V3,IF(A4&lt;'Données projet'!$A$36,$K$205^A4,IF(A4='Données projet'!$A$36,'Données projet'!$B$36,N3+M4-V3)))</f>
        <v>1.3758248603770518</v>
      </c>
      <c r="O4" s="13">
        <f>N4*VLOOKUP('Données projet'!$B$9,Paramètres!$A$1:$I$89,3,0)*VLOOKUP('Données projet'!$B$9,Paramètres!$A$1:$I$89,5,0)</f>
        <v>0.82274326650547702</v>
      </c>
      <c r="P4" s="13">
        <f>EXP(-1.0587+0.8836*LN(O4)+0.284)</f>
        <v>0.3878641435528864</v>
      </c>
      <c r="Q4" s="20">
        <f t="shared" ref="Q4:Q34" si="2">(O4+P4)*0.475*44/12</f>
        <v>2.108474572518316</v>
      </c>
      <c r="R4" s="59">
        <f t="shared" si="0"/>
        <v>295.44180790585165</v>
      </c>
      <c r="S4" s="59">
        <f ca="1">AVERAGE(OFFSET($R$3,0,0,'Données projet'!$E$9+1,1))-AVERAGE(OFFSET($H$3,0,0,'Données projet'!$E$9+1,1))</f>
        <v>255.24521135682858</v>
      </c>
      <c r="T4" s="59">
        <f>$T$3</f>
        <v>254.36590349790589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8.526315789473685</v>
      </c>
      <c r="AI4" s="13">
        <f>IF('Données projet'!$A$62&gt;35,AI3+AH4-AQ3,IF(A4&lt;'Données projet'!$A$62,$AF$205^A4,IF(A4='Données projet'!$A$62,'Données projet'!$B$62,AI3+AH4-AQ3)))</f>
        <v>1.3070441688874561</v>
      </c>
      <c r="AJ4" s="13">
        <f>AI4*VLOOKUP('Données projet'!$B$10,Paramètres!$A$1:$I$89,3,0)*VLOOKUP('Données projet'!$B$10,Paramètres!$A$1:$I$89,5,0)</f>
        <v>0.73063769040808801</v>
      </c>
      <c r="AK4" s="13">
        <f>EXP(-1.0587+0.8836*LN(AJ4)+0.284)</f>
        <v>0.34923616900555043</v>
      </c>
      <c r="AL4" s="20">
        <f t="shared" ref="AL4:AL67" si="4">(AJ4+AK4)*0.475*44/12</f>
        <v>1.8807803051454206</v>
      </c>
      <c r="AM4" s="59">
        <f t="shared" ref="AM4:AM67" si="5">AL4+(AD4+AE4)*44/12</f>
        <v>295.21411363847875</v>
      </c>
      <c r="AN4" s="59">
        <f ca="1">AVERAGE(OFFSET($AM$3,0,0,'Données projet'!$E$10+1,1))-AVERAGE(OFFSET($H$3,0,0,'Données projet'!$E$10+1,1))</f>
        <v>378.17323480030268</v>
      </c>
      <c r="AO4" s="59">
        <f>$AO$3</f>
        <v>471.89239871617241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3.8333333333333335</v>
      </c>
      <c r="N5" s="13">
        <f>IF('Données projet'!$A$36&gt;35,N4+M5-V4,IF(A5&lt;'Données projet'!$A$36,$K$205^A5,IF(A5='Données projet'!$A$36,'Données projet'!$B$36,N4+M5-V4)))</f>
        <v>1.892894046431534</v>
      </c>
      <c r="O5" s="13">
        <f>N5*VLOOKUP('Données projet'!$B$9,Paramètres!$A$1:$I$89,3,0)*VLOOKUP('Données projet'!$B$9,Paramètres!$A$1:$I$89,5,0)</f>
        <v>1.1319506397660575</v>
      </c>
      <c r="P5" s="13">
        <f t="shared" ref="P5:P68" si="33">EXP(-1.0587+0.8836*LN(O5)+0.284)</f>
        <v>0.51417864374064992</v>
      </c>
      <c r="Q5" s="20">
        <f t="shared" si="2"/>
        <v>2.8670085021075149</v>
      </c>
      <c r="R5" s="59">
        <f t="shared" si="0"/>
        <v>296.20034183544084</v>
      </c>
      <c r="S5" s="59">
        <f ca="1">AVERAGE(OFFSET($R$3,0,0,'Données projet'!$E$9+1,1))-AVERAGE(OFFSET($H$3,0,0,'Données projet'!$E$9+1,1))</f>
        <v>255.24521135682858</v>
      </c>
      <c r="T5" s="59">
        <f t="shared" ref="T5:T68" si="34">$T$3</f>
        <v>254.36590349790589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8.526315789473685</v>
      </c>
      <c r="AI5" s="13">
        <f>IF('Données projet'!$A$62&gt;35,AI4+AH5-AQ4,IF(A5&lt;'Données projet'!$A$62,$AF$205^A5,IF(A5='Données projet'!$A$62,'Données projet'!$B$62,AI4+AH5-AQ4)))</f>
        <v>1.708364459422701</v>
      </c>
      <c r="AJ5" s="13">
        <f>AI5*VLOOKUP('Données projet'!$B$10,Paramètres!$A$1:$I$89,3,0)*VLOOKUP('Données projet'!$B$10,Paramètres!$A$1:$I$89,5,0)</f>
        <v>0.95497573281728976</v>
      </c>
      <c r="AK5" s="13">
        <f t="shared" ref="AK5:AK68" si="35">EXP(-1.0587+0.8836*LN(AJ5)+0.284)</f>
        <v>0.44245926414263009</v>
      </c>
      <c r="AL5" s="20">
        <f t="shared" si="4"/>
        <v>2.4338659530385267</v>
      </c>
      <c r="AM5" s="59">
        <f t="shared" si="5"/>
        <v>295.76719928637186</v>
      </c>
      <c r="AN5" s="59">
        <f ca="1">AVERAGE(OFFSET($AM$3,0,0,'Données projet'!$E$10+1,1))-AVERAGE(OFFSET($H$3,0,0,'Données projet'!$E$10+1,1))</f>
        <v>378.17323480030268</v>
      </c>
      <c r="AO5" s="59">
        <f t="shared" ref="AO5:AO68" si="36">$AO$3</f>
        <v>471.89239871617241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3.8333333333333335</v>
      </c>
      <c r="N6" s="13">
        <f>IF('Données projet'!$A$36&gt;35,N5+M6-V5,IF(A6&lt;'Données projet'!$A$36,$K$205^A6,IF(A6='Données projet'!$A$36,'Données projet'!$B$36,N5+M6-V5)))</f>
        <v>2.6042906871402178</v>
      </c>
      <c r="O6" s="13">
        <f>N6*VLOOKUP('Données projet'!$B$9,Paramètres!$A$1:$I$89,3,0)*VLOOKUP('Données projet'!$B$9,Paramètres!$A$1:$I$89,5,0)</f>
        <v>1.5573658309098504</v>
      </c>
      <c r="P6" s="13">
        <f t="shared" si="33"/>
        <v>0.68162959137501489</v>
      </c>
      <c r="Q6" s="20">
        <f t="shared" si="2"/>
        <v>3.8995836938128075</v>
      </c>
      <c r="R6" s="59">
        <f t="shared" si="0"/>
        <v>297.23291702714613</v>
      </c>
      <c r="S6" s="59">
        <f ca="1">AVERAGE(OFFSET($R$3,0,0,'Données projet'!$E$9+1,1))-AVERAGE(OFFSET($H$3,0,0,'Données projet'!$E$9+1,1))</f>
        <v>255.24521135682858</v>
      </c>
      <c r="T6" s="59">
        <f t="shared" si="34"/>
        <v>254.36590349790589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8.526315789473685</v>
      </c>
      <c r="AI6" s="13">
        <f>IF('Données projet'!$A$62&gt;35,AI5+AH6-AQ5,IF(A6&lt;'Données projet'!$A$62,$AF$205^A6,IF(A6='Données projet'!$A$62,'Données projet'!$B$62,AI5+AH6-AQ5)))</f>
        <v>2.2329078050230127</v>
      </c>
      <c r="AJ6" s="13">
        <f>AI6*VLOOKUP('Données projet'!$B$10,Paramètres!$A$1:$I$89,3,0)*VLOOKUP('Données projet'!$B$10,Paramètres!$A$1:$I$89,5,0)</f>
        <v>1.248195463007864</v>
      </c>
      <c r="AK6" s="13">
        <f t="shared" si="35"/>
        <v>0.56056679634040518</v>
      </c>
      <c r="AL6" s="20">
        <f t="shared" si="4"/>
        <v>3.1502609350315693</v>
      </c>
      <c r="AM6" s="59">
        <f t="shared" si="5"/>
        <v>296.48359426836487</v>
      </c>
      <c r="AN6" s="59">
        <f ca="1">AVERAGE(OFFSET($AM$3,0,0,'Données projet'!$E$10+1,1))-AVERAGE(OFFSET($H$3,0,0,'Données projet'!$E$10+1,1))</f>
        <v>378.17323480030268</v>
      </c>
      <c r="AO6" s="59">
        <f t="shared" si="36"/>
        <v>471.89239871617241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3.8333333333333335</v>
      </c>
      <c r="N7" s="13">
        <f>IF('Données projet'!$A$36&gt;35,N6+M7-V6,IF(A7&lt;'Données projet'!$A$36,$K$205^A7,IF(A7='Données projet'!$A$36,'Données projet'!$B$36,N6+M7-V6)))</f>
        <v>3.5830478710159466</v>
      </c>
      <c r="O7" s="13">
        <f>N7*VLOOKUP('Données projet'!$B$9,Paramètres!$A$1:$I$89,3,0)*VLOOKUP('Données projet'!$B$9,Paramètres!$A$1:$I$89,5,0)</f>
        <v>2.1426626268675362</v>
      </c>
      <c r="P7" s="13">
        <f t="shared" si="33"/>
        <v>0.9036137643873482</v>
      </c>
      <c r="Q7" s="20">
        <f t="shared" si="2"/>
        <v>5.3055980481022571</v>
      </c>
      <c r="R7" s="59">
        <f t="shared" si="0"/>
        <v>298.63893138143555</v>
      </c>
      <c r="S7" s="59">
        <f ca="1">AVERAGE(OFFSET($R$3,0,0,'Données projet'!$E$9+1,1))-AVERAGE(OFFSET($H$3,0,0,'Données projet'!$E$9+1,1))</f>
        <v>255.24521135682858</v>
      </c>
      <c r="T7" s="59">
        <f t="shared" si="34"/>
        <v>254.36590349790589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8.526315789473685</v>
      </c>
      <c r="AI7" s="13">
        <f>IF('Données projet'!$A$62&gt;35,AI6+AH7-AQ6,IF(A7&lt;'Données projet'!$A$62,$AF$205^A7,IF(A7='Données projet'!$A$62,'Données projet'!$B$62,AI6+AH7-AQ6)))</f>
        <v>2.9185091262186176</v>
      </c>
      <c r="AJ7" s="13">
        <f>AI7*VLOOKUP('Données projet'!$B$10,Paramètres!$A$1:$I$89,3,0)*VLOOKUP('Données projet'!$B$10,Paramètres!$A$1:$I$89,5,0)</f>
        <v>1.6314466015562072</v>
      </c>
      <c r="AK7" s="13">
        <f t="shared" si="35"/>
        <v>0.71020127416305878</v>
      </c>
      <c r="AL7" s="20">
        <f t="shared" si="4"/>
        <v>4.0783700502110554</v>
      </c>
      <c r="AM7" s="59">
        <f t="shared" si="5"/>
        <v>297.41170338354436</v>
      </c>
      <c r="AN7" s="59">
        <f ca="1">AVERAGE(OFFSET($AM$3,0,0,'Données projet'!$E$10+1,1))-AVERAGE(OFFSET($H$3,0,0,'Données projet'!$E$10+1,1))</f>
        <v>378.17323480030268</v>
      </c>
      <c r="AO7" s="59">
        <f t="shared" si="36"/>
        <v>471.89239871617241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3.8333333333333335</v>
      </c>
      <c r="N8" s="13">
        <f>IF('Données projet'!$A$36&gt;35,N7+M8-V7,IF(A8&lt;'Données projet'!$A$36,$K$205^A8,IF(A8='Données projet'!$A$36,'Données projet'!$B$36,N7+M8-V7)))</f>
        <v>4.9296463368648071</v>
      </c>
      <c r="O8" s="13">
        <f>N8*VLOOKUP('Données projet'!$B$9,Paramètres!$A$1:$I$89,3,0)*VLOOKUP('Données projet'!$B$9,Paramètres!$A$1:$I$89,5,0)</f>
        <v>2.9479285094451551</v>
      </c>
      <c r="P8" s="13">
        <f t="shared" si="33"/>
        <v>1.1978908273966751</v>
      </c>
      <c r="Q8" s="20">
        <f t="shared" si="2"/>
        <v>7.2206353449995211</v>
      </c>
      <c r="R8" s="59">
        <f t="shared" si="0"/>
        <v>300.55396867833281</v>
      </c>
      <c r="S8" s="59">
        <f ca="1">AVERAGE(OFFSET($R$3,0,0,'Données projet'!$E$9+1,1))-AVERAGE(OFFSET($H$3,0,0,'Données projet'!$E$9+1,1))</f>
        <v>255.24521135682858</v>
      </c>
      <c r="T8" s="59">
        <f t="shared" si="34"/>
        <v>254.36590349790589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8.526315789473685</v>
      </c>
      <c r="AI8" s="13">
        <f>IF('Données projet'!$A$62&gt;35,AI7+AH8-AQ7,IF(A8&lt;'Données projet'!$A$62,$AF$205^A8,IF(A8='Données projet'!$A$62,'Données projet'!$B$62,AI7+AH8-AQ7)))</f>
        <v>3.8146203352688688</v>
      </c>
      <c r="AJ8" s="13">
        <f>AI8*VLOOKUP('Données projet'!$B$10,Paramètres!$A$1:$I$89,3,0)*VLOOKUP('Données projet'!$B$10,Paramètres!$A$1:$I$89,5,0)</f>
        <v>2.1323727674152977</v>
      </c>
      <c r="AK8" s="13">
        <f t="shared" si="35"/>
        <v>0.89977831922200224</v>
      </c>
      <c r="AL8" s="20">
        <f t="shared" si="4"/>
        <v>5.2809964758932972</v>
      </c>
      <c r="AM8" s="59">
        <f t="shared" si="5"/>
        <v>298.6143298092266</v>
      </c>
      <c r="AN8" s="59">
        <f ca="1">AVERAGE(OFFSET($AM$3,0,0,'Données projet'!$E$10+1,1))-AVERAGE(OFFSET($H$3,0,0,'Données projet'!$E$10+1,1))</f>
        <v>378.17323480030268</v>
      </c>
      <c r="AO8" s="59">
        <f t="shared" si="36"/>
        <v>471.89239871617241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3.8333333333333335</v>
      </c>
      <c r="N9" s="13">
        <f>IF('Données projet'!$A$36&gt;35,N8+M9-V8,IF(A9&lt;'Données projet'!$A$36,$K$205^A9,IF(A9='Données projet'!$A$36,'Données projet'!$B$36,N8+M9-V8)))</f>
        <v>6.7823299831252681</v>
      </c>
      <c r="O9" s="13">
        <f>N9*VLOOKUP('Données projet'!$B$9,Paramètres!$A$1:$I$89,3,0)*VLOOKUP('Données projet'!$B$9,Paramètres!$A$1:$I$89,5,0)</f>
        <v>4.0558333299089107</v>
      </c>
      <c r="P9" s="13">
        <f t="shared" si="33"/>
        <v>1.5880041793453468</v>
      </c>
      <c r="Q9" s="20">
        <f t="shared" si="2"/>
        <v>9.8296836619511652</v>
      </c>
      <c r="R9" s="59">
        <f t="shared" si="0"/>
        <v>303.16301699528447</v>
      </c>
      <c r="S9" s="59">
        <f ca="1">AVERAGE(OFFSET($R$3,0,0,'Données projet'!$E$9+1,1))-AVERAGE(OFFSET($H$3,0,0,'Données projet'!$E$9+1,1))</f>
        <v>255.24521135682858</v>
      </c>
      <c r="T9" s="59">
        <f t="shared" si="34"/>
        <v>254.36590349790589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8.526315789473685</v>
      </c>
      <c r="AI9" s="13">
        <f>IF('Données projet'!$A$62&gt;35,AI8+AH9-AQ8,IF(A9&lt;'Données projet'!$A$62,$AF$205^A9,IF(A9='Données projet'!$A$62,'Données projet'!$B$62,AI8+AH9-AQ8)))</f>
        <v>4.9858772657326877</v>
      </c>
      <c r="AJ9" s="13">
        <f>AI9*VLOOKUP('Données projet'!$B$10,Paramètres!$A$1:$I$89,3,0)*VLOOKUP('Données projet'!$B$10,Paramètres!$A$1:$I$89,5,0)</f>
        <v>2.7871053915445723</v>
      </c>
      <c r="AK9" s="13">
        <f t="shared" si="35"/>
        <v>1.1399599707787778</v>
      </c>
      <c r="AL9" s="20">
        <f t="shared" si="4"/>
        <v>6.839638839379834</v>
      </c>
      <c r="AM9" s="59">
        <f t="shared" si="5"/>
        <v>300.17297217271317</v>
      </c>
      <c r="AN9" s="59">
        <f ca="1">AVERAGE(OFFSET($AM$3,0,0,'Données projet'!$E$10+1,1))-AVERAGE(OFFSET($H$3,0,0,'Données projet'!$E$10+1,1))</f>
        <v>378.17323480030268</v>
      </c>
      <c r="AO9" s="59">
        <f t="shared" si="36"/>
        <v>471.89239871617241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3.8333333333333335</v>
      </c>
      <c r="N10" s="13">
        <f>IF('Données projet'!$A$36&gt;35,N9+M10-V9,IF(A10&lt;'Données projet'!$A$36,$K$205^A10,IF(A10='Données projet'!$A$36,'Données projet'!$B$36,N9+M10-V9)))</f>
        <v>9.3312982020644135</v>
      </c>
      <c r="O10" s="13">
        <f>N10*VLOOKUP('Données projet'!$B$9,Paramètres!$A$1:$I$89,3,0)*VLOOKUP('Données projet'!$B$9,Paramètres!$A$1:$I$89,5,0)</f>
        <v>5.5801163248345196</v>
      </c>
      <c r="P10" s="13">
        <f t="shared" si="33"/>
        <v>2.1051645241317321</v>
      </c>
      <c r="Q10" s="20">
        <f t="shared" si="2"/>
        <v>13.38519747861622</v>
      </c>
      <c r="R10" s="59">
        <f t="shared" si="0"/>
        <v>306.71853081194956</v>
      </c>
      <c r="S10" s="59">
        <f ca="1">AVERAGE(OFFSET($R$3,0,0,'Données projet'!$E$9+1,1))-AVERAGE(OFFSET($H$3,0,0,'Données projet'!$E$9+1,1))</f>
        <v>255.24521135682858</v>
      </c>
      <c r="T10" s="59">
        <f t="shared" si="34"/>
        <v>254.36590349790589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8.526315789473685</v>
      </c>
      <c r="AI10" s="13">
        <f>IF('Données projet'!$A$62&gt;35,AI9+AH10-AQ9,IF(A10&lt;'Données projet'!$A$62,$AF$205^A10,IF(A10='Données projet'!$A$62,'Données projet'!$B$62,AI9+AH10-AQ9)))</f>
        <v>6.5167618069644444</v>
      </c>
      <c r="AJ10" s="13">
        <f>AI10*VLOOKUP('Données projet'!$B$10,Paramètres!$A$1:$I$89,3,0)*VLOOKUP('Données projet'!$B$10,Paramètres!$A$1:$I$89,5,0)</f>
        <v>3.6428698500931249</v>
      </c>
      <c r="AK10" s="13">
        <f t="shared" si="35"/>
        <v>1.4442543315575544</v>
      </c>
      <c r="AL10" s="20">
        <f t="shared" si="4"/>
        <v>8.8600746163749324</v>
      </c>
      <c r="AM10" s="59">
        <f t="shared" si="5"/>
        <v>302.19340794970827</v>
      </c>
      <c r="AN10" s="59">
        <f ca="1">AVERAGE(OFFSET($AM$3,0,0,'Données projet'!$E$10+1,1))-AVERAGE(OFFSET($H$3,0,0,'Données projet'!$E$10+1,1))</f>
        <v>378.17323480030268</v>
      </c>
      <c r="AO10" s="59">
        <f t="shared" si="36"/>
        <v>471.89239871617241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3.8333333333333335</v>
      </c>
      <c r="N11" s="13">
        <f>IF('Données projet'!$A$36&gt;35,N10+M11-V10,IF(A11&lt;'Données projet'!$A$36,$K$205^A11,IF(A11='Données projet'!$A$36,'Données projet'!$B$36,N10+M11-V10)))</f>
        <v>12.838232045991907</v>
      </c>
      <c r="O11" s="13">
        <f>N11*VLOOKUP('Données projet'!$B$9,Paramètres!$A$1:$I$89,3,0)*VLOOKUP('Données projet'!$B$9,Paramètres!$A$1:$I$89,5,0)</f>
        <v>7.6772627635031609</v>
      </c>
      <c r="P11" s="13">
        <f t="shared" si="33"/>
        <v>2.7907468577883434</v>
      </c>
      <c r="Q11" s="20">
        <f t="shared" si="2"/>
        <v>18.23178342374937</v>
      </c>
      <c r="R11" s="59">
        <f t="shared" si="0"/>
        <v>311.56511675708271</v>
      </c>
      <c r="S11" s="59">
        <f ca="1">AVERAGE(OFFSET($R$3,0,0,'Données projet'!$E$9+1,1))-AVERAGE(OFFSET($H$3,0,0,'Données projet'!$E$9+1,1))</f>
        <v>255.24521135682858</v>
      </c>
      <c r="T11" s="59">
        <f t="shared" si="34"/>
        <v>254.36590349790589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8.526315789473685</v>
      </c>
      <c r="AI11" s="13">
        <f>IF('Données projet'!$A$62&gt;35,AI10+AH11-AQ10,IF(A11&lt;'Données projet'!$A$62,$AF$205^A11,IF(A11='Données projet'!$A$62,'Données projet'!$B$62,AI10+AH11-AQ10)))</f>
        <v>8.5176955198213591</v>
      </c>
      <c r="AJ11" s="13">
        <f>AI11*VLOOKUP('Données projet'!$B$10,Paramètres!$A$1:$I$89,3,0)*VLOOKUP('Données projet'!$B$10,Paramètres!$A$1:$I$89,5,0)</f>
        <v>4.7613917955801393</v>
      </c>
      <c r="AK11" s="13">
        <f t="shared" si="35"/>
        <v>1.8297752795633417</v>
      </c>
      <c r="AL11" s="20">
        <f t="shared" si="4"/>
        <v>11.479615989208229</v>
      </c>
      <c r="AM11" s="59">
        <f t="shared" si="5"/>
        <v>304.81294932254156</v>
      </c>
      <c r="AN11" s="59">
        <f ca="1">AVERAGE(OFFSET($AM$3,0,0,'Données projet'!$E$10+1,1))-AVERAGE(OFFSET($H$3,0,0,'Données projet'!$E$10+1,1))</f>
        <v>378.17323480030268</v>
      </c>
      <c r="AO11" s="59">
        <f t="shared" si="36"/>
        <v>471.89239871617241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3.8333333333333335</v>
      </c>
      <c r="N12" s="13">
        <f>IF('Données projet'!$A$36&gt;35,N11+M12-V11,IF(A12&lt;'Données projet'!$A$36,$K$205^A12,IF(A12='Données projet'!$A$36,'Données projet'!$B$36,N11+M12-V11)))</f>
        <v>17.663158812165008</v>
      </c>
      <c r="O12" s="13">
        <f>N12*VLOOKUP('Données projet'!$B$9,Paramètres!$A$1:$I$89,3,0)*VLOOKUP('Données projet'!$B$9,Paramètres!$A$1:$I$89,5,0)</f>
        <v>10.562568969674675</v>
      </c>
      <c r="P12" s="13">
        <f t="shared" si="33"/>
        <v>3.6996006416494942</v>
      </c>
      <c r="Q12" s="20">
        <f t="shared" si="2"/>
        <v>24.839945406389592</v>
      </c>
      <c r="R12" s="59">
        <f t="shared" si="0"/>
        <v>318.17327873972289</v>
      </c>
      <c r="S12" s="59">
        <f ca="1">AVERAGE(OFFSET($R$3,0,0,'Données projet'!$E$9+1,1))-AVERAGE(OFFSET($H$3,0,0,'Données projet'!$E$9+1,1))</f>
        <v>255.24521135682858</v>
      </c>
      <c r="T12" s="59">
        <f t="shared" si="34"/>
        <v>254.36590349790589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8.526315789473685</v>
      </c>
      <c r="AI12" s="13">
        <f>IF('Données projet'!$A$62&gt;35,AI11+AH12-AQ11,IF(A12&lt;'Données projet'!$A$62,$AF$205^A12,IF(A12='Données projet'!$A$62,'Données projet'!$B$62,AI11+AH12-AQ11)))</f>
        <v>11.133004261541316</v>
      </c>
      <c r="AJ12" s="13">
        <f>AI12*VLOOKUP('Données projet'!$B$10,Paramètres!$A$1:$I$89,3,0)*VLOOKUP('Données projet'!$B$10,Paramètres!$A$1:$I$89,5,0)</f>
        <v>6.2233493822015964</v>
      </c>
      <c r="AK12" s="13">
        <f t="shared" si="35"/>
        <v>2.3182049730052579</v>
      </c>
      <c r="AL12" s="20">
        <f t="shared" si="4"/>
        <v>14.87654050198527</v>
      </c>
      <c r="AM12" s="59">
        <f t="shared" si="5"/>
        <v>308.2098738353186</v>
      </c>
      <c r="AN12" s="59">
        <f ca="1">AVERAGE(OFFSET($AM$3,0,0,'Données projet'!$E$10+1,1))-AVERAGE(OFFSET($H$3,0,0,'Données projet'!$E$10+1,1))</f>
        <v>378.17323480030268</v>
      </c>
      <c r="AO12" s="59">
        <f t="shared" si="36"/>
        <v>471.89239871617241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3.8333333333333335</v>
      </c>
      <c r="N13" s="13">
        <f>IF('Données projet'!$A$36&gt;35,N12+M13-V12,IF(A13&lt;'Données projet'!$A$36,$K$205^A13,IF(A13='Données projet'!$A$36,'Données projet'!$B$36,N12+M13-V12)))</f>
        <v>24.301413006564612</v>
      </c>
      <c r="O13" s="13">
        <f>N13*VLOOKUP('Données projet'!$B$9,Paramètres!$A$1:$I$89,3,0)*VLOOKUP('Données projet'!$B$9,Paramètres!$A$1:$I$89,5,0)</f>
        <v>14.53224497792564</v>
      </c>
      <c r="P13" s="13">
        <f t="shared" si="33"/>
        <v>4.9044379892414502</v>
      </c>
      <c r="Q13" s="20">
        <f t="shared" si="2"/>
        <v>33.852222834482681</v>
      </c>
      <c r="R13" s="59">
        <f t="shared" si="0"/>
        <v>327.185556167816</v>
      </c>
      <c r="S13" s="59">
        <f ca="1">AVERAGE(OFFSET($R$3,0,0,'Données projet'!$E$9+1,1))-AVERAGE(OFFSET($H$3,0,0,'Données projet'!$E$9+1,1))</f>
        <v>255.24521135682858</v>
      </c>
      <c r="T13" s="59">
        <f t="shared" si="34"/>
        <v>254.36590349790589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8.526315789473685</v>
      </c>
      <c r="AI13" s="13">
        <f>IF('Données projet'!$A$62&gt;35,AI12+AH13-AQ12,IF(A13&lt;'Données projet'!$A$62,$AF$205^A13,IF(A13='Données projet'!$A$62,'Données projet'!$B$62,AI12+AH13-AQ12)))</f>
        <v>14.551328302246779</v>
      </c>
      <c r="AJ13" s="13">
        <f>AI13*VLOOKUP('Données projet'!$B$10,Paramètres!$A$1:$I$89,3,0)*VLOOKUP('Données projet'!$B$10,Paramètres!$A$1:$I$89,5,0)</f>
        <v>8.1341925209559491</v>
      </c>
      <c r="AK13" s="13">
        <f t="shared" si="35"/>
        <v>2.9370132807503975</v>
      </c>
      <c r="AL13" s="20">
        <f t="shared" si="4"/>
        <v>19.282350104638549</v>
      </c>
      <c r="AM13" s="59">
        <f t="shared" si="5"/>
        <v>312.61568343797188</v>
      </c>
      <c r="AN13" s="59">
        <f ca="1">AVERAGE(OFFSET($AM$3,0,0,'Données projet'!$E$10+1,1))-AVERAGE(OFFSET($H$3,0,0,'Données projet'!$E$10+1,1))</f>
        <v>378.17323480030268</v>
      </c>
      <c r="AO13" s="59">
        <f t="shared" si="36"/>
        <v>471.89239871617241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3.8333333333333335</v>
      </c>
      <c r="N14" s="13">
        <f>IF('Données projet'!$A$36&gt;35,N13+M14-V13,IF(A14&lt;'Données projet'!$A$36,$K$205^A14,IF(A14='Données projet'!$A$36,'Données projet'!$B$36,N13+M14-V13)))</f>
        <v>33.434488156721827</v>
      </c>
      <c r="O14" s="13">
        <f>N14*VLOOKUP('Données projet'!$B$9,Paramètres!$A$1:$I$89,3,0)*VLOOKUP('Données projet'!$B$9,Paramètres!$A$1:$I$89,5,0)</f>
        <v>19.993823917719652</v>
      </c>
      <c r="P14" s="13">
        <f t="shared" si="33"/>
        <v>6.5016509402458835</v>
      </c>
      <c r="Q14" s="20">
        <f t="shared" si="2"/>
        <v>46.146285377623315</v>
      </c>
      <c r="R14" s="59">
        <f t="shared" si="0"/>
        <v>339.47961871095663</v>
      </c>
      <c r="S14" s="59">
        <f ca="1">AVERAGE(OFFSET($R$3,0,0,'Données projet'!$E$9+1,1))-AVERAGE(OFFSET($H$3,0,0,'Données projet'!$E$9+1,1))</f>
        <v>255.24521135682858</v>
      </c>
      <c r="T14" s="59">
        <f t="shared" si="34"/>
        <v>254.36590349790589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8.526315789473685</v>
      </c>
      <c r="AI14" s="13">
        <f>IF('Données projet'!$A$62&gt;35,AI13+AH14-AQ13,IF(A14&lt;'Données projet'!$A$62,$AF$205^A14,IF(A14='Données projet'!$A$62,'Données projet'!$B$62,AI13+AH14-AQ13)))</f>
        <v>19.01922880701866</v>
      </c>
      <c r="AJ14" s="13">
        <f>AI14*VLOOKUP('Données projet'!$B$10,Paramètres!$A$1:$I$89,3,0)*VLOOKUP('Données projet'!$B$10,Paramètres!$A$1:$I$89,5,0)</f>
        <v>10.631748903123432</v>
      </c>
      <c r="AK14" s="13">
        <f t="shared" si="35"/>
        <v>3.7210027205323613</v>
      </c>
      <c r="AL14" s="20">
        <f t="shared" si="4"/>
        <v>24.997709077867171</v>
      </c>
      <c r="AM14" s="59">
        <f t="shared" si="5"/>
        <v>318.33104241120049</v>
      </c>
      <c r="AN14" s="59">
        <f ca="1">AVERAGE(OFFSET($AM$3,0,0,'Données projet'!$E$10+1,1))-AVERAGE(OFFSET($H$3,0,0,'Données projet'!$E$10+1,1))</f>
        <v>378.17323480030268</v>
      </c>
      <c r="AO14" s="59">
        <f t="shared" si="36"/>
        <v>471.89239871617241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</v>
      </c>
      <c r="L15" s="12">
        <f>VLOOKUP(A15,'Données projet'!$A$35:$I$55,9,0)</f>
        <v>3.8333333333333335</v>
      </c>
      <c r="M15" s="12">
        <f t="array" ref="M15">INDEX(L:L,MIN(IF(ISNUMBER(L15:L211),ROW(L15:L211),"")))</f>
        <v>3.8333333333333335</v>
      </c>
      <c r="N15" s="13">
        <f>IF('Données projet'!$A$36&gt;35,N14+M15-V14,IF(A15&lt;'Données projet'!$A$36,$K$205^A15,IF(A15='Données projet'!$A$36,'Données projet'!$B$36,N14+M15-V14)))</f>
        <v>46</v>
      </c>
      <c r="O15" s="13">
        <f>N15*VLOOKUP('Données projet'!$B$9,Paramètres!$A$1:$I$89,3,0)*VLOOKUP('Données projet'!$B$9,Paramètres!$A$1:$I$89,5,0)</f>
        <v>27.508000000000003</v>
      </c>
      <c r="P15" s="13">
        <f t="shared" si="33"/>
        <v>8.619023227845549</v>
      </c>
      <c r="Q15" s="20">
        <f t="shared" si="2"/>
        <v>62.921232121831004</v>
      </c>
      <c r="R15" s="59">
        <f t="shared" si="0"/>
        <v>356.25456545516431</v>
      </c>
      <c r="S15" s="59">
        <f ca="1">AVERAGE(OFFSET($R$3,0,0,'Données projet'!$E$9+1,1))-AVERAGE(OFFSET($H$3,0,0,'Données projet'!$E$9+1,1))</f>
        <v>255.24521135682858</v>
      </c>
      <c r="T15" s="59">
        <f t="shared" si="34"/>
        <v>254.36590349790589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8.526315789473685</v>
      </c>
      <c r="AI15" s="13">
        <f>IF('Données projet'!$A$62&gt;35,AI14+AH15-AQ14,IF(A15&lt;'Données projet'!$A$62,$AF$205^A15,IF(A15='Données projet'!$A$62,'Données projet'!$B$62,AI14+AH15-AQ14)))</f>
        <v>24.85897210895007</v>
      </c>
      <c r="AJ15" s="13">
        <f>AI15*VLOOKUP('Données projet'!$B$10,Paramètres!$A$1:$I$89,3,0)*VLOOKUP('Données projet'!$B$10,Paramètres!$A$1:$I$89,5,0)</f>
        <v>13.896165408903089</v>
      </c>
      <c r="AK15" s="13">
        <f t="shared" si="35"/>
        <v>4.7142657940830492</v>
      </c>
      <c r="AL15" s="20">
        <f t="shared" si="4"/>
        <v>32.413167678534187</v>
      </c>
      <c r="AM15" s="59">
        <f t="shared" si="5"/>
        <v>325.74650101186751</v>
      </c>
      <c r="AN15" s="59">
        <f ca="1">AVERAGE(OFFSET($AM$3,0,0,'Données projet'!$E$10+1,1))-AVERAGE(OFFSET($H$3,0,0,'Données projet'!$E$10+1,1))</f>
        <v>378.17323480030268</v>
      </c>
      <c r="AO15" s="59">
        <f t="shared" si="36"/>
        <v>471.89239871617241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15.25</v>
      </c>
      <c r="N16" s="13">
        <f>IF('Données projet'!$A$36&gt;35,N15+M16-V15,IF(A16&lt;'Données projet'!$A$36,$K$205^A16,IF(A16='Données projet'!$A$36,'Données projet'!$B$36,N15+M16-V15)))</f>
        <v>61.25</v>
      </c>
      <c r="O16" s="13">
        <f>N16*VLOOKUP('Données projet'!$B$9,Paramètres!$A$1:$I$89,3,0)*VLOOKUP('Données projet'!$B$9,Paramètres!$A$1:$I$89,5,0)</f>
        <v>36.627500000000005</v>
      </c>
      <c r="P16" s="13">
        <f t="shared" si="33"/>
        <v>11.100235041832279</v>
      </c>
      <c r="Q16" s="20">
        <f t="shared" si="2"/>
        <v>83.125805197857886</v>
      </c>
      <c r="R16" s="59">
        <f t="shared" si="0"/>
        <v>376.45913853119123</v>
      </c>
      <c r="S16" s="59">
        <f ca="1">AVERAGE(OFFSET($R$3,0,0,'Données projet'!$E$9+1,1))-AVERAGE(OFFSET($H$3,0,0,'Données projet'!$E$9+1,1))</f>
        <v>255.24521135682858</v>
      </c>
      <c r="T16" s="59">
        <f t="shared" si="34"/>
        <v>254.36590349790589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8.526315789473685</v>
      </c>
      <c r="AI16" s="13">
        <f>IF('Données projet'!$A$62&gt;35,AI15+AH16-AQ15,IF(A16&lt;'Données projet'!$A$62,$AF$205^A16,IF(A16='Données projet'!$A$62,'Données projet'!$B$62,AI15+AH16-AQ15)))</f>
        <v>32.491774539539094</v>
      </c>
      <c r="AJ16" s="13">
        <f>AI16*VLOOKUP('Données projet'!$B$10,Paramètres!$A$1:$I$89,3,0)*VLOOKUP('Données projet'!$B$10,Paramètres!$A$1:$I$89,5,0)</f>
        <v>18.162901967602355</v>
      </c>
      <c r="AK16" s="13">
        <f t="shared" si="35"/>
        <v>5.9726648020514927</v>
      </c>
      <c r="AL16" s="20">
        <f t="shared" si="4"/>
        <v>42.036112123813787</v>
      </c>
      <c r="AM16" s="59">
        <f t="shared" si="5"/>
        <v>335.36944545714709</v>
      </c>
      <c r="AN16" s="59">
        <f ca="1">AVERAGE(OFFSET($AM$3,0,0,'Données projet'!$E$10+1,1))-AVERAGE(OFFSET($H$3,0,0,'Données projet'!$E$10+1,1))</f>
        <v>378.17323480030268</v>
      </c>
      <c r="AO16" s="59">
        <f t="shared" si="36"/>
        <v>471.89239871617241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15.25</v>
      </c>
      <c r="N17" s="13">
        <f>IF('Données projet'!$A$36&gt;35,N16+M17-V16,IF(A17&lt;'Données projet'!$A$36,$K$205^A17,IF(A17='Données projet'!$A$36,'Données projet'!$B$36,N16+M17-V16)))</f>
        <v>76.5</v>
      </c>
      <c r="O17" s="13">
        <f>N17*VLOOKUP('Données projet'!$B$9,Paramètres!$A$1:$I$89,3,0)*VLOOKUP('Données projet'!$B$9,Paramètres!$A$1:$I$89,5,0)</f>
        <v>45.747000000000007</v>
      </c>
      <c r="P17" s="13">
        <f t="shared" si="33"/>
        <v>13.509786169595499</v>
      </c>
      <c r="Q17" s="20">
        <f t="shared" si="2"/>
        <v>103.20556924537884</v>
      </c>
      <c r="R17" s="59">
        <f t="shared" si="0"/>
        <v>396.53890257871217</v>
      </c>
      <c r="S17" s="59">
        <f ca="1">AVERAGE(OFFSET($R$3,0,0,'Données projet'!$E$9+1,1))-AVERAGE(OFFSET($H$3,0,0,'Données projet'!$E$9+1,1))</f>
        <v>255.24521135682858</v>
      </c>
      <c r="T17" s="59">
        <f t="shared" si="34"/>
        <v>254.36590349790589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8.526315789473685</v>
      </c>
      <c r="AI17" s="13">
        <f>IF('Données projet'!$A$62&gt;35,AI16+AH17-AQ16,IF(A17&lt;'Données projet'!$A$62,$AF$205^A17,IF(A17='Données projet'!$A$62,'Données projet'!$B$62,AI16+AH17-AQ16)))</f>
        <v>42.468184448710481</v>
      </c>
      <c r="AJ17" s="13">
        <f>AI17*VLOOKUP('Données projet'!$B$10,Paramètres!$A$1:$I$89,3,0)*VLOOKUP('Données projet'!$B$10,Paramètres!$A$1:$I$89,5,0)</f>
        <v>23.739715106829159</v>
      </c>
      <c r="AK17" s="13">
        <f t="shared" si="35"/>
        <v>7.5669736064602473</v>
      </c>
      <c r="AL17" s="20">
        <f t="shared" si="4"/>
        <v>54.525816175645708</v>
      </c>
      <c r="AM17" s="59">
        <f t="shared" si="5"/>
        <v>347.85914950897904</v>
      </c>
      <c r="AN17" s="59">
        <f ca="1">AVERAGE(OFFSET($AM$3,0,0,'Données projet'!$E$10+1,1))-AVERAGE(OFFSET($H$3,0,0,'Données projet'!$E$10+1,1))</f>
        <v>378.17323480030268</v>
      </c>
      <c r="AO17" s="59">
        <f t="shared" si="36"/>
        <v>471.89239871617241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15.25</v>
      </c>
      <c r="N18" s="13">
        <f>IF('Données projet'!$A$36&gt;35,N17+M18-V17,IF(A18&lt;'Données projet'!$A$36,$K$205^A18,IF(A18='Données projet'!$A$36,'Données projet'!$B$36,N17+M18-V17)))</f>
        <v>91.75</v>
      </c>
      <c r="O18" s="13">
        <f>N18*VLOOKUP('Données projet'!$B$9,Paramètres!$A$1:$I$89,3,0)*VLOOKUP('Données projet'!$B$9,Paramètres!$A$1:$I$89,5,0)</f>
        <v>54.866500000000002</v>
      </c>
      <c r="P18" s="13">
        <f t="shared" si="33"/>
        <v>15.863680596172721</v>
      </c>
      <c r="Q18" s="20">
        <f t="shared" si="2"/>
        <v>123.18839787166746</v>
      </c>
      <c r="R18" s="59">
        <f t="shared" si="0"/>
        <v>416.52173120500078</v>
      </c>
      <c r="S18" s="59">
        <f ca="1">AVERAGE(OFFSET($R$3,0,0,'Données projet'!$E$9+1,1))-AVERAGE(OFFSET($H$3,0,0,'Données projet'!$E$9+1,1))</f>
        <v>255.24521135682858</v>
      </c>
      <c r="T18" s="59">
        <f t="shared" si="34"/>
        <v>254.36590349790589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8.526315789473685</v>
      </c>
      <c r="AI18" s="13">
        <f>IF('Données projet'!$A$62&gt;35,AI17+AH18-AQ17,IF(A18&lt;'Données projet'!$A$62,$AF$205^A18,IF(A18='Données projet'!$A$62,'Données projet'!$B$62,AI17+AH18-AQ17)))</f>
        <v>55.507792846923991</v>
      </c>
      <c r="AJ18" s="13">
        <f>AI18*VLOOKUP('Données projet'!$B$10,Paramètres!$A$1:$I$89,3,0)*VLOOKUP('Données projet'!$B$10,Paramètres!$A$1:$I$89,5,0)</f>
        <v>31.028856201430514</v>
      </c>
      <c r="AK18" s="13">
        <f t="shared" si="35"/>
        <v>9.5868580371693835</v>
      </c>
      <c r="AL18" s="20">
        <f t="shared" si="4"/>
        <v>70.739035632228152</v>
      </c>
      <c r="AM18" s="59">
        <f t="shared" si="5"/>
        <v>364.07236896556145</v>
      </c>
      <c r="AN18" s="59">
        <f ca="1">AVERAGE(OFFSET($AM$3,0,0,'Données projet'!$E$10+1,1))-AVERAGE(OFFSET($H$3,0,0,'Données projet'!$E$10+1,1))</f>
        <v>378.17323480030268</v>
      </c>
      <c r="AO18" s="59">
        <f t="shared" si="36"/>
        <v>471.89239871617241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</v>
      </c>
      <c r="L19" s="12">
        <f>VLOOKUP(A19,'Données projet'!$A$35:$I$55,9,0)</f>
        <v>15.25</v>
      </c>
      <c r="M19" s="12">
        <f t="array" ref="M19">INDEX(L:L,MIN(IF(ISNUMBER(L19:L215),ROW(L19:L215),"")))</f>
        <v>15.25</v>
      </c>
      <c r="N19" s="13">
        <f>IF('Données projet'!$A$36&gt;35,N18+M19-V18,IF(A19&lt;'Données projet'!$A$36,$K$205^A19,IF(A19='Données projet'!$A$36,'Données projet'!$B$36,N18+M19-V18)))</f>
        <v>107</v>
      </c>
      <c r="O19" s="13">
        <f>N19*VLOOKUP('Données projet'!$B$9,Paramètres!$A$1:$I$89,3,0)*VLOOKUP('Données projet'!$B$9,Paramètres!$A$1:$I$89,5,0)</f>
        <v>63.986000000000004</v>
      </c>
      <c r="P19" s="13">
        <f t="shared" si="33"/>
        <v>18.172251427996663</v>
      </c>
      <c r="Q19" s="20">
        <f t="shared" si="2"/>
        <v>143.09228790376088</v>
      </c>
      <c r="R19" s="59">
        <f t="shared" si="0"/>
        <v>436.42562123709422</v>
      </c>
      <c r="S19" s="59">
        <f ca="1">AVERAGE(OFFSET($R$3,0,0,'Données projet'!$E$9+1,1))-AVERAGE(OFFSET($H$3,0,0,'Données projet'!$E$9+1,1))</f>
        <v>255.24521135682858</v>
      </c>
      <c r="T19" s="59">
        <f t="shared" si="34"/>
        <v>254.36590349790589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9.0000000000000011E-2</v>
      </c>
      <c r="X19" s="16">
        <f>IF(ISNA(VLOOKUP(A19,'Données projet'!$A$35:$I$55,6,0)),0%,VLOOKUP(A19,'Données projet'!$A$35:$I$55,6,0)*VLOOKUP('Données projet'!$B$9,Paramètres!$A$1:$I$89,7,0))</f>
        <v>9.0000000000000011E-2</v>
      </c>
      <c r="Y19" s="16">
        <f>IF(ISNA(VLOOKUP(A19,'Données projet'!$A$35:$I$55,7,0)),0%,VLOOKUP(A19,'Données projet'!$A$35:$I$55,7,0))</f>
        <v>0.6</v>
      </c>
      <c r="Z19" s="21">
        <f>EXP(-LN(2)/35)*Z18+(1-EXP(-LN(2)/35))/(LN(2)/35)*V19*W19*VLOOKUP('Données projet'!$B$9,Paramètres!$A$1:$I$89,3,0)*0.475*44/12</f>
        <v>1.7848924747939015</v>
      </c>
      <c r="AA19" s="21">
        <f>EXP(-LN(2)/25)*AA18+(1-EXP(-LN(2)/25))/(LN(2)/25)*Calculateur!V19*Calculateur!X19*VLOOKUP('Données projet'!$B$9,Paramètres!$A$1:$I$89,3,0)*0.475*44/12</f>
        <v>1.7778646730232861</v>
      </c>
      <c r="AB19" s="21">
        <f>EXP(-LN(2)/2)*AB18+(1-EXP(-LN(2)/2))/(LN(2)/2)*V19*Y19*VLOOKUP('Données projet'!$B$9,Paramètres!$A$1:$I$89,3,0)*0.475*44/12</f>
        <v>10.1561237088124</v>
      </c>
      <c r="AC19" s="22">
        <f t="shared" si="3"/>
        <v>13.718880856629587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8.526315789473685</v>
      </c>
      <c r="AI19" s="13">
        <f>IF('Données projet'!$A$62&gt;35,AI18+AH19-AQ18,IF(A19&lt;'Données projet'!$A$62,$AF$205^A19,IF(A19='Données projet'!$A$62,'Données projet'!$B$62,AI18+AH19-AQ18)))</f>
        <v>72.551136968384853</v>
      </c>
      <c r="AJ19" s="13">
        <f>AI19*VLOOKUP('Données projet'!$B$10,Paramètres!$A$1:$I$89,3,0)*VLOOKUP('Données projet'!$B$10,Paramètres!$A$1:$I$89,5,0)</f>
        <v>40.55608556532713</v>
      </c>
      <c r="AK19" s="13">
        <f t="shared" si="35"/>
        <v>12.145918805157919</v>
      </c>
      <c r="AL19" s="20">
        <f t="shared" si="4"/>
        <v>91.78932427859479</v>
      </c>
      <c r="AM19" s="59">
        <f t="shared" si="5"/>
        <v>385.1226576119281</v>
      </c>
      <c r="AN19" s="59">
        <f ca="1">AVERAGE(OFFSET($AM$3,0,0,'Données projet'!$E$10+1,1))-AVERAGE(OFFSET($H$3,0,0,'Données projet'!$E$10+1,1))</f>
        <v>378.17323480030268</v>
      </c>
      <c r="AO19" s="59">
        <f t="shared" si="36"/>
        <v>471.89239871617241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24.75</v>
      </c>
      <c r="N20" s="13">
        <f>IF('Données projet'!$A$36&gt;35,N19+M20-V19,IF(A20&lt;'Données projet'!$A$36,$K$205^A20,IF(A20='Données projet'!$A$36,'Données projet'!$B$36,N19+M20-V19)))</f>
        <v>106.75</v>
      </c>
      <c r="O20" s="13">
        <f>N20*VLOOKUP('Données projet'!$B$9,Paramètres!$A$1:$I$89,3,0)*VLOOKUP('Données projet'!$B$9,Paramètres!$A$1:$I$89,5,0)</f>
        <v>63.836500000000008</v>
      </c>
      <c r="P20" s="13">
        <f t="shared" si="33"/>
        <v>18.134729963710132</v>
      </c>
      <c r="Q20" s="20">
        <f t="shared" si="2"/>
        <v>142.76655885346182</v>
      </c>
      <c r="R20" s="59">
        <f t="shared" si="0"/>
        <v>436.09989218679516</v>
      </c>
      <c r="S20" s="59">
        <f ca="1">AVERAGE(OFFSET($R$3,0,0,'Données projet'!$E$9+1,1))-AVERAGE(OFFSET($H$3,0,0,'Données projet'!$E$9+1,1))</f>
        <v>255.24521135682858</v>
      </c>
      <c r="T20" s="59">
        <f t="shared" si="34"/>
        <v>254.36590349790589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1.7498918220401047</v>
      </c>
      <c r="AA20" s="21">
        <f>EXP(-LN(2)/25)*AA19+(1-EXP(-LN(2)/25))/(LN(2)/25)*Calculateur!V20*Calculateur!X20*VLOOKUP('Données projet'!$B$9,Paramètres!$A$1:$I$89,3,0)*0.475*44/12</f>
        <v>1.7292488700456246</v>
      </c>
      <c r="AB20" s="21">
        <f>EXP(-LN(2)/2)*AB19+(1-EXP(-LN(2)/2))/(LN(2)/2)*V20*Y20*VLOOKUP('Données projet'!$B$9,Paramètres!$A$1:$I$89,3,0)*0.475*44/12</f>
        <v>7.1814639450707176</v>
      </c>
      <c r="AC20" s="22">
        <f t="shared" si="3"/>
        <v>10.660604637156446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8.526315789473685</v>
      </c>
      <c r="AI20" s="13">
        <f>IF('Données projet'!$A$62&gt;35,AI19+AH20-AQ19,IF(A20&lt;'Données projet'!$A$62,$AF$205^A20,IF(A20='Données projet'!$A$62,'Données projet'!$B$62,AI19+AH20-AQ19)))</f>
        <v>94.827540520682575</v>
      </c>
      <c r="AJ20" s="13">
        <f>AI20*VLOOKUP('Données projet'!$B$10,Paramètres!$A$1:$I$89,3,0)*VLOOKUP('Données projet'!$B$10,Paramètres!$A$1:$I$89,5,0)</f>
        <v>53.008595151061563</v>
      </c>
      <c r="AK20" s="13">
        <f t="shared" si="35"/>
        <v>15.388080542084102</v>
      </c>
      <c r="AL20" s="20">
        <f t="shared" si="4"/>
        <v>119.12421016556203</v>
      </c>
      <c r="AM20" s="59">
        <f t="shared" si="5"/>
        <v>412.45754349889535</v>
      </c>
      <c r="AN20" s="59">
        <f ca="1">AVERAGE(OFFSET($AM$3,0,0,'Données projet'!$E$10+1,1))-AVERAGE(OFFSET($H$3,0,0,'Données projet'!$E$10+1,1))</f>
        <v>378.17323480030268</v>
      </c>
      <c r="AO20" s="59">
        <f t="shared" si="36"/>
        <v>471.89239871617241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24.75</v>
      </c>
      <c r="N21" s="13">
        <f>IF('Données projet'!$A$36&gt;35,N20+M21-V20,IF(A21&lt;'Données projet'!$A$36,$K$205^A21,IF(A21='Données projet'!$A$36,'Données projet'!$B$36,N20+M21-V20)))</f>
        <v>131.5</v>
      </c>
      <c r="O21" s="13">
        <f>N21*VLOOKUP('Données projet'!$B$9,Paramètres!$A$1:$I$89,3,0)*VLOOKUP('Données projet'!$B$9,Paramètres!$A$1:$I$89,5,0)</f>
        <v>78.637</v>
      </c>
      <c r="P21" s="13">
        <f t="shared" si="33"/>
        <v>21.803590973216835</v>
      </c>
      <c r="Q21" s="20">
        <f t="shared" si="2"/>
        <v>174.93402927835265</v>
      </c>
      <c r="R21" s="59">
        <f t="shared" si="0"/>
        <v>468.26736261168594</v>
      </c>
      <c r="S21" s="59">
        <f ca="1">AVERAGE(OFFSET($R$3,0,0,'Données projet'!$E$9+1,1))-AVERAGE(OFFSET($H$3,0,0,'Données projet'!$E$9+1,1))</f>
        <v>255.24521135682858</v>
      </c>
      <c r="T21" s="59">
        <f t="shared" si="34"/>
        <v>254.36590349790589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1.7155775107385198</v>
      </c>
      <c r="AA21" s="21">
        <f>EXP(-LN(2)/25)*AA20+(1-EXP(-LN(2)/25))/(LN(2)/25)*Calculateur!V21*Calculateur!X21*VLOOKUP('Données projet'!$B$9,Paramètres!$A$1:$I$89,3,0)*0.475*44/12</f>
        <v>1.6819624687569812</v>
      </c>
      <c r="AB21" s="21">
        <f>EXP(-LN(2)/2)*AB20+(1-EXP(-LN(2)/2))/(LN(2)/2)*V21*Y21*VLOOKUP('Données projet'!$B$9,Paramètres!$A$1:$I$89,3,0)*0.475*44/12</f>
        <v>5.0780618544062008</v>
      </c>
      <c r="AC21" s="22">
        <f t="shared" si="3"/>
        <v>8.4756018339017025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8.526315789473685</v>
      </c>
      <c r="AI21" s="13">
        <f>IF('Données projet'!$A$62&gt;35,AI20+AH21-AQ20,IF(A21&lt;'Données projet'!$A$62,$AF$205^A21,IF(A21='Données projet'!$A$62,'Données projet'!$B$62,AI20+AH21-AQ20)))</f>
        <v>123.94378388749713</v>
      </c>
      <c r="AJ21" s="13">
        <f>AI21*VLOOKUP('Données projet'!$B$10,Paramètres!$A$1:$I$89,3,0)*VLOOKUP('Données projet'!$B$10,Paramètres!$A$1:$I$89,5,0)</f>
        <v>69.284575193110896</v>
      </c>
      <c r="AK21" s="13">
        <f t="shared" si="35"/>
        <v>19.495686293334202</v>
      </c>
      <c r="AL21" s="20">
        <f t="shared" si="4"/>
        <v>154.62562208889187</v>
      </c>
      <c r="AM21" s="59">
        <f t="shared" si="5"/>
        <v>447.95895542222519</v>
      </c>
      <c r="AN21" s="59">
        <f ca="1">AVERAGE(OFFSET($AM$3,0,0,'Données projet'!$E$10+1,1))-AVERAGE(OFFSET($H$3,0,0,'Données projet'!$E$10+1,1))</f>
        <v>378.17323480030268</v>
      </c>
      <c r="AO21" s="59">
        <f t="shared" si="36"/>
        <v>471.89239871617241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24.75</v>
      </c>
      <c r="N22" s="13">
        <f>IF('Données projet'!$A$36&gt;35,N21+M22-V21,IF(A22&lt;'Données projet'!$A$36,$K$205^A22,IF(A22='Données projet'!$A$36,'Données projet'!$B$36,N21+M22-V21)))</f>
        <v>156.25</v>
      </c>
      <c r="O22" s="13">
        <f>N22*VLOOKUP('Données projet'!$B$9,Paramètres!$A$1:$I$89,3,0)*VLOOKUP('Données projet'!$B$9,Paramètres!$A$1:$I$89,5,0)</f>
        <v>93.4375</v>
      </c>
      <c r="P22" s="13">
        <f t="shared" si="33"/>
        <v>25.392450004049856</v>
      </c>
      <c r="Q22" s="20">
        <f t="shared" si="2"/>
        <v>206.96216292372014</v>
      </c>
      <c r="R22" s="59">
        <f t="shared" si="0"/>
        <v>500.29549625705346</v>
      </c>
      <c r="S22" s="59">
        <f ca="1">AVERAGE(OFFSET($R$3,0,0,'Données projet'!$E$9+1,1))-AVERAGE(OFFSET($H$3,0,0,'Données projet'!$E$9+1,1))</f>
        <v>255.24521135682858</v>
      </c>
      <c r="T22" s="59">
        <f t="shared" si="34"/>
        <v>254.36590349790589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1.6819360821518956</v>
      </c>
      <c r="AA22" s="21">
        <f>EXP(-LN(2)/25)*AA21+(1-EXP(-LN(2)/25))/(LN(2)/25)*Calculateur!V22*Calculateur!X22*VLOOKUP('Données projet'!$B$9,Paramètres!$A$1:$I$89,3,0)*0.475*44/12</f>
        <v>1.6359691165982595</v>
      </c>
      <c r="AB22" s="21">
        <f>EXP(-LN(2)/2)*AB21+(1-EXP(-LN(2)/2))/(LN(2)/2)*V22*Y22*VLOOKUP('Données projet'!$B$9,Paramètres!$A$1:$I$89,3,0)*0.475*44/12</f>
        <v>3.5907319725353593</v>
      </c>
      <c r="AC22" s="22">
        <f t="shared" si="3"/>
        <v>6.9086371712855144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162</v>
      </c>
      <c r="AG22" s="12">
        <f>VLOOKUP(A22,'Données projet'!$A$61:$I$81,9,0)</f>
        <v>8.526315789473685</v>
      </c>
      <c r="AH22" s="12">
        <f t="array" ref="AH22">INDEX(AG:AG,MIN(IF(ISNUMBER(AG22:AG218),ROW(AG22:AG218),"")))</f>
        <v>8.526315789473685</v>
      </c>
      <c r="AI22" s="13">
        <f>IF('Données projet'!$A$62&gt;35,AI21+AH22-AQ21,IF(A22&lt;'Données projet'!$A$62,$AF$205^A22,IF(A22='Données projet'!$A$62,'Données projet'!$B$62,AI21+AH22-AQ21)))</f>
        <v>162</v>
      </c>
      <c r="AJ22" s="13">
        <f>AI22*VLOOKUP('Données projet'!$B$10,Paramètres!$A$1:$I$89,3,0)*VLOOKUP('Données projet'!$B$10,Paramètres!$A$1:$I$89,5,0)</f>
        <v>90.557999999999993</v>
      </c>
      <c r="AK22" s="13">
        <f t="shared" si="35"/>
        <v>24.699752708509138</v>
      </c>
      <c r="AL22" s="20">
        <f t="shared" si="4"/>
        <v>200.74058596732007</v>
      </c>
      <c r="AM22" s="59">
        <f t="shared" si="5"/>
        <v>494.07391930065342</v>
      </c>
      <c r="AN22" s="59">
        <f ca="1">AVERAGE(OFFSET($AM$3,0,0,'Données projet'!$E$10+1,1))-AVERAGE(OFFSET($H$3,0,0,'Données projet'!$E$10+1,1))</f>
        <v>378.17323480030268</v>
      </c>
      <c r="AO22" s="59">
        <f t="shared" si="36"/>
        <v>471.89239871617241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0.33</v>
      </c>
      <c r="AT22" s="16">
        <f>IF(ISNA(VLOOKUP(A22,'Données projet'!$A$61:$I$81,7,0)),0%,VLOOKUP(A22,'Données projet'!$A$61:$I$81,7,0))</f>
        <v>0.4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181</v>
      </c>
      <c r="L23" s="12">
        <f>VLOOKUP(A23,'Données projet'!$A$35:$I$55,9,0)</f>
        <v>24.75</v>
      </c>
      <c r="M23" s="12">
        <f t="array" ref="M23">INDEX(L:L,MIN(IF(ISNUMBER(L23:L219),ROW(L23:L219),"")))</f>
        <v>24.75</v>
      </c>
      <c r="N23" s="13">
        <f>IF('Données projet'!$A$36&gt;35,N22+M23-V22,IF(A23&lt;'Données projet'!$A$36,$K$205^A23,IF(A23='Données projet'!$A$36,'Données projet'!$B$36,N22+M23-V22)))</f>
        <v>181</v>
      </c>
      <c r="O23" s="13">
        <f>N23*VLOOKUP('Données projet'!$B$9,Paramètres!$A$1:$I$89,3,0)*VLOOKUP('Données projet'!$B$9,Paramètres!$A$1:$I$89,5,0)</f>
        <v>108.23800000000001</v>
      </c>
      <c r="P23" s="13">
        <f t="shared" si="33"/>
        <v>28.915454284197679</v>
      </c>
      <c r="Q23" s="20">
        <f t="shared" si="2"/>
        <v>238.87559954497763</v>
      </c>
      <c r="R23" s="59">
        <f t="shared" si="0"/>
        <v>532.20893287831097</v>
      </c>
      <c r="S23" s="59">
        <f ca="1">AVERAGE(OFFSET($R$3,0,0,'Données projet'!$E$9+1,1))-AVERAGE(OFFSET($H$3,0,0,'Données projet'!$E$9+1,1))</f>
        <v>255.24521135682858</v>
      </c>
      <c r="T23" s="59">
        <f t="shared" si="34"/>
        <v>254.36590349790589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34</v>
      </c>
      <c r="W23" s="16">
        <f>IF(ISNA(VLOOKUP(A23,'Données projet'!$A$35:$I$55,5,0)),0%,VLOOKUP(A23,'Données projet'!$A$35:$I$55,5,0)*VLOOKUP('Données projet'!$B$9,Paramètres!$A$1:$I$89,7,0))</f>
        <v>0.13500000000000001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0.3</v>
      </c>
      <c r="Z23" s="21">
        <f>EXP(-LN(2)/35)*Z22+(1-EXP(-LN(2)/35))/(LN(2)/35)*V23*W23*VLOOKUP('Données projet'!$B$9,Paramètres!$A$1:$I$89,3,0)*0.475*44/12</f>
        <v>5.2901349900401691</v>
      </c>
      <c r="AA23" s="21">
        <f>EXP(-LN(2)/25)*AA22+(1-EXP(-LN(2)/25))/(LN(2)/25)*Calculateur!V23*Calculateur!X23*VLOOKUP('Données projet'!$B$9,Paramètres!$A$1:$I$89,3,0)*0.475*44/12</f>
        <v>6.4270253656963421</v>
      </c>
      <c r="AB23" s="21">
        <f>EXP(-LN(2)/2)*AB22+(1-EXP(-LN(2)/2))/(LN(2)/2)*V23*Y23*VLOOKUP('Données projet'!$B$9,Paramètres!$A$1:$I$89,3,0)*0.475*44/12</f>
        <v>9.445195049195533</v>
      </c>
      <c r="AC23" s="22">
        <f t="shared" si="3"/>
        <v>21.162355404932043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28.833333333333332</v>
      </c>
      <c r="AI23" s="13">
        <f>IF('Données projet'!$A$62&gt;35,AI22+AH23-AQ22,IF(A23&lt;'Données projet'!$A$62,$AF$205^A23,IF(A23='Données projet'!$A$62,'Données projet'!$B$62,AI22+AH23-AQ22)))</f>
        <v>190.83333333333334</v>
      </c>
      <c r="AJ23" s="13">
        <f>AI23*VLOOKUP('Données projet'!$B$10,Paramètres!$A$1:$I$89,3,0)*VLOOKUP('Données projet'!$B$10,Paramètres!$A$1:$I$89,5,0)</f>
        <v>106.67583333333334</v>
      </c>
      <c r="AK23" s="13">
        <f t="shared" si="35"/>
        <v>28.546391754319739</v>
      </c>
      <c r="AL23" s="20">
        <f t="shared" si="4"/>
        <v>235.51204202766243</v>
      </c>
      <c r="AM23" s="59">
        <f t="shared" si="5"/>
        <v>528.84537536099572</v>
      </c>
      <c r="AN23" s="59">
        <f ca="1">AVERAGE(OFFSET($AM$3,0,0,'Données projet'!$E$10+1,1))-AVERAGE(OFFSET($H$3,0,0,'Données projet'!$E$10+1,1))</f>
        <v>378.17323480030268</v>
      </c>
      <c r="AO23" s="59">
        <f t="shared" si="36"/>
        <v>471.89239871617241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12.5</v>
      </c>
      <c r="N24" s="13">
        <f>IF('Données projet'!$A$36&gt;35,N23+M24-V23,IF(A24&lt;'Données projet'!$A$36,$K$205^A24,IF(A24='Données projet'!$A$36,'Données projet'!$B$36,N23+M24-V23)))</f>
        <v>159.5</v>
      </c>
      <c r="O24" s="13">
        <f>N24*VLOOKUP('Données projet'!$B$9,Paramètres!$A$1:$I$89,3,0)*VLOOKUP('Données projet'!$B$9,Paramètres!$A$1:$I$89,5,0)</f>
        <v>95.381000000000014</v>
      </c>
      <c r="P24" s="13">
        <f t="shared" si="33"/>
        <v>25.858574171052403</v>
      </c>
      <c r="Q24" s="20">
        <f t="shared" si="2"/>
        <v>211.15892501458293</v>
      </c>
      <c r="R24" s="59">
        <f t="shared" si="0"/>
        <v>504.49225834791628</v>
      </c>
      <c r="S24" s="59">
        <f ca="1">AVERAGE(OFFSET($R$3,0,0,'Données projet'!$E$9+1,1))-AVERAGE(OFFSET($H$3,0,0,'Données projet'!$E$9+1,1))</f>
        <v>255.24521135682858</v>
      </c>
      <c r="T24" s="59">
        <f t="shared" si="34"/>
        <v>254.36590349790589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5.1863986695492184</v>
      </c>
      <c r="AA24" s="21">
        <f>EXP(-LN(2)/25)*AA23+(1-EXP(-LN(2)/25))/(LN(2)/25)*Calculateur!V24*Calculateur!X24*VLOOKUP('Données projet'!$B$9,Paramètres!$A$1:$I$89,3,0)*0.475*44/12</f>
        <v>6.2512780190888009</v>
      </c>
      <c r="AB24" s="21">
        <f>EXP(-LN(2)/2)*AB23+(1-EXP(-LN(2)/2))/(LN(2)/2)*V24*Y24*VLOOKUP('Données projet'!$B$9,Paramètres!$A$1:$I$89,3,0)*0.475*44/12</f>
        <v>6.6787614689157682</v>
      </c>
      <c r="AC24" s="22">
        <f t="shared" si="3"/>
        <v>18.116438157553787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28.833333333333332</v>
      </c>
      <c r="AI24" s="13">
        <f>IF('Données projet'!$A$62&gt;35,AI23+AH24-AQ23,IF(A24&lt;'Données projet'!$A$62,$AF$205^A24,IF(A24='Données projet'!$A$62,'Données projet'!$B$62,AI23+AH24-AQ23)))</f>
        <v>219.66666666666669</v>
      </c>
      <c r="AJ24" s="13">
        <f>AI24*VLOOKUP('Données projet'!$B$10,Paramètres!$A$1:$I$89,3,0)*VLOOKUP('Données projet'!$B$10,Paramètres!$A$1:$I$89,5,0)</f>
        <v>122.79366666666668</v>
      </c>
      <c r="AK24" s="13">
        <f t="shared" si="35"/>
        <v>32.32570088253398</v>
      </c>
      <c r="AL24" s="20">
        <f t="shared" si="4"/>
        <v>270.16623181485778</v>
      </c>
      <c r="AM24" s="59">
        <f t="shared" si="5"/>
        <v>563.4995651481911</v>
      </c>
      <c r="AN24" s="59">
        <f ca="1">AVERAGE(OFFSET($AM$3,0,0,'Données projet'!$E$10+1,1))-AVERAGE(OFFSET($H$3,0,0,'Données projet'!$E$10+1,1))</f>
        <v>378.17323480030268</v>
      </c>
      <c r="AO24" s="59">
        <f t="shared" si="36"/>
        <v>471.89239871617241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12.5</v>
      </c>
      <c r="N25" s="13">
        <f>IF('Données projet'!$A$36&gt;35,N24+M25-V24,IF(A25&lt;'Données projet'!$A$36,$K$205^A25,IF(A25='Données projet'!$A$36,'Données projet'!$B$36,N24+M25-V24)))</f>
        <v>172</v>
      </c>
      <c r="O25" s="13">
        <f>N25*VLOOKUP('Données projet'!$B$9,Paramètres!$A$1:$I$89,3,0)*VLOOKUP('Données projet'!$B$9,Paramètres!$A$1:$I$89,5,0)</f>
        <v>102.85600000000001</v>
      </c>
      <c r="P25" s="13">
        <f t="shared" si="33"/>
        <v>27.641281046809258</v>
      </c>
      <c r="Q25" s="20">
        <f t="shared" si="2"/>
        <v>227.28276448985946</v>
      </c>
      <c r="R25" s="59">
        <f t="shared" si="0"/>
        <v>520.61609782319283</v>
      </c>
      <c r="S25" s="59">
        <f ca="1">AVERAGE(OFFSET($R$3,0,0,'Données projet'!$E$9+1,1))-AVERAGE(OFFSET($H$3,0,0,'Données projet'!$E$9+1,1))</f>
        <v>255.24521135682858</v>
      </c>
      <c r="T25" s="59">
        <f t="shared" si="34"/>
        <v>254.36590349790589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5.0846965550301881</v>
      </c>
      <c r="AA25" s="21">
        <f>EXP(-LN(2)/25)*AA24+(1-EXP(-LN(2)/25))/(LN(2)/25)*Calculateur!V25*Calculateur!X25*VLOOKUP('Données projet'!$B$9,Paramètres!$A$1:$I$89,3,0)*0.475*44/12</f>
        <v>6.0803364929163939</v>
      </c>
      <c r="AB25" s="21">
        <f>EXP(-LN(2)/2)*AB24+(1-EXP(-LN(2)/2))/(LN(2)/2)*V25*Y25*VLOOKUP('Données projet'!$B$9,Paramètres!$A$1:$I$89,3,0)*0.475*44/12</f>
        <v>4.7225975245977674</v>
      </c>
      <c r="AC25" s="22">
        <f t="shared" si="3"/>
        <v>15.887630572544349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28.833333333333332</v>
      </c>
      <c r="AI25" s="13">
        <f>IF('Données projet'!$A$62&gt;35,AI24+AH25-AQ24,IF(A25&lt;'Données projet'!$A$62,$AF$205^A25,IF(A25='Données projet'!$A$62,'Données projet'!$B$62,AI24+AH25-AQ24)))</f>
        <v>248.50000000000003</v>
      </c>
      <c r="AJ25" s="13">
        <f>AI25*VLOOKUP('Données projet'!$B$10,Paramètres!$A$1:$I$89,3,0)*VLOOKUP('Données projet'!$B$10,Paramètres!$A$1:$I$89,5,0)</f>
        <v>138.91150000000002</v>
      </c>
      <c r="AK25" s="13">
        <f t="shared" si="35"/>
        <v>36.047532265727178</v>
      </c>
      <c r="AL25" s="20">
        <f t="shared" si="4"/>
        <v>304.72031452947482</v>
      </c>
      <c r="AM25" s="59">
        <f t="shared" si="5"/>
        <v>598.05364786280813</v>
      </c>
      <c r="AN25" s="59">
        <f ca="1">AVERAGE(OFFSET($AM$3,0,0,'Données projet'!$E$10+1,1))-AVERAGE(OFFSET($H$3,0,0,'Données projet'!$E$10+1,1))</f>
        <v>378.17323480030268</v>
      </c>
      <c r="AO25" s="59">
        <f t="shared" si="36"/>
        <v>471.89239871617241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12.5</v>
      </c>
      <c r="N26" s="13">
        <f>IF('Données projet'!$A$36&gt;35,N25+M26-V25,IF(A26&lt;'Données projet'!$A$36,$K$205^A26,IF(A26='Données projet'!$A$36,'Données projet'!$B$36,N25+M26-V25)))</f>
        <v>184.5</v>
      </c>
      <c r="O26" s="13">
        <f>N26*VLOOKUP('Données projet'!$B$9,Paramètres!$A$1:$I$89,3,0)*VLOOKUP('Données projet'!$B$9,Paramètres!$A$1:$I$89,5,0)</f>
        <v>110.331</v>
      </c>
      <c r="P26" s="13">
        <f t="shared" si="33"/>
        <v>29.408957111883872</v>
      </c>
      <c r="Q26" s="20">
        <f t="shared" si="2"/>
        <v>243.38042530319774</v>
      </c>
      <c r="R26" s="59">
        <f t="shared" si="0"/>
        <v>536.71375863653111</v>
      </c>
      <c r="S26" s="59">
        <f ca="1">AVERAGE(OFFSET($R$3,0,0,'Données projet'!$E$9+1,1))-AVERAGE(OFFSET($H$3,0,0,'Données projet'!$E$9+1,1))</f>
        <v>255.24521135682858</v>
      </c>
      <c r="T26" s="59">
        <f t="shared" si="34"/>
        <v>254.36590349790589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4.9849887569447109</v>
      </c>
      <c r="AA26" s="21">
        <f>EXP(-LN(2)/25)*AA25+(1-EXP(-LN(2)/25))/(LN(2)/25)*Calculateur!V26*Calculateur!X26*VLOOKUP('Données projet'!$B$9,Paramètres!$A$1:$I$89,3,0)*0.475*44/12</f>
        <v>5.9140693717665958</v>
      </c>
      <c r="AB26" s="21">
        <f>EXP(-LN(2)/2)*AB25+(1-EXP(-LN(2)/2))/(LN(2)/2)*V26*Y26*VLOOKUP('Données projet'!$B$9,Paramètres!$A$1:$I$89,3,0)*0.475*44/12</f>
        <v>3.3393807344578845</v>
      </c>
      <c r="AC26" s="22">
        <f t="shared" si="3"/>
        <v>14.238438863169192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28.833333333333332</v>
      </c>
      <c r="AI26" s="13">
        <f>IF('Données projet'!$A$62&gt;35,AI25+AH26-AQ25,IF(A26&lt;'Données projet'!$A$62,$AF$205^A26,IF(A26='Données projet'!$A$62,'Données projet'!$B$62,AI25+AH26-AQ25)))</f>
        <v>277.33333333333337</v>
      </c>
      <c r="AJ26" s="13">
        <f>AI26*VLOOKUP('Données projet'!$B$10,Paramètres!$A$1:$I$89,3,0)*VLOOKUP('Données projet'!$B$10,Paramètres!$A$1:$I$89,5,0)</f>
        <v>155.02933333333334</v>
      </c>
      <c r="AK26" s="13">
        <f t="shared" si="35"/>
        <v>39.719316712120367</v>
      </c>
      <c r="AL26" s="20">
        <f t="shared" si="4"/>
        <v>339.1872321624985</v>
      </c>
      <c r="AM26" s="59">
        <f t="shared" si="5"/>
        <v>632.52056549583176</v>
      </c>
      <c r="AN26" s="59">
        <f ca="1">AVERAGE(OFFSET($AM$3,0,0,'Données projet'!$E$10+1,1))-AVERAGE(OFFSET($H$3,0,0,'Données projet'!$E$10+1,1))</f>
        <v>378.17323480030268</v>
      </c>
      <c r="AO26" s="59">
        <f t="shared" si="36"/>
        <v>471.89239871617241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</v>
      </c>
      <c r="L27" s="12">
        <f>VLOOKUP(A27,'Données projet'!$A$35:$I$55,9,0)</f>
        <v>12.5</v>
      </c>
      <c r="M27" s="12">
        <f t="array" ref="M27">INDEX(L:L,MIN(IF(ISNUMBER(L27:L223),ROW(L27:L223),"")))</f>
        <v>12.5</v>
      </c>
      <c r="N27" s="13">
        <f>IF('Données projet'!$A$36&gt;35,N26+M27-V26,IF(A27&lt;'Données projet'!$A$36,$K$205^A27,IF(A27='Données projet'!$A$36,'Données projet'!$B$36,N26+M27-V26)))</f>
        <v>197</v>
      </c>
      <c r="O27" s="13">
        <f>N27*VLOOKUP('Données projet'!$B$9,Paramètres!$A$1:$I$89,3,0)*VLOOKUP('Données projet'!$B$9,Paramètres!$A$1:$I$89,5,0)</f>
        <v>117.80600000000001</v>
      </c>
      <c r="P27" s="13">
        <f t="shared" si="33"/>
        <v>31.162736572430632</v>
      </c>
      <c r="Q27" s="20">
        <f t="shared" si="2"/>
        <v>259.45388286365005</v>
      </c>
      <c r="R27" s="59">
        <f t="shared" si="0"/>
        <v>552.78721619698331</v>
      </c>
      <c r="S27" s="59">
        <f ca="1">AVERAGE(OFFSET($R$3,0,0,'Données projet'!$E$9+1,1))-AVERAGE(OFFSET($H$3,0,0,'Données projet'!$E$9+1,1))</f>
        <v>255.24521135682858</v>
      </c>
      <c r="T27" s="59">
        <f t="shared" si="34"/>
        <v>254.36590349790589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43</v>
      </c>
      <c r="W27" s="16">
        <f>IF(ISNA(VLOOKUP(A27,'Données projet'!$A$35:$I$55,5,0)),0%,VLOOKUP(A27,'Données projet'!$A$35:$I$55,5,0)*VLOOKUP('Données projet'!$B$9,Paramètres!$A$1:$I$89,7,0))</f>
        <v>0.18000000000000002</v>
      </c>
      <c r="X27" s="16">
        <f>IF(ISNA(VLOOKUP(A27,'Données projet'!$A$35:$I$55,6,0)),0%,VLOOKUP(A27,'Données projet'!$A$35:$I$55,6,0)*VLOOKUP('Données projet'!$B$9,Paramètres!$A$1:$I$89,7,0))</f>
        <v>0.13500000000000001</v>
      </c>
      <c r="Y27" s="16">
        <f>IF(ISNA(VLOOKUP(A27,'Données projet'!$A$35:$I$55,7,0)),0%,VLOOKUP(A27,'Données projet'!$A$35:$I$55,7,0))</f>
        <v>0.3</v>
      </c>
      <c r="Z27" s="21">
        <f>EXP(-LN(2)/35)*Z26+(1-EXP(-LN(2)/35))/(LN(2)/35)*V27*W27*VLOOKUP('Données projet'!$B$9,Paramètres!$A$1:$I$89,3,0)*0.475*44/12</f>
        <v>11.02726628125496</v>
      </c>
      <c r="AA27" s="21">
        <f>EXP(-LN(2)/25)*AA26+(1-EXP(-LN(2)/25))/(LN(2)/25)*Calculateur!V27*Calculateur!X27*VLOOKUP('Données projet'!$B$9,Paramètres!$A$1:$I$89,3,0)*0.475*44/12</f>
        <v>10.339239690188325</v>
      </c>
      <c r="AB27" s="21">
        <f>EXP(-LN(2)/2)*AB26+(1-EXP(-LN(2)/2))/(LN(2)/2)*V27*Y27*VLOOKUP('Données projet'!$B$9,Paramètres!$A$1:$I$89,3,0)*0.475*44/12</f>
        <v>11.095565151877546</v>
      </c>
      <c r="AC27" s="22">
        <f t="shared" si="3"/>
        <v>32.462071123320833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28.833333333333332</v>
      </c>
      <c r="AI27" s="13">
        <f>IF('Données projet'!$A$62&gt;35,AI26+AH27-AQ26,IF(A27&lt;'Données projet'!$A$62,$AF$205^A27,IF(A27='Données projet'!$A$62,'Données projet'!$B$62,AI26+AH27-AQ26)))</f>
        <v>306.16666666666669</v>
      </c>
      <c r="AJ27" s="13">
        <f>AI27*VLOOKUP('Données projet'!$B$10,Paramètres!$A$1:$I$89,3,0)*VLOOKUP('Données projet'!$B$10,Paramètres!$A$1:$I$89,5,0)</f>
        <v>171.14716666666669</v>
      </c>
      <c r="AK27" s="13">
        <f t="shared" si="35"/>
        <v>43.346850105371793</v>
      </c>
      <c r="AL27" s="20">
        <f t="shared" si="4"/>
        <v>373.57707921130037</v>
      </c>
      <c r="AM27" s="59">
        <f t="shared" si="5"/>
        <v>666.91041254463369</v>
      </c>
      <c r="AN27" s="59">
        <f ca="1">AVERAGE(OFFSET($AM$3,0,0,'Données projet'!$E$10+1,1))-AVERAGE(OFFSET($H$3,0,0,'Données projet'!$E$10+1,1))</f>
        <v>378.17323480030268</v>
      </c>
      <c r="AO27" s="59">
        <f t="shared" si="36"/>
        <v>471.89239871617241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19.75</v>
      </c>
      <c r="N28" s="13">
        <f>IF('Données projet'!$A$36&gt;35,N27+M28-V27,IF(A28&lt;'Données projet'!$A$36,$K$205^A28,IF(A28='Données projet'!$A$36,'Données projet'!$B$36,N27+M28-V27)))</f>
        <v>173.75</v>
      </c>
      <c r="O28" s="13">
        <f>N28*VLOOKUP('Données projet'!$B$9,Paramètres!$A$1:$I$89,3,0)*VLOOKUP('Données projet'!$B$9,Paramètres!$A$1:$I$89,5,0)</f>
        <v>103.9025</v>
      </c>
      <c r="P28" s="13">
        <f t="shared" si="33"/>
        <v>27.889632783106542</v>
      </c>
      <c r="Q28" s="20">
        <f t="shared" si="2"/>
        <v>229.5379645972439</v>
      </c>
      <c r="R28" s="59">
        <f t="shared" si="0"/>
        <v>522.87129793057716</v>
      </c>
      <c r="S28" s="59">
        <f ca="1">AVERAGE(OFFSET($R$3,0,0,'Données projet'!$E$9+1,1))-AVERAGE(OFFSET($H$3,0,0,'Données projet'!$E$9+1,1))</f>
        <v>255.24521135682858</v>
      </c>
      <c r="T28" s="59">
        <f t="shared" si="34"/>
        <v>254.36590349790589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10.811028315447848</v>
      </c>
      <c r="AA28" s="21">
        <f>EXP(-LN(2)/25)*AA27+(1-EXP(-LN(2)/25))/(LN(2)/25)*Calculateur!V28*Calculateur!X28*VLOOKUP('Données projet'!$B$9,Paramètres!$A$1:$I$89,3,0)*0.475*44/12</f>
        <v>10.056512637143141</v>
      </c>
      <c r="AB28" s="21">
        <f>EXP(-LN(2)/2)*AB27+(1-EXP(-LN(2)/2))/(LN(2)/2)*V28*Y28*VLOOKUP('Données projet'!$B$9,Paramètres!$A$1:$I$89,3,0)*0.475*44/12</f>
        <v>7.8457493599897585</v>
      </c>
      <c r="AC28" s="22">
        <f t="shared" si="3"/>
        <v>28.713290312580746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335</v>
      </c>
      <c r="AG28" s="12">
        <f>VLOOKUP(A28,'Données projet'!$A$61:$I$81,9,0)</f>
        <v>28.833333333333332</v>
      </c>
      <c r="AH28" s="12">
        <f t="array" ref="AH28">INDEX(AG:AG,MIN(IF(ISNUMBER(AG28:AG224),ROW(AG28:AG224),"")))</f>
        <v>28.833333333333332</v>
      </c>
      <c r="AI28" s="13">
        <f>IF('Données projet'!$A$62&gt;35,AI27+AH28-AQ27,IF(A28&lt;'Données projet'!$A$62,$AF$205^A28,IF(A28='Données projet'!$A$62,'Données projet'!$B$62,AI27+AH28-AQ27)))</f>
        <v>335</v>
      </c>
      <c r="AJ28" s="13">
        <f>AI28*VLOOKUP('Données projet'!$B$10,Paramètres!$A$1:$I$89,3,0)*VLOOKUP('Données projet'!$B$10,Paramètres!$A$1:$I$89,5,0)</f>
        <v>187.26500000000001</v>
      </c>
      <c r="AK28" s="13">
        <f t="shared" si="35"/>
        <v>46.934773872544483</v>
      </c>
      <c r="AL28" s="20">
        <f t="shared" si="4"/>
        <v>407.89793949468162</v>
      </c>
      <c r="AM28" s="59">
        <f t="shared" si="5"/>
        <v>701.23127282801488</v>
      </c>
      <c r="AN28" s="59">
        <f ca="1">AVERAGE(OFFSET($AM$3,0,0,'Données projet'!$E$10+1,1))-AVERAGE(OFFSET($H$3,0,0,'Données projet'!$E$10+1,1))</f>
        <v>378.17323480030268</v>
      </c>
      <c r="AO28" s="59">
        <f t="shared" si="36"/>
        <v>471.89239871617241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54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0.33</v>
      </c>
      <c r="AT28" s="16">
        <f>IF(ISNA(VLOOKUP(A28,'Données projet'!$A$61:$I$81,7,0)),0%,VLOOKUP(A28,'Données projet'!$A$61:$I$81,7,0))</f>
        <v>0.4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13.162382457495875</v>
      </c>
      <c r="AW28" s="21">
        <f>EXP(-LN(2)/2)*AW27+(1-EXP(-LN(2)/2))/(LN(2)/2)*AQ28*AT28*VLOOKUP('Données projet'!$B$10,Paramètres!$A$1:$I$89,3,0)*0.475*44/12</f>
        <v>13.67102565325356</v>
      </c>
      <c r="AX28" s="21">
        <f t="shared" si="6"/>
        <v>26.833408110749435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19.75</v>
      </c>
      <c r="N29" s="13">
        <f>IF('Données projet'!$A$36&gt;35,N28+M29-V28,IF(A29&lt;'Données projet'!$A$36,$K$205^A29,IF(A29='Données projet'!$A$36,'Données projet'!$B$36,N28+M29-V28)))</f>
        <v>193.5</v>
      </c>
      <c r="O29" s="13">
        <f>N29*VLOOKUP('Données projet'!$B$9,Paramètres!$A$1:$I$89,3,0)*VLOOKUP('Données projet'!$B$9,Paramètres!$A$1:$I$89,5,0)</f>
        <v>115.71300000000001</v>
      </c>
      <c r="P29" s="13">
        <f t="shared" si="33"/>
        <v>30.673019842466044</v>
      </c>
      <c r="Q29" s="20">
        <f t="shared" si="2"/>
        <v>254.95565122562834</v>
      </c>
      <c r="R29" s="59">
        <f t="shared" si="0"/>
        <v>548.2889845589616</v>
      </c>
      <c r="S29" s="59">
        <f ca="1">AVERAGE(OFFSET($R$3,0,0,'Données projet'!$E$9+1,1))-AVERAGE(OFFSET($H$3,0,0,'Données projet'!$E$9+1,1))</f>
        <v>255.24521135682858</v>
      </c>
      <c r="T29" s="59">
        <f t="shared" si="34"/>
        <v>254.36590349790589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10.599030644258077</v>
      </c>
      <c r="AA29" s="21">
        <f>EXP(-LN(2)/25)*AA28+(1-EXP(-LN(2)/25))/(LN(2)/25)*Calculateur!V29*Calculateur!X29*VLOOKUP('Données projet'!$B$9,Paramètres!$A$1:$I$89,3,0)*0.475*44/12</f>
        <v>9.7815167702314465</v>
      </c>
      <c r="AB29" s="21">
        <f>EXP(-LN(2)/2)*AB28+(1-EXP(-LN(2)/2))/(LN(2)/2)*V29*Y29*VLOOKUP('Données projet'!$B$9,Paramètres!$A$1:$I$89,3,0)*0.475*44/12</f>
        <v>5.5477825759387738</v>
      </c>
      <c r="AC29" s="22">
        <f t="shared" si="3"/>
        <v>25.928329990428296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28</v>
      </c>
      <c r="AI29" s="13">
        <f>IF('Données projet'!$A$62&gt;35,AI28+AH29-AQ28,IF(A29&lt;'Données projet'!$A$62,$AF$205^A29,IF(A29='Données projet'!$A$62,'Données projet'!$B$62,AI28+AH29-AQ28)))</f>
        <v>309</v>
      </c>
      <c r="AJ29" s="13">
        <f>AI29*VLOOKUP('Données projet'!$B$10,Paramètres!$A$1:$I$89,3,0)*VLOOKUP('Données projet'!$B$10,Paramètres!$A$1:$I$89,5,0)</f>
        <v>172.73100000000002</v>
      </c>
      <c r="AK29" s="13">
        <f t="shared" si="35"/>
        <v>43.701108252019125</v>
      </c>
      <c r="AL29" s="20">
        <f t="shared" si="4"/>
        <v>376.9525885389333</v>
      </c>
      <c r="AM29" s="59">
        <f t="shared" si="5"/>
        <v>670.28592187226661</v>
      </c>
      <c r="AN29" s="59">
        <f ca="1">AVERAGE(OFFSET($AM$3,0,0,'Données projet'!$E$10+1,1))-AVERAGE(OFFSET($H$3,0,0,'Données projet'!$E$10+1,1))</f>
        <v>378.17323480030268</v>
      </c>
      <c r="AO29" s="59">
        <f t="shared" si="36"/>
        <v>471.89239871617241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12.802456417016041</v>
      </c>
      <c r="AW29" s="21">
        <f>EXP(-LN(2)/2)*AW28+(1-EXP(-LN(2)/2))/(LN(2)/2)*AQ29*AT29*VLOOKUP('Données projet'!$B$10,Paramètres!$A$1:$I$89,3,0)*0.475*44/12</f>
        <v>9.6668749451908429</v>
      </c>
      <c r="AX29" s="21">
        <f t="shared" si="6"/>
        <v>22.469331362206884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19.75</v>
      </c>
      <c r="N30" s="13">
        <f>IF('Données projet'!$A$36&gt;35,N29+M30-V29,IF(A30&lt;'Données projet'!$A$36,$K$205^A30,IF(A30='Données projet'!$A$36,'Données projet'!$B$36,N29+M30-V29)))</f>
        <v>213.25</v>
      </c>
      <c r="O30" s="13">
        <f>N30*VLOOKUP('Données projet'!$B$9,Paramètres!$A$1:$I$89,3,0)*VLOOKUP('Données projet'!$B$9,Paramètres!$A$1:$I$89,5,0)</f>
        <v>127.5235</v>
      </c>
      <c r="P30" s="13">
        <f t="shared" si="33"/>
        <v>33.423473895208211</v>
      </c>
      <c r="Q30" s="20">
        <f t="shared" si="2"/>
        <v>280.31597953415428</v>
      </c>
      <c r="R30" s="59">
        <f t="shared" si="0"/>
        <v>573.64931286748765</v>
      </c>
      <c r="S30" s="59">
        <f ca="1">AVERAGE(OFFSET($R$3,0,0,'Données projet'!$E$9+1,1))-AVERAGE(OFFSET($H$3,0,0,'Données projet'!$E$9+1,1))</f>
        <v>255.24521135682858</v>
      </c>
      <c r="T30" s="59">
        <f t="shared" si="34"/>
        <v>254.36590349790589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10.391190118094526</v>
      </c>
      <c r="AA30" s="21">
        <f>EXP(-LN(2)/25)*AA29+(1-EXP(-LN(2)/25))/(LN(2)/25)*Calculateur!V30*Calculateur!X30*VLOOKUP('Données projet'!$B$9,Paramètres!$A$1:$I$89,3,0)*0.475*44/12</f>
        <v>9.5140406797618571</v>
      </c>
      <c r="AB30" s="21">
        <f>EXP(-LN(2)/2)*AB29+(1-EXP(-LN(2)/2))/(LN(2)/2)*V30*Y30*VLOOKUP('Données projet'!$B$9,Paramètres!$A$1:$I$89,3,0)*0.475*44/12</f>
        <v>3.9228746799948797</v>
      </c>
      <c r="AC30" s="22">
        <f t="shared" si="3"/>
        <v>23.828105477851263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28</v>
      </c>
      <c r="AI30" s="13">
        <f>IF('Données projet'!$A$62&gt;35,AI29+AH30-AQ29,IF(A30&lt;'Données projet'!$A$62,$AF$205^A30,IF(A30='Données projet'!$A$62,'Données projet'!$B$62,AI29+AH30-AQ29)))</f>
        <v>337</v>
      </c>
      <c r="AJ30" s="13">
        <f>AI30*VLOOKUP('Données projet'!$B$10,Paramètres!$A$1:$I$89,3,0)*VLOOKUP('Données projet'!$B$10,Paramètres!$A$1:$I$89,5,0)</f>
        <v>188.38300000000001</v>
      </c>
      <c r="AK30" s="13">
        <f t="shared" si="35"/>
        <v>47.182279474248382</v>
      </c>
      <c r="AL30" s="20">
        <f t="shared" si="4"/>
        <v>410.27619508431599</v>
      </c>
      <c r="AM30" s="59">
        <f t="shared" si="5"/>
        <v>703.60952841764924</v>
      </c>
      <c r="AN30" s="59">
        <f ca="1">AVERAGE(OFFSET($AM$3,0,0,'Données projet'!$E$10+1,1))-AVERAGE(OFFSET($H$3,0,0,'Données projet'!$E$10+1,1))</f>
        <v>378.17323480030268</v>
      </c>
      <c r="AO30" s="59">
        <f t="shared" si="36"/>
        <v>471.89239871617241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12.452372573040815</v>
      </c>
      <c r="AW30" s="21">
        <f>EXP(-LN(2)/2)*AW29+(1-EXP(-LN(2)/2))/(LN(2)/2)*AQ30*AT30*VLOOKUP('Données projet'!$B$10,Paramètres!$A$1:$I$89,3,0)*0.475*44/12</f>
        <v>6.8355128266267808</v>
      </c>
      <c r="AX30" s="21">
        <f t="shared" si="6"/>
        <v>19.287885399667594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</v>
      </c>
      <c r="L31" s="12">
        <f>VLOOKUP(A31,'Données projet'!$A$35:$I$55,9,0)</f>
        <v>19.75</v>
      </c>
      <c r="M31" s="12">
        <f t="array" ref="M31">INDEX(L:L,MIN(IF(ISNUMBER(L31:L227),ROW(L31:L227),"")))</f>
        <v>19.75</v>
      </c>
      <c r="N31" s="13">
        <f>IF('Données projet'!$A$36&gt;35,N30+M31-V30,IF(A31&lt;'Données projet'!$A$36,$K$205^A31,IF(A31='Données projet'!$A$36,'Données projet'!$B$36,N30+M31-V30)))</f>
        <v>233</v>
      </c>
      <c r="O31" s="13">
        <f>N31*VLOOKUP('Données projet'!$B$9,Paramètres!$A$1:$I$89,3,0)*VLOOKUP('Données projet'!$B$9,Paramètres!$A$1:$I$89,5,0)</f>
        <v>139.334</v>
      </c>
      <c r="P31" s="13">
        <f t="shared" si="33"/>
        <v>36.144391930570897</v>
      </c>
      <c r="Q31" s="20">
        <f t="shared" si="2"/>
        <v>305.62486594574432</v>
      </c>
      <c r="R31" s="59">
        <f t="shared" si="0"/>
        <v>598.95819927907769</v>
      </c>
      <c r="S31" s="59">
        <f ca="1">AVERAGE(OFFSET($R$3,0,0,'Données projet'!$E$9+1,1))-AVERAGE(OFFSET($H$3,0,0,'Données projet'!$E$9+1,1))</f>
        <v>255.24521135682858</v>
      </c>
      <c r="T31" s="59">
        <f t="shared" si="34"/>
        <v>254.36590349790589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</v>
      </c>
      <c r="W31" s="16">
        <f>IF(ISNA(VLOOKUP(A31,'Données projet'!$A$35:$I$55,5,0)),0%,VLOOKUP(A31,'Données projet'!$A$35:$I$55,5,0)*VLOOKUP('Données projet'!$B$9,Paramètres!$A$1:$I$89,7,0))</f>
        <v>0.18000000000000002</v>
      </c>
      <c r="X31" s="16">
        <f>IF(ISNA(VLOOKUP(A31,'Données projet'!$A$35:$I$55,6,0)),0%,VLOOKUP(A31,'Données projet'!$A$35:$I$55,6,0)*VLOOKUP('Données projet'!$B$9,Paramètres!$A$1:$I$89,7,0))</f>
        <v>0.13500000000000001</v>
      </c>
      <c r="Y31" s="16">
        <f>IF(ISNA(VLOOKUP(A31,'Données projet'!$A$35:$I$55,7,0)),0%,VLOOKUP(A31,'Données projet'!$A$35:$I$55,7,0))</f>
        <v>0.3</v>
      </c>
      <c r="Z31" s="21">
        <f>EXP(-LN(2)/35)*Z30+(1-EXP(-LN(2)/35))/(LN(2)/35)*V31*W31*VLOOKUP('Données projet'!$B$9,Paramètres!$A$1:$I$89,3,0)*0.475*44/12</f>
        <v>16.041872535202838</v>
      </c>
      <c r="AA31" s="21">
        <f>EXP(-LN(2)/25)*AA30+(1-EXP(-LN(2)/25))/(LN(2)/25)*Calculateur!V31*Calculateur!X31*VLOOKUP('Données projet'!$B$9,Paramètres!$A$1:$I$89,3,0)*0.475*44/12</f>
        <v>13.627425832689397</v>
      </c>
      <c r="AB31" s="21">
        <f>EXP(-LN(2)/2)*AB30+(1-EXP(-LN(2)/2))/(LN(2)/2)*V31*Y31*VLOOKUP('Données projet'!$B$9,Paramètres!$A$1:$I$89,3,0)*0.475*44/12</f>
        <v>11.101912729195556</v>
      </c>
      <c r="AC31" s="22">
        <f t="shared" si="3"/>
        <v>40.771211097087793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28</v>
      </c>
      <c r="AI31" s="13">
        <f>IF('Données projet'!$A$62&gt;35,AI30+AH31-AQ30,IF(A31&lt;'Données projet'!$A$62,$AF$205^A31,IF(A31='Données projet'!$A$62,'Données projet'!$B$62,AI30+AH31-AQ30)))</f>
        <v>365</v>
      </c>
      <c r="AJ31" s="13">
        <f>AI31*VLOOKUP('Données projet'!$B$10,Paramètres!$A$1:$I$89,3,0)*VLOOKUP('Données projet'!$B$10,Paramètres!$A$1:$I$89,5,0)</f>
        <v>204.035</v>
      </c>
      <c r="AK31" s="13">
        <f t="shared" si="35"/>
        <v>50.629905099971396</v>
      </c>
      <c r="AL31" s="20">
        <f t="shared" si="4"/>
        <v>443.54137638245015</v>
      </c>
      <c r="AM31" s="59">
        <f t="shared" si="5"/>
        <v>736.87470971578341</v>
      </c>
      <c r="AN31" s="59">
        <f ca="1">AVERAGE(OFFSET($AM$3,0,0,'Données projet'!$E$10+1,1))-AVERAGE(OFFSET($H$3,0,0,'Données projet'!$E$10+1,1))</f>
        <v>378.17323480030268</v>
      </c>
      <c r="AO31" s="59">
        <f t="shared" si="36"/>
        <v>471.89239871617241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12.111861790189201</v>
      </c>
      <c r="AW31" s="21">
        <f>EXP(-LN(2)/2)*AW30+(1-EXP(-LN(2)/2))/(LN(2)/2)*AQ31*AT31*VLOOKUP('Données projet'!$B$10,Paramètres!$A$1:$I$89,3,0)*0.475*44/12</f>
        <v>4.8334374725954223</v>
      </c>
      <c r="AX31" s="21">
        <f t="shared" si="6"/>
        <v>16.945299262784623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15.333333333333334</v>
      </c>
      <c r="N32" s="13">
        <f>IF('Données projet'!$A$36&gt;35,N31+M32-V31,IF(A32&lt;'Données projet'!$A$36,$K$205^A32,IF(A32='Données projet'!$A$36,'Données projet'!$B$36,N31+M32-V31)))</f>
        <v>207.33333333333334</v>
      </c>
      <c r="O32" s="13">
        <f>N32*VLOOKUP('Données projet'!$B$9,Paramètres!$A$1:$I$89,3,0)*VLOOKUP('Données projet'!$B$9,Paramètres!$A$1:$I$89,5,0)</f>
        <v>123.98533333333334</v>
      </c>
      <c r="P32" s="13">
        <f t="shared" si="33"/>
        <v>32.60273802554125</v>
      </c>
      <c r="Q32" s="20">
        <f t="shared" si="2"/>
        <v>272.7242242833733</v>
      </c>
      <c r="R32" s="59">
        <f t="shared" si="0"/>
        <v>566.05755761670662</v>
      </c>
      <c r="S32" s="59">
        <f ca="1">AVERAGE(OFFSET($R$3,0,0,'Données projet'!$E$9+1,1))-AVERAGE(OFFSET($H$3,0,0,'Données projet'!$E$9+1,1))</f>
        <v>255.24521135682858</v>
      </c>
      <c r="T32" s="59">
        <f t="shared" si="34"/>
        <v>254.36590349790589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15.727301199363611</v>
      </c>
      <c r="AA32" s="21">
        <f>EXP(-LN(2)/25)*AA31+(1-EXP(-LN(2)/25))/(LN(2)/25)*Calculateur!V32*Calculateur!X32*VLOOKUP('Données projet'!$B$9,Paramètres!$A$1:$I$89,3,0)*0.475*44/12</f>
        <v>13.254783156659327</v>
      </c>
      <c r="AB32" s="21">
        <f>EXP(-LN(2)/2)*AB31+(1-EXP(-LN(2)/2))/(LN(2)/2)*V32*Y32*VLOOKUP('Données projet'!$B$9,Paramètres!$A$1:$I$89,3,0)*0.475*44/12</f>
        <v>7.8502377749554295</v>
      </c>
      <c r="AC32" s="22">
        <f t="shared" si="3"/>
        <v>36.832322130978369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28</v>
      </c>
      <c r="AI32" s="13">
        <f>IF('Données projet'!$A$62&gt;35,AI31+AH32-AQ31,IF(A32&lt;'Données projet'!$A$62,$AF$205^A32,IF(A32='Données projet'!$A$62,'Données projet'!$B$62,AI31+AH32-AQ31)))</f>
        <v>393</v>
      </c>
      <c r="AJ32" s="13">
        <f>AI32*VLOOKUP('Données projet'!$B$10,Paramètres!$A$1:$I$89,3,0)*VLOOKUP('Données projet'!$B$10,Paramètres!$A$1:$I$89,5,0)</f>
        <v>219.68700000000001</v>
      </c>
      <c r="AK32" s="13">
        <f t="shared" si="35"/>
        <v>54.046851081096591</v>
      </c>
      <c r="AL32" s="20">
        <f t="shared" si="4"/>
        <v>476.75312396624321</v>
      </c>
      <c r="AM32" s="59">
        <f t="shared" si="5"/>
        <v>770.08645729957652</v>
      </c>
      <c r="AN32" s="59">
        <f ca="1">AVERAGE(OFFSET($AM$3,0,0,'Données projet'!$E$10+1,1))-AVERAGE(OFFSET($H$3,0,0,'Données projet'!$E$10+1,1))</f>
        <v>378.17323480030268</v>
      </c>
      <c r="AO32" s="59">
        <f t="shared" si="36"/>
        <v>471.89239871617241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11.780662292601347</v>
      </c>
      <c r="AW32" s="21">
        <f>EXP(-LN(2)/2)*AW31+(1-EXP(-LN(2)/2))/(LN(2)/2)*AQ32*AT32*VLOOKUP('Données projet'!$B$10,Paramètres!$A$1:$I$89,3,0)*0.475*44/12</f>
        <v>3.4177564133133909</v>
      </c>
      <c r="AX32" s="21">
        <f t="shared" si="6"/>
        <v>15.198418705914738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15.333333333333334</v>
      </c>
      <c r="N33" s="13">
        <f>IF('Données projet'!$A$36&gt;35,N32+M33-V32,IF(A33&lt;'Données projet'!$A$36,$K$205^A33,IF(A33='Données projet'!$A$36,'Données projet'!$B$36,N32+M33-V32)))</f>
        <v>222.66666666666669</v>
      </c>
      <c r="O33" s="13">
        <f>N33*VLOOKUP('Données projet'!$B$9,Paramètres!$A$1:$I$89,3,0)*VLOOKUP('Données projet'!$B$9,Paramètres!$A$1:$I$89,5,0)</f>
        <v>133.15466666666669</v>
      </c>
      <c r="P33" s="13">
        <f t="shared" si="33"/>
        <v>34.724289843216837</v>
      </c>
      <c r="Q33" s="20">
        <f t="shared" si="2"/>
        <v>292.38918258804711</v>
      </c>
      <c r="R33" s="59">
        <f t="shared" si="0"/>
        <v>585.72251592138036</v>
      </c>
      <c r="S33" s="59">
        <f ca="1">AVERAGE(OFFSET($R$3,0,0,'Données projet'!$E$9+1,1))-AVERAGE(OFFSET($H$3,0,0,'Données projet'!$E$9+1,1))</f>
        <v>255.24521135682858</v>
      </c>
      <c r="T33" s="59">
        <f t="shared" si="34"/>
        <v>254.36590349790589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15.41889841555062</v>
      </c>
      <c r="AA33" s="21">
        <f>EXP(-LN(2)/25)*AA32+(1-EXP(-LN(2)/25))/(LN(2)/25)*Calculateur!V33*Calculateur!X33*VLOOKUP('Données projet'!$B$9,Paramètres!$A$1:$I$89,3,0)*0.475*44/12</f>
        <v>12.892330414201727</v>
      </c>
      <c r="AB33" s="21">
        <f>EXP(-LN(2)/2)*AB32+(1-EXP(-LN(2)/2))/(LN(2)/2)*V33*Y33*VLOOKUP('Données projet'!$B$9,Paramètres!$A$1:$I$89,3,0)*0.475*44/12</f>
        <v>5.5509563645977789</v>
      </c>
      <c r="AC33" s="22">
        <f t="shared" si="3"/>
        <v>33.862185194350126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421</v>
      </c>
      <c r="AG33" s="12">
        <f>VLOOKUP(A33,'Données projet'!$A$61:$I$81,9,0)</f>
        <v>28</v>
      </c>
      <c r="AH33" s="12">
        <f t="array" ref="AH33">INDEX(AG:AG,MIN(IF(ISNUMBER(AG33:AG229),ROW(AG33:AG229),"")))</f>
        <v>28</v>
      </c>
      <c r="AI33" s="13">
        <f>IF('Données projet'!$A$62&gt;35,AI32+AH33-AQ32,IF(A33&lt;'Données projet'!$A$62,$AF$205^A33,IF(A33='Données projet'!$A$62,'Données projet'!$B$62,AI32+AH33-AQ32)))</f>
        <v>421</v>
      </c>
      <c r="AJ33" s="13">
        <f>AI33*VLOOKUP('Données projet'!$B$10,Paramètres!$A$1:$I$89,3,0)*VLOOKUP('Données projet'!$B$10,Paramètres!$A$1:$I$89,5,0)</f>
        <v>235.339</v>
      </c>
      <c r="AK33" s="13">
        <f t="shared" si="35"/>
        <v>57.43555185051494</v>
      </c>
      <c r="AL33" s="20">
        <f t="shared" si="4"/>
        <v>509.91567780631357</v>
      </c>
      <c r="AM33" s="59">
        <f t="shared" si="5"/>
        <v>803.24901113964688</v>
      </c>
      <c r="AN33" s="59">
        <f ca="1">AVERAGE(OFFSET($AM$3,0,0,'Données projet'!$E$10+1,1))-AVERAGE(OFFSET($H$3,0,0,'Données projet'!$E$10+1,1))</f>
        <v>378.17323480030268</v>
      </c>
      <c r="AO33" s="59">
        <f t="shared" si="36"/>
        <v>471.89239871617241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54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0.33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4.4048042117087762</v>
      </c>
      <c r="AV33" s="21">
        <f>EXP(-LN(2)/25)*AV32+(1-EXP(-LN(2)/25))/(LN(2)/25)*Calculateur!AQ33*Calculateur!AS33*VLOOKUP('Données projet'!$B$10,Paramètres!$A$1:$I$89,3,0)*0.475*44/12</f>
        <v>24.620901920187933</v>
      </c>
      <c r="AW33" s="21">
        <f>EXP(-LN(2)/2)*AW32+(1-EXP(-LN(2)/2))/(LN(2)/2)*AQ33*AT33*VLOOKUP('Données projet'!$B$10,Paramètres!$A$1:$I$89,3,0)*0.475*44/12</f>
        <v>9.2522315629244911</v>
      </c>
      <c r="AX33" s="21">
        <f t="shared" si="6"/>
        <v>38.277937694821198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15.333333333333334</v>
      </c>
      <c r="N34" s="13">
        <f>IF('Données projet'!$A$36&gt;35,N33+M34-V33,IF(A34&lt;'Données projet'!$A$36,$K$205^A34,IF(A34='Données projet'!$A$36,'Données projet'!$B$36,N33+M34-V33)))</f>
        <v>238.00000000000003</v>
      </c>
      <c r="O34" s="13">
        <f>N34*VLOOKUP('Données projet'!$B$9,Paramètres!$A$1:$I$89,3,0)*VLOOKUP('Données projet'!$B$9,Paramètres!$A$1:$I$89,5,0)</f>
        <v>142.32400000000004</v>
      </c>
      <c r="P34" s="13">
        <f t="shared" si="33"/>
        <v>36.828890051912026</v>
      </c>
      <c r="Q34" s="20">
        <f t="shared" si="2"/>
        <v>312.02461684041356</v>
      </c>
      <c r="R34" s="59">
        <f t="shared" si="0"/>
        <v>605.35795017374687</v>
      </c>
      <c r="S34" s="59">
        <f ca="1">AVERAGE(OFFSET($R$3,0,0,'Données projet'!$E$9+1,1))-AVERAGE(OFFSET($H$3,0,0,'Données projet'!$E$9+1,1))</f>
        <v>255.24521135682858</v>
      </c>
      <c r="T34" s="59">
        <f t="shared" si="34"/>
        <v>254.36590349790589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15.116543222221079</v>
      </c>
      <c r="AA34" s="21">
        <f>EXP(-LN(2)/25)*AA33+(1-EXP(-LN(2)/25))/(LN(2)/25)*Calculateur!V34*Calculateur!X34*VLOOKUP('Données projet'!$B$9,Paramètres!$A$1:$I$89,3,0)*0.475*44/12</f>
        <v>12.53978896104719</v>
      </c>
      <c r="AB34" s="21">
        <f>EXP(-LN(2)/2)*AB33+(1-EXP(-LN(2)/2))/(LN(2)/2)*V34*Y34*VLOOKUP('Données projet'!$B$9,Paramètres!$A$1:$I$89,3,0)*0.475*44/12</f>
        <v>3.9251188874777152</v>
      </c>
      <c r="AC34" s="22">
        <f t="shared" si="3"/>
        <v>31.581451070745985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27.6</v>
      </c>
      <c r="AI34" s="13">
        <f>IF('Données projet'!$A$62&gt;35,AI33+AH34-AQ33,IF(A34&lt;'Données projet'!$A$62,$AF$205^A34,IF(A34='Données projet'!$A$62,'Données projet'!$B$62,AI33+AH34-AQ33)))</f>
        <v>394.6</v>
      </c>
      <c r="AJ34" s="13">
        <f>AI34*VLOOKUP('Données projet'!$B$10,Paramètres!$A$1:$I$89,3,0)*VLOOKUP('Données projet'!$B$10,Paramètres!$A$1:$I$89,5,0)</f>
        <v>220.5814</v>
      </c>
      <c r="AK34" s="13">
        <f t="shared" si="35"/>
        <v>54.241230721401301</v>
      </c>
      <c r="AL34" s="20">
        <f t="shared" si="4"/>
        <v>478.64941517310723</v>
      </c>
      <c r="AM34" s="59">
        <f t="shared" si="5"/>
        <v>771.98274850644054</v>
      </c>
      <c r="AN34" s="59">
        <f ca="1">AVERAGE(OFFSET($AM$3,0,0,'Données projet'!$E$10+1,1))-AVERAGE(OFFSET($H$3,0,0,'Données projet'!$E$10+1,1))</f>
        <v>378.17323480030268</v>
      </c>
      <c r="AO34" s="59">
        <f t="shared" si="36"/>
        <v>471.89239871617241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4.3184286877824505</v>
      </c>
      <c r="AV34" s="21">
        <f>EXP(-LN(2)/25)*AV33+(1-EXP(-LN(2)/25))/(LN(2)/25)*Calculateur!AQ34*Calculateur!AS34*VLOOKUP('Données projet'!$B$10,Paramètres!$A$1:$I$89,3,0)*0.475*44/12</f>
        <v>23.947642062423434</v>
      </c>
      <c r="AW34" s="21">
        <f>EXP(-LN(2)/2)*AW33+(1-EXP(-LN(2)/2))/(LN(2)/2)*AQ34*AT34*VLOOKUP('Données projet'!$B$10,Paramètres!$A$1:$I$89,3,0)*0.475*44/12</f>
        <v>6.5423156792521171</v>
      </c>
      <c r="AX34" s="21">
        <f t="shared" si="6"/>
        <v>34.808386429458004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15.333333333333334</v>
      </c>
      <c r="N35" s="13">
        <f>IF('Données projet'!$A$36&gt;35,N34+M35-V34,IF(A35&lt;'Données projet'!$A$36,$K$205^A35,IF(A35='Données projet'!$A$36,'Données projet'!$B$36,N34+M35-V34)))</f>
        <v>253.33333333333337</v>
      </c>
      <c r="O35" s="13">
        <f>N35*VLOOKUP('Données projet'!$B$9,Paramètres!$A$1:$I$89,3,0)*VLOOKUP('Données projet'!$B$9,Paramètres!$A$1:$I$89,5,0)</f>
        <v>151.49333333333337</v>
      </c>
      <c r="P35" s="13">
        <f t="shared" si="33"/>
        <v>38.917755071333922</v>
      </c>
      <c r="Q35" s="20">
        <f t="shared" ref="Q35:Q66" si="53">(O35+P35)*0.475*44/12</f>
        <v>331.63264563812885</v>
      </c>
      <c r="R35" s="59">
        <f t="shared" si="0"/>
        <v>624.96597897146216</v>
      </c>
      <c r="S35" s="59">
        <f ca="1">AVERAGE(OFFSET($R$3,0,0,'Données projet'!$E$9+1,1))-AVERAGE(OFFSET($H$3,0,0,'Données projet'!$E$9+1,1))</f>
        <v>255.24521135682858</v>
      </c>
      <c r="T35" s="59">
        <f t="shared" si="34"/>
        <v>254.36590349790589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14.820117029814272</v>
      </c>
      <c r="AA35" s="21">
        <f>EXP(-LN(2)/25)*AA34+(1-EXP(-LN(2)/25))/(LN(2)/25)*Calculateur!V35*Calculateur!X35*VLOOKUP('Données projet'!$B$9,Paramètres!$A$1:$I$89,3,0)*0.475*44/12</f>
        <v>12.196887772468513</v>
      </c>
      <c r="AB35" s="21">
        <f>EXP(-LN(2)/2)*AB34+(1-EXP(-LN(2)/2))/(LN(2)/2)*V35*Y35*VLOOKUP('Données projet'!$B$9,Paramètres!$A$1:$I$89,3,0)*0.475*44/12</f>
        <v>2.7754781822988899</v>
      </c>
      <c r="AC35" s="22">
        <f t="shared" si="3"/>
        <v>29.792482984581675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27.6</v>
      </c>
      <c r="AI35" s="13">
        <f>IF('Données projet'!$A$62&gt;35,AI34+AH35-AQ34,IF(A35&lt;'Données projet'!$A$62,$AF$205^A35,IF(A35='Données projet'!$A$62,'Données projet'!$B$62,AI34+AH35-AQ34)))</f>
        <v>422.20000000000005</v>
      </c>
      <c r="AJ35" s="13">
        <f>AI35*VLOOKUP('Données projet'!$B$10,Paramètres!$A$1:$I$89,3,0)*VLOOKUP('Données projet'!$B$10,Paramètres!$A$1:$I$89,5,0)</f>
        <v>236.00980000000004</v>
      </c>
      <c r="AK35" s="13">
        <f t="shared" si="35"/>
        <v>57.580183613654185</v>
      </c>
      <c r="AL35" s="20">
        <f t="shared" si="4"/>
        <v>511.3358881271144</v>
      </c>
      <c r="AM35" s="59">
        <f t="shared" si="5"/>
        <v>804.66922146044772</v>
      </c>
      <c r="AN35" s="59">
        <f ca="1">AVERAGE(OFFSET($AM$3,0,0,'Données projet'!$E$10+1,1))-AVERAGE(OFFSET($H$3,0,0,'Données projet'!$E$10+1,1))</f>
        <v>378.17323480030268</v>
      </c>
      <c r="AO35" s="59">
        <f t="shared" si="36"/>
        <v>471.89239871617241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4.2337469351964518</v>
      </c>
      <c r="AV35" s="21">
        <f>EXP(-LN(2)/25)*AV34+(1-EXP(-LN(2)/25))/(LN(2)/25)*Calculateur!AQ35*Calculateur!AS35*VLOOKUP('Données projet'!$B$10,Paramètres!$A$1:$I$89,3,0)*0.475*44/12</f>
        <v>23.292792530874703</v>
      </c>
      <c r="AW35" s="21">
        <f>EXP(-LN(2)/2)*AW34+(1-EXP(-LN(2)/2))/(LN(2)/2)*AQ35*AT35*VLOOKUP('Données projet'!$B$10,Paramètres!$A$1:$I$89,3,0)*0.475*44/12</f>
        <v>4.6261157814622464</v>
      </c>
      <c r="AX35" s="21">
        <f t="shared" si="6"/>
        <v>32.152655247533403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15.333333333333334</v>
      </c>
      <c r="N36" s="13">
        <f>IF('Données projet'!$A$36&gt;35,N35+M36-V35,IF(A36&lt;'Données projet'!$A$36,$K$205^A36,IF(A36='Données projet'!$A$36,'Données projet'!$B$36,N35+M36-V35)))</f>
        <v>268.66666666666669</v>
      </c>
      <c r="O36" s="13">
        <f>N36*VLOOKUP('Données projet'!$B$9,Paramètres!$A$1:$I$89,3,0)*VLOOKUP('Données projet'!$B$9,Paramètres!$A$1:$I$89,5,0)</f>
        <v>160.66266666666669</v>
      </c>
      <c r="P36" s="13">
        <f t="shared" si="33"/>
        <v>40.99194575038495</v>
      </c>
      <c r="Q36" s="20">
        <f t="shared" si="53"/>
        <v>351.21511662636493</v>
      </c>
      <c r="R36" s="59">
        <f t="shared" si="0"/>
        <v>644.54844995969825</v>
      </c>
      <c r="S36" s="59">
        <f ca="1">AVERAGE(OFFSET($R$3,0,0,'Données projet'!$E$9+1,1))-AVERAGE(OFFSET($H$3,0,0,'Données projet'!$E$9+1,1))</f>
        <v>255.24521135682858</v>
      </c>
      <c r="T36" s="59">
        <f t="shared" si="34"/>
        <v>254.36590349790589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14.529503574238438</v>
      </c>
      <c r="AA36" s="21">
        <f>EXP(-LN(2)/25)*AA35+(1-EXP(-LN(2)/25))/(LN(2)/25)*Calculateur!V36*Calculateur!X36*VLOOKUP('Données projet'!$B$9,Paramètres!$A$1:$I$89,3,0)*0.475*44/12</f>
        <v>11.863363234923909</v>
      </c>
      <c r="AB36" s="21">
        <f>EXP(-LN(2)/2)*AB35+(1-EXP(-LN(2)/2))/(LN(2)/2)*V36*Y36*VLOOKUP('Données projet'!$B$9,Paramètres!$A$1:$I$89,3,0)*0.475*44/12</f>
        <v>1.9625594437388578</v>
      </c>
      <c r="AC36" s="22">
        <f t="shared" si="3"/>
        <v>28.355426252901207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27.6</v>
      </c>
      <c r="AI36" s="13">
        <f>IF('Données projet'!$A$62&gt;35,AI35+AH36-AQ35,IF(A36&lt;'Données projet'!$A$62,$AF$205^A36,IF(A36='Données projet'!$A$62,'Données projet'!$B$62,AI35+AH36-AQ35)))</f>
        <v>449.80000000000007</v>
      </c>
      <c r="AJ36" s="13">
        <f>AI36*VLOOKUP('Données projet'!$B$10,Paramètres!$A$1:$I$89,3,0)*VLOOKUP('Données projet'!$B$10,Paramètres!$A$1:$I$89,5,0)</f>
        <v>251.43820000000002</v>
      </c>
      <c r="AK36" s="13">
        <f t="shared" si="35"/>
        <v>60.893806844597648</v>
      </c>
      <c r="AL36" s="20">
        <f t="shared" si="4"/>
        <v>543.978245254341</v>
      </c>
      <c r="AM36" s="59">
        <f t="shared" si="5"/>
        <v>837.31157858767438</v>
      </c>
      <c r="AN36" s="59">
        <f ca="1">AVERAGE(OFFSET($AM$3,0,0,'Données projet'!$E$10+1,1))-AVERAGE(OFFSET($H$3,0,0,'Données projet'!$E$10+1,1))</f>
        <v>378.17323480030268</v>
      </c>
      <c r="AO36" s="59">
        <f t="shared" si="36"/>
        <v>471.89239871617241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4.1507257401278963</v>
      </c>
      <c r="AV36" s="21">
        <f>EXP(-LN(2)/25)*AV35+(1-EXP(-LN(2)/25))/(LN(2)/25)*Calculateur!AQ36*Calculateur!AS36*VLOOKUP('Données projet'!$B$10,Paramètres!$A$1:$I$89,3,0)*0.475*44/12</f>
        <v>22.655849894203211</v>
      </c>
      <c r="AW36" s="21">
        <f>EXP(-LN(2)/2)*AW35+(1-EXP(-LN(2)/2))/(LN(2)/2)*AQ36*AT36*VLOOKUP('Données projet'!$B$10,Paramètres!$A$1:$I$89,3,0)*0.475*44/12</f>
        <v>3.2711578396260594</v>
      </c>
      <c r="AX36" s="21">
        <f t="shared" si="6"/>
        <v>30.077733473957167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284</v>
      </c>
      <c r="L37" s="12">
        <f>VLOOKUP(A37,'Données projet'!$A$35:$I$55,9,0)</f>
        <v>15.333333333333334</v>
      </c>
      <c r="M37" s="12">
        <f t="array" ref="M37">INDEX(L:L,MIN(IF(ISNUMBER(L37:L233),ROW(L37:L233),"")))</f>
        <v>15.333333333333334</v>
      </c>
      <c r="N37" s="13">
        <f>IF('Données projet'!$A$36&gt;35,N36+M37-V36,IF(A37&lt;'Données projet'!$A$36,$K$205^A37,IF(A37='Données projet'!$A$36,'Données projet'!$B$36,N36+M37-V36)))</f>
        <v>284</v>
      </c>
      <c r="O37" s="13">
        <f>N37*VLOOKUP('Données projet'!$B$9,Paramètres!$A$1:$I$89,3,0)*VLOOKUP('Données projet'!$B$9,Paramètres!$A$1:$I$89,5,0)</f>
        <v>169.83200000000002</v>
      </c>
      <c r="P37" s="13">
        <f t="shared" si="33"/>
        <v>43.052395009050464</v>
      </c>
      <c r="Q37" s="20">
        <f t="shared" si="53"/>
        <v>370.77365464076291</v>
      </c>
      <c r="R37" s="59">
        <f t="shared" si="0"/>
        <v>664.10698797409623</v>
      </c>
      <c r="S37" s="59">
        <f ca="1">AVERAGE(OFFSET($R$3,0,0,'Données projet'!$E$9+1,1))-AVERAGE(OFFSET($H$3,0,0,'Données projet'!$E$9+1,1))</f>
        <v>255.24521135682858</v>
      </c>
      <c r="T37" s="59">
        <f t="shared" si="34"/>
        <v>254.36590349790589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60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14.244588871269741</v>
      </c>
      <c r="AA37" s="21">
        <f>EXP(-LN(2)/25)*AA36+(1-EXP(-LN(2)/25))/(LN(2)/25)*Calculateur!V37*Calculateur!X37*VLOOKUP('Données projet'!$B$9,Paramètres!$A$1:$I$89,3,0)*0.475*44/12</f>
        <v>11.538958943397757</v>
      </c>
      <c r="AB37" s="21">
        <f>EXP(-LN(2)/2)*AB36+(1-EXP(-LN(2)/2))/(LN(2)/2)*V37*Y37*VLOOKUP('Données projet'!$B$9,Paramètres!$A$1:$I$89,3,0)*0.475*44/12</f>
        <v>1.3877390911494452</v>
      </c>
      <c r="AC37" s="22">
        <f t="shared" si="3"/>
        <v>27.171286905816945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27.6</v>
      </c>
      <c r="AI37" s="13">
        <f>IF('Données projet'!$A$62&gt;35,AI36+AH37-AQ36,IF(A37&lt;'Données projet'!$A$62,$AF$205^A37,IF(A37='Données projet'!$A$62,'Données projet'!$B$62,AI36+AH37-AQ36)))</f>
        <v>477.40000000000009</v>
      </c>
      <c r="AJ37" s="13">
        <f>AI37*VLOOKUP('Données projet'!$B$10,Paramètres!$A$1:$I$89,3,0)*VLOOKUP('Données projet'!$B$10,Paramètres!$A$1:$I$89,5,0)</f>
        <v>266.86660000000006</v>
      </c>
      <c r="AK37" s="13">
        <f t="shared" si="35"/>
        <v>64.183831628008477</v>
      </c>
      <c r="AL37" s="20">
        <f t="shared" si="4"/>
        <v>576.57950175211477</v>
      </c>
      <c r="AM37" s="59">
        <f t="shared" si="5"/>
        <v>869.91283508544802</v>
      </c>
      <c r="AN37" s="59">
        <f ca="1">AVERAGE(OFFSET($AM$3,0,0,'Données projet'!$E$10+1,1))-AVERAGE(OFFSET($H$3,0,0,'Données projet'!$E$10+1,1))</f>
        <v>378.17323480030268</v>
      </c>
      <c r="AO37" s="59">
        <f t="shared" si="36"/>
        <v>471.89239871617241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4.0693325400567062</v>
      </c>
      <c r="AV37" s="21">
        <f>EXP(-LN(2)/25)*AV36+(1-EXP(-LN(2)/25))/(LN(2)/25)*Calculateur!AQ37*Calculateur!AS37*VLOOKUP('Données projet'!$B$10,Paramètres!$A$1:$I$89,3,0)*0.475*44/12</f>
        <v>22.03632448742686</v>
      </c>
      <c r="AW37" s="21">
        <f>EXP(-LN(2)/2)*AW36+(1-EXP(-LN(2)/2))/(LN(2)/2)*AQ37*AT37*VLOOKUP('Données projet'!$B$10,Paramètres!$A$1:$I$89,3,0)*0.475*44/12</f>
        <v>2.3130578907311237</v>
      </c>
      <c r="AX37" s="21">
        <f t="shared" si="6"/>
        <v>28.41871491821469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23.166666666666668</v>
      </c>
      <c r="N38" s="13">
        <f>IF('Données projet'!$A$36&gt;35,N37+M38-V37,IF(A38&lt;'Données projet'!$A$36,$K$205^A38,IF(A38='Données projet'!$A$36,'Données projet'!$B$36,N37+M38-V37)))</f>
        <v>247.16666666666669</v>
      </c>
      <c r="O38" s="13">
        <f>N38*VLOOKUP('Données projet'!$B$9,Paramètres!$A$1:$I$89,3,0)*VLOOKUP('Données projet'!$B$9,Paramètres!$A$1:$I$89,5,0)</f>
        <v>147.8056666666667</v>
      </c>
      <c r="P38" s="13">
        <f t="shared" si="33"/>
        <v>38.079488599017232</v>
      </c>
      <c r="Q38" s="20">
        <f t="shared" si="53"/>
        <v>323.74997875439948</v>
      </c>
      <c r="R38" s="59">
        <f t="shared" si="0"/>
        <v>617.08331208773279</v>
      </c>
      <c r="S38" s="59">
        <f ca="1">AVERAGE(OFFSET($R$3,0,0,'Données projet'!$E$9+1,1))-AVERAGE(OFFSET($H$3,0,0,'Données projet'!$E$9+1,1))</f>
        <v>255.24521135682858</v>
      </c>
      <c r="T38" s="59">
        <f t="shared" si="34"/>
        <v>254.36590349790589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13.96526117184545</v>
      </c>
      <c r="AA38" s="21">
        <f>EXP(-LN(2)/25)*AA37+(1-EXP(-LN(2)/25))/(LN(2)/25)*Calculateur!V38*Calculateur!X38*VLOOKUP('Données projet'!$B$9,Paramètres!$A$1:$I$89,3,0)*0.475*44/12</f>
        <v>11.223425504283068</v>
      </c>
      <c r="AB38" s="21">
        <f>EXP(-LN(2)/2)*AB37+(1-EXP(-LN(2)/2))/(LN(2)/2)*V38*Y38*VLOOKUP('Données projet'!$B$9,Paramètres!$A$1:$I$89,3,0)*0.475*44/12</f>
        <v>0.98127972186942913</v>
      </c>
      <c r="AC38" s="22">
        <f t="shared" si="3"/>
        <v>26.16996639799795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505</v>
      </c>
      <c r="AG38" s="12">
        <f>VLOOKUP(A38,'Données projet'!$A$61:$I$81,9,0)</f>
        <v>27.6</v>
      </c>
      <c r="AH38" s="12">
        <f t="array" ref="AH38">INDEX(AG:AG,MIN(IF(ISNUMBER(AG38:AG234),ROW(AG38:AG234),"")))</f>
        <v>27.6</v>
      </c>
      <c r="AI38" s="13">
        <f>IF('Données projet'!$A$62&gt;35,AI37+AH38-AQ37,IF(A38&lt;'Données projet'!$A$62,$AF$205^A38,IF(A38='Données projet'!$A$62,'Données projet'!$B$62,AI37+AH38-AQ37)))</f>
        <v>505.00000000000011</v>
      </c>
      <c r="AJ38" s="13">
        <f>AI38*VLOOKUP('Données projet'!$B$10,Paramètres!$A$1:$I$89,3,0)*VLOOKUP('Données projet'!$B$10,Paramètres!$A$1:$I$89,5,0)</f>
        <v>282.29500000000007</v>
      </c>
      <c r="AK38" s="13">
        <f t="shared" si="35"/>
        <v>67.451777696853824</v>
      </c>
      <c r="AL38" s="20">
        <f t="shared" si="4"/>
        <v>609.14230448868716</v>
      </c>
      <c r="AM38" s="59">
        <f t="shared" si="5"/>
        <v>902.47563782202042</v>
      </c>
      <c r="AN38" s="59">
        <f ca="1">AVERAGE(OFFSET($AM$3,0,0,'Données projet'!$E$10+1,1))-AVERAGE(OFFSET($H$3,0,0,'Données projet'!$E$10+1,1))</f>
        <v>378.17323480030268</v>
      </c>
      <c r="AO38" s="59">
        <f t="shared" si="36"/>
        <v>471.89239871617241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69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3.9895354109939616</v>
      </c>
      <c r="AV38" s="21">
        <f>EXP(-LN(2)/25)*AV37+(1-EXP(-LN(2)/25))/(LN(2)/25)*Calculateur!AQ38*Calculateur!AS38*VLOOKUP('Données projet'!$B$10,Paramètres!$A$1:$I$89,3,0)*0.475*44/12</f>
        <v>21.433740035478234</v>
      </c>
      <c r="AW38" s="21">
        <f>EXP(-LN(2)/2)*AW37+(1-EXP(-LN(2)/2))/(LN(2)/2)*AQ38*AT38*VLOOKUP('Données projet'!$B$10,Paramètres!$A$1:$I$89,3,0)*0.475*44/12</f>
        <v>1.6355789198130299</v>
      </c>
      <c r="AX38" s="21">
        <f t="shared" si="6"/>
        <v>27.058854366285225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23.166666666666668</v>
      </c>
      <c r="N39" s="13">
        <f>IF('Données projet'!$A$36&gt;35,N38+M39-V38,IF(A39&lt;'Données projet'!$A$36,$K$205^A39,IF(A39='Données projet'!$A$36,'Données projet'!$B$36,N38+M39-V38)))</f>
        <v>270.33333333333337</v>
      </c>
      <c r="O39" s="13">
        <f>N39*VLOOKUP('Données projet'!$B$9,Paramètres!$A$1:$I$89,3,0)*VLOOKUP('Données projet'!$B$9,Paramètres!$A$1:$I$89,5,0)</f>
        <v>161.65933333333336</v>
      </c>
      <c r="P39" s="13">
        <f t="shared" si="33"/>
        <v>41.2165576376849</v>
      </c>
      <c r="Q39" s="20">
        <f t="shared" si="53"/>
        <v>353.34217677452347</v>
      </c>
      <c r="R39" s="59">
        <f t="shared" si="0"/>
        <v>646.67551010785678</v>
      </c>
      <c r="S39" s="59">
        <f ca="1">AVERAGE(OFFSET($R$3,0,0,'Données projet'!$E$9+1,1))-AVERAGE(OFFSET($H$3,0,0,'Données projet'!$E$9+1,1))</f>
        <v>255.24521135682858</v>
      </c>
      <c r="T39" s="59">
        <f t="shared" si="34"/>
        <v>254.36590349790589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13.691410918233796</v>
      </c>
      <c r="AA39" s="21">
        <f>EXP(-LN(2)/25)*AA38+(1-EXP(-LN(2)/25))/(LN(2)/25)*Calculateur!V39*Calculateur!X39*VLOOKUP('Données projet'!$B$9,Paramètres!$A$1:$I$89,3,0)*0.475*44/12</f>
        <v>10.916520343654151</v>
      </c>
      <c r="AB39" s="21">
        <f>EXP(-LN(2)/2)*AB38+(1-EXP(-LN(2)/2))/(LN(2)/2)*V39*Y39*VLOOKUP('Données projet'!$B$9,Paramètres!$A$1:$I$89,3,0)*0.475*44/12</f>
        <v>0.69386954557472269</v>
      </c>
      <c r="AC39" s="22">
        <f t="shared" si="3"/>
        <v>25.301800807462673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25.6</v>
      </c>
      <c r="AI39" s="13">
        <f>IF('Données projet'!$A$62&gt;35,AI38+AH39-AQ38,IF(A39&lt;'Données projet'!$A$62,$AF$205^A39,IF(A39='Données projet'!$A$62,'Données projet'!$B$62,AI38+AH39-AQ38)))</f>
        <v>461.60000000000014</v>
      </c>
      <c r="AJ39" s="13">
        <f>AI39*VLOOKUP('Données projet'!$B$10,Paramètres!$A$1:$I$89,3,0)*VLOOKUP('Données projet'!$B$10,Paramètres!$A$1:$I$89,5,0)</f>
        <v>258.03440000000006</v>
      </c>
      <c r="AK39" s="13">
        <f t="shared" si="35"/>
        <v>62.303206596431174</v>
      </c>
      <c r="AL39" s="20">
        <f t="shared" si="4"/>
        <v>557.9213314887844</v>
      </c>
      <c r="AM39" s="59">
        <f t="shared" si="5"/>
        <v>851.25466482211777</v>
      </c>
      <c r="AN39" s="59">
        <f ca="1">AVERAGE(OFFSET($AM$3,0,0,'Données projet'!$E$10+1,1))-AVERAGE(OFFSET($H$3,0,0,'Données projet'!$E$10+1,1))</f>
        <v>378.17323480030268</v>
      </c>
      <c r="AO39" s="59">
        <f t="shared" si="36"/>
        <v>471.89239871617241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3.9113030549606949</v>
      </c>
      <c r="AV39" s="21">
        <f>EXP(-LN(2)/25)*AV38+(1-EXP(-LN(2)/25))/(LN(2)/25)*Calculateur!AQ39*Calculateur!AS39*VLOOKUP('Données projet'!$B$10,Paramètres!$A$1:$I$89,3,0)*0.475*44/12</f>
        <v>20.847633287056681</v>
      </c>
      <c r="AW39" s="21">
        <f>EXP(-LN(2)/2)*AW38+(1-EXP(-LN(2)/2))/(LN(2)/2)*AQ39*AT39*VLOOKUP('Données projet'!$B$10,Paramètres!$A$1:$I$89,3,0)*0.475*44/12</f>
        <v>1.1565289453655621</v>
      </c>
      <c r="AX39" s="21">
        <f t="shared" si="6"/>
        <v>25.915465287382936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23.166666666666668</v>
      </c>
      <c r="N40" s="13">
        <f>IF('Données projet'!$A$36&gt;35,N39+M40-V39,IF(A40&lt;'Données projet'!$A$36,$K$205^A40,IF(A40='Données projet'!$A$36,'Données projet'!$B$36,N39+M40-V39)))</f>
        <v>293.50000000000006</v>
      </c>
      <c r="O40" s="13">
        <f>N40*VLOOKUP('Données projet'!$B$9,Paramètres!$A$1:$I$89,3,0)*VLOOKUP('Données projet'!$B$9,Paramètres!$A$1:$I$89,5,0)</f>
        <v>175.51300000000003</v>
      </c>
      <c r="P40" s="13">
        <f t="shared" si="33"/>
        <v>44.322449425800414</v>
      </c>
      <c r="Q40" s="20">
        <f t="shared" si="53"/>
        <v>382.88007441660244</v>
      </c>
      <c r="R40" s="59">
        <f t="shared" si="0"/>
        <v>676.21340774993575</v>
      </c>
      <c r="S40" s="59">
        <f ca="1">AVERAGE(OFFSET($R$3,0,0,'Données projet'!$E$9+1,1))-AVERAGE(OFFSET($H$3,0,0,'Données projet'!$E$9+1,1))</f>
        <v>255.24521135682858</v>
      </c>
      <c r="T40" s="59">
        <f t="shared" si="34"/>
        <v>254.36590349790589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13.422930701063304</v>
      </c>
      <c r="AA40" s="21">
        <f>EXP(-LN(2)/25)*AA39+(1-EXP(-LN(2)/25))/(LN(2)/25)*Calculateur!V40*Calculateur!X40*VLOOKUP('Données projet'!$B$9,Paramètres!$A$1:$I$89,3,0)*0.475*44/12</f>
        <v>10.618007520782074</v>
      </c>
      <c r="AB40" s="21">
        <f>EXP(-LN(2)/2)*AB39+(1-EXP(-LN(2)/2))/(LN(2)/2)*V40*Y40*VLOOKUP('Données projet'!$B$9,Paramètres!$A$1:$I$89,3,0)*0.475*44/12</f>
        <v>0.49063986093471462</v>
      </c>
      <c r="AC40" s="22">
        <f t="shared" si="3"/>
        <v>24.531578082780094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25.6</v>
      </c>
      <c r="AI40" s="13">
        <f>IF('Données projet'!$A$62&gt;35,AI39+AH40-AQ39,IF(A40&lt;'Données projet'!$A$62,$AF$205^A40,IF(A40='Données projet'!$A$62,'Données projet'!$B$62,AI39+AH40-AQ39)))</f>
        <v>487.20000000000016</v>
      </c>
      <c r="AJ40" s="13">
        <f>AI40*VLOOKUP('Données projet'!$B$10,Paramètres!$A$1:$I$89,3,0)*VLOOKUP('Données projet'!$B$10,Paramètres!$A$1:$I$89,5,0)</f>
        <v>272.34480000000008</v>
      </c>
      <c r="AK40" s="13">
        <f t="shared" si="35"/>
        <v>65.346644318451709</v>
      </c>
      <c r="AL40" s="20">
        <f t="shared" si="4"/>
        <v>588.14593218797006</v>
      </c>
      <c r="AM40" s="59">
        <f t="shared" si="5"/>
        <v>881.47926552130343</v>
      </c>
      <c r="AN40" s="59">
        <f ca="1">AVERAGE(OFFSET($AM$3,0,0,'Données projet'!$E$10+1,1))-AVERAGE(OFFSET($H$3,0,0,'Données projet'!$E$10+1,1))</f>
        <v>378.17323480030268</v>
      </c>
      <c r="AO40" s="59">
        <f t="shared" si="36"/>
        <v>471.89239871617241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3.8346047877122147</v>
      </c>
      <c r="AV40" s="21">
        <f>EXP(-LN(2)/25)*AV39+(1-EXP(-LN(2)/25))/(LN(2)/25)*Calculateur!AQ40*Calculateur!AS40*VLOOKUP('Données projet'!$B$10,Paramètres!$A$1:$I$89,3,0)*0.475*44/12</f>
        <v>20.277553658492728</v>
      </c>
      <c r="AW40" s="21">
        <f>EXP(-LN(2)/2)*AW39+(1-EXP(-LN(2)/2))/(LN(2)/2)*AQ40*AT40*VLOOKUP('Données projet'!$B$10,Paramètres!$A$1:$I$89,3,0)*0.475*44/12</f>
        <v>0.81778945990651508</v>
      </c>
      <c r="AX40" s="21">
        <f t="shared" si="6"/>
        <v>24.929947906111458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23.166666666666668</v>
      </c>
      <c r="N41" s="13">
        <f>IF('Données projet'!$A$36&gt;35,N40+M41-V40,IF(A41&lt;'Données projet'!$A$36,$K$205^A41,IF(A41='Données projet'!$A$36,'Données projet'!$B$36,N40+M41-V40)))</f>
        <v>316.66666666666674</v>
      </c>
      <c r="O41" s="13">
        <f>N41*VLOOKUP('Données projet'!$B$9,Paramètres!$A$1:$I$89,3,0)*VLOOKUP('Données projet'!$B$9,Paramètres!$A$1:$I$89,5,0)</f>
        <v>189.36666666666673</v>
      </c>
      <c r="P41" s="13">
        <f t="shared" si="33"/>
        <v>47.399904645599641</v>
      </c>
      <c r="Q41" s="20">
        <f t="shared" si="53"/>
        <v>412.36844503553056</v>
      </c>
      <c r="R41" s="59">
        <f t="shared" si="0"/>
        <v>705.70177836886387</v>
      </c>
      <c r="S41" s="59">
        <f ca="1">AVERAGE(OFFSET($R$3,0,0,'Données projet'!$E$9+1,1))-AVERAGE(OFFSET($H$3,0,0,'Données projet'!$E$9+1,1))</f>
        <v>255.24521135682858</v>
      </c>
      <c r="T41" s="59">
        <f t="shared" si="34"/>
        <v>254.36590349790589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13.159715217194764</v>
      </c>
      <c r="AA41" s="21">
        <f>EXP(-LN(2)/25)*AA40+(1-EXP(-LN(2)/25))/(LN(2)/25)*Calculateur!V41*Calculateur!X41*VLOOKUP('Données projet'!$B$9,Paramètres!$A$1:$I$89,3,0)*0.475*44/12</f>
        <v>10.32765754674954</v>
      </c>
      <c r="AB41" s="21">
        <f>EXP(-LN(2)/2)*AB40+(1-EXP(-LN(2)/2))/(LN(2)/2)*V41*Y41*VLOOKUP('Données projet'!$B$9,Paramètres!$A$1:$I$89,3,0)*0.475*44/12</f>
        <v>0.3469347727873614</v>
      </c>
      <c r="AC41" s="22">
        <f t="shared" si="3"/>
        <v>23.834307536731664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25.6</v>
      </c>
      <c r="AI41" s="13">
        <f>IF('Données projet'!$A$62&gt;35,AI40+AH41-AQ40,IF(A41&lt;'Données projet'!$A$62,$AF$205^A41,IF(A41='Données projet'!$A$62,'Données projet'!$B$62,AI40+AH41-AQ40)))</f>
        <v>512.80000000000018</v>
      </c>
      <c r="AJ41" s="13">
        <f>AI41*VLOOKUP('Données projet'!$B$10,Paramètres!$A$1:$I$89,3,0)*VLOOKUP('Données projet'!$B$10,Paramètres!$A$1:$I$89,5,0)</f>
        <v>286.65520000000009</v>
      </c>
      <c r="AK41" s="13">
        <f t="shared" si="35"/>
        <v>68.37151538584105</v>
      </c>
      <c r="AL41" s="20">
        <f t="shared" si="4"/>
        <v>618.33819596367323</v>
      </c>
      <c r="AM41" s="59">
        <f t="shared" si="5"/>
        <v>911.6715292970066</v>
      </c>
      <c r="AN41" s="59">
        <f ca="1">AVERAGE(OFFSET($AM$3,0,0,'Données projet'!$E$10+1,1))-AVERAGE(OFFSET($H$3,0,0,'Données projet'!$E$10+1,1))</f>
        <v>378.17323480030268</v>
      </c>
      <c r="AO41" s="59">
        <f t="shared" si="36"/>
        <v>471.89239871617241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3.7594105267031535</v>
      </c>
      <c r="AV41" s="21">
        <f>EXP(-LN(2)/25)*AV40+(1-EXP(-LN(2)/25))/(LN(2)/25)*Calculateur!AQ41*Calculateur!AS41*VLOOKUP('Données projet'!$B$10,Paramètres!$A$1:$I$89,3,0)*0.475*44/12</f>
        <v>19.723062887351041</v>
      </c>
      <c r="AW41" s="21">
        <f>EXP(-LN(2)/2)*AW40+(1-EXP(-LN(2)/2))/(LN(2)/2)*AQ41*AT41*VLOOKUP('Données projet'!$B$10,Paramètres!$A$1:$I$89,3,0)*0.475*44/12</f>
        <v>0.57826447268278103</v>
      </c>
      <c r="AX41" s="21">
        <f t="shared" si="6"/>
        <v>24.060737886736977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23.166666666666668</v>
      </c>
      <c r="N42" s="13">
        <f>IF('Données projet'!$A$36&gt;35,N41+M42-V41,IF(A42&lt;'Données projet'!$A$36,$K$205^A42,IF(A42='Données projet'!$A$36,'Données projet'!$B$36,N41+M42-V41)))</f>
        <v>339.83333333333343</v>
      </c>
      <c r="O42" s="13">
        <f>N42*VLOOKUP('Données projet'!$B$9,Paramètres!$A$1:$I$89,3,0)*VLOOKUP('Données projet'!$B$9,Paramètres!$A$1:$I$89,5,0)</f>
        <v>203.2203333333334</v>
      </c>
      <c r="P42" s="13">
        <f t="shared" si="33"/>
        <v>50.451240235274049</v>
      </c>
      <c r="Q42" s="20">
        <f t="shared" si="53"/>
        <v>441.81132396532462</v>
      </c>
      <c r="R42" s="59">
        <f t="shared" si="0"/>
        <v>735.14465729865788</v>
      </c>
      <c r="S42" s="59">
        <f ca="1">AVERAGE(OFFSET($R$3,0,0,'Données projet'!$E$9+1,1))-AVERAGE(OFFSET($H$3,0,0,'Données projet'!$E$9+1,1))</f>
        <v>255.24521135682858</v>
      </c>
      <c r="T42" s="59">
        <f t="shared" si="34"/>
        <v>254.36590349790589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12.901661228419293</v>
      </c>
      <c r="AA42" s="21">
        <f>EXP(-LN(2)/25)*AA41+(1-EXP(-LN(2)/25))/(LN(2)/25)*Calculateur!V42*Calculateur!X42*VLOOKUP('Données projet'!$B$9,Paramètres!$A$1:$I$89,3,0)*0.475*44/12</f>
        <v>10.045247208025767</v>
      </c>
      <c r="AB42" s="21">
        <f>EXP(-LN(2)/2)*AB41+(1-EXP(-LN(2)/2))/(LN(2)/2)*V42*Y42*VLOOKUP('Données projet'!$B$9,Paramètres!$A$1:$I$89,3,0)*0.475*44/12</f>
        <v>0.24531993046735737</v>
      </c>
      <c r="AC42" s="22">
        <f t="shared" si="3"/>
        <v>23.192228366912417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25.6</v>
      </c>
      <c r="AI42" s="13">
        <f>IF('Données projet'!$A$62&gt;35,AI41+AH42-AQ41,IF(A42&lt;'Données projet'!$A$62,$AF$205^A42,IF(A42='Données projet'!$A$62,'Données projet'!$B$62,AI41+AH42-AQ41)))</f>
        <v>538.4000000000002</v>
      </c>
      <c r="AJ42" s="13">
        <f>AI42*VLOOKUP('Données projet'!$B$10,Paramètres!$A$1:$I$89,3,0)*VLOOKUP('Données projet'!$B$10,Paramètres!$A$1:$I$89,5,0)</f>
        <v>300.96560000000011</v>
      </c>
      <c r="AK42" s="13">
        <f t="shared" si="35"/>
        <v>71.378852450242803</v>
      </c>
      <c r="AL42" s="20">
        <f t="shared" si="4"/>
        <v>648.49992135083971</v>
      </c>
      <c r="AM42" s="59">
        <f t="shared" si="5"/>
        <v>941.83325468417297</v>
      </c>
      <c r="AN42" s="59">
        <f ca="1">AVERAGE(OFFSET($AM$3,0,0,'Données projet'!$E$10+1,1))-AVERAGE(OFFSET($H$3,0,0,'Données projet'!$E$10+1,1))</f>
        <v>378.17323480030268</v>
      </c>
      <c r="AO42" s="59">
        <f t="shared" si="36"/>
        <v>471.89239871617241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3.6856907792885094</v>
      </c>
      <c r="AV42" s="21">
        <f>EXP(-LN(2)/25)*AV41+(1-EXP(-LN(2)/25))/(LN(2)/25)*Calculateur!AQ42*Calculateur!AS42*VLOOKUP('Données projet'!$B$10,Paramètres!$A$1:$I$89,3,0)*0.475*44/12</f>
        <v>19.183734695505628</v>
      </c>
      <c r="AW42" s="21">
        <f>EXP(-LN(2)/2)*AW41+(1-EXP(-LN(2)/2))/(LN(2)/2)*AQ42*AT42*VLOOKUP('Données projet'!$B$10,Paramètres!$A$1:$I$89,3,0)*0.475*44/12</f>
        <v>0.40889472995325754</v>
      </c>
      <c r="AX42" s="21">
        <f t="shared" si="6"/>
        <v>23.278320204747395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363</v>
      </c>
      <c r="L43" s="12">
        <f>VLOOKUP(A43,'Données projet'!$A$35:$I$55,9,0)</f>
        <v>23.166666666666668</v>
      </c>
      <c r="M43" s="12">
        <f t="array" ref="M43">INDEX(L:L,MIN(IF(ISNUMBER(L43:L239),ROW(L43:L239),"")))</f>
        <v>23.166666666666668</v>
      </c>
      <c r="N43" s="13">
        <f>IF('Données projet'!$A$36&gt;35,N42+M43-V42,IF(A43&lt;'Données projet'!$A$36,$K$205^A43,IF(A43='Données projet'!$A$36,'Données projet'!$B$36,N42+M43-V42)))</f>
        <v>363.00000000000011</v>
      </c>
      <c r="O43" s="13">
        <f>N43*VLOOKUP('Données projet'!$B$9,Paramètres!$A$1:$I$89,3,0)*VLOOKUP('Données projet'!$B$9,Paramètres!$A$1:$I$89,5,0)</f>
        <v>217.07400000000007</v>
      </c>
      <c r="P43" s="13">
        <f t="shared" si="33"/>
        <v>53.478439358974512</v>
      </c>
      <c r="Q43" s="20">
        <f t="shared" si="53"/>
        <v>471.21216521688075</v>
      </c>
      <c r="R43" s="59">
        <f t="shared" si="0"/>
        <v>764.54549855021401</v>
      </c>
      <c r="S43" s="59">
        <f ca="1">AVERAGE(OFFSET($R$3,0,0,'Données projet'!$E$9+1,1))-AVERAGE(OFFSET($H$3,0,0,'Données projet'!$E$9+1,1))</f>
        <v>255.24521135682858</v>
      </c>
      <c r="T43" s="59">
        <f t="shared" si="34"/>
        <v>254.36590349790589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12.648667520966317</v>
      </c>
      <c r="AA43" s="21">
        <f>EXP(-LN(2)/25)*AA42+(1-EXP(-LN(2)/25))/(LN(2)/25)*Calculateur!V43*Calculateur!X43*VLOOKUP('Données projet'!$B$9,Paramètres!$A$1:$I$89,3,0)*0.475*44/12</f>
        <v>9.7705593948657103</v>
      </c>
      <c r="AB43" s="21">
        <f>EXP(-LN(2)/2)*AB42+(1-EXP(-LN(2)/2))/(LN(2)/2)*V43*Y43*VLOOKUP('Données projet'!$B$9,Paramètres!$A$1:$I$89,3,0)*0.475*44/12</f>
        <v>0.17346738639368073</v>
      </c>
      <c r="AC43" s="22">
        <f t="shared" si="3"/>
        <v>22.592694302225709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564</v>
      </c>
      <c r="AG43" s="12">
        <f>VLOOKUP(A43,'Données projet'!$A$61:$I$81,9,0)</f>
        <v>25.6</v>
      </c>
      <c r="AH43" s="12">
        <f t="array" ref="AH43">INDEX(AG:AG,MIN(IF(ISNUMBER(AG43:AG239),ROW(AG43:AG239),"")))</f>
        <v>25.6</v>
      </c>
      <c r="AI43" s="13">
        <f>IF('Données projet'!$A$62&gt;35,AI42+AH43-AQ42,IF(A43&lt;'Données projet'!$A$62,$AF$205^A43,IF(A43='Données projet'!$A$62,'Données projet'!$B$62,AI42+AH43-AQ42)))</f>
        <v>564.00000000000023</v>
      </c>
      <c r="AJ43" s="13">
        <f>AI43*VLOOKUP('Données projet'!$B$10,Paramètres!$A$1:$I$89,3,0)*VLOOKUP('Données projet'!$B$10,Paramètres!$A$1:$I$89,5,0)</f>
        <v>315.27600000000012</v>
      </c>
      <c r="AK43" s="13">
        <f t="shared" si="35"/>
        <v>74.36958441265493</v>
      </c>
      <c r="AL43" s="20">
        <f t="shared" si="4"/>
        <v>678.63272618537417</v>
      </c>
      <c r="AM43" s="59">
        <f t="shared" si="5"/>
        <v>971.96605951870743</v>
      </c>
      <c r="AN43" s="59">
        <f ca="1">AVERAGE(OFFSET($AM$3,0,0,'Données projet'!$E$10+1,1))-AVERAGE(OFFSET($H$3,0,0,'Données projet'!$E$10+1,1))</f>
        <v>378.17323480030268</v>
      </c>
      <c r="AO43" s="59">
        <f t="shared" si="36"/>
        <v>471.89239871617241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72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3.6134166311560607</v>
      </c>
      <c r="AV43" s="21">
        <f>EXP(-LN(2)/25)*AV42+(1-EXP(-LN(2)/25))/(LN(2)/25)*Calculateur!AQ43*Calculateur!AS43*VLOOKUP('Données projet'!$B$10,Paramètres!$A$1:$I$89,3,0)*0.475*44/12</f>
        <v>18.659154461428262</v>
      </c>
      <c r="AW43" s="21">
        <f>EXP(-LN(2)/2)*AW42+(1-EXP(-LN(2)/2))/(LN(2)/2)*AQ43*AT43*VLOOKUP('Données projet'!$B$10,Paramètres!$A$1:$I$89,3,0)*0.475*44/12</f>
        <v>0.28913223634139051</v>
      </c>
      <c r="AX43" s="21">
        <f t="shared" si="6"/>
        <v>22.561703328925713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6</v>
      </c>
      <c r="N44" s="13">
        <f>IF('Données projet'!$A$36&gt;35,N43+M44-V43,IF(A44&lt;'Données projet'!$A$36,$K$205^A44,IF(A44='Données projet'!$A$36,'Données projet'!$B$36,N43+M44-V43)))</f>
        <v>335.00000000000011</v>
      </c>
      <c r="O44" s="13">
        <f>N44*VLOOKUP('Données projet'!$B$9,Paramètres!$A$1:$I$89,3,0)*VLOOKUP('Données projet'!$B$9,Paramètres!$A$1:$I$89,5,0)</f>
        <v>200.33000000000007</v>
      </c>
      <c r="P44" s="13">
        <f t="shared" si="33"/>
        <v>49.81668477706851</v>
      </c>
      <c r="Q44" s="20">
        <f t="shared" si="53"/>
        <v>435.67214265339436</v>
      </c>
      <c r="R44" s="59">
        <f t="shared" si="0"/>
        <v>729.00547598672767</v>
      </c>
      <c r="S44" s="59">
        <f ca="1">AVERAGE(OFFSET($R$3,0,0,'Données projet'!$E$9+1,1))-AVERAGE(OFFSET($H$3,0,0,'Données projet'!$E$9+1,1))</f>
        <v>255.24521135682858</v>
      </c>
      <c r="T44" s="59">
        <f t="shared" si="34"/>
        <v>254.36590349790589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12.40063486580557</v>
      </c>
      <c r="AA44" s="21">
        <f>EXP(-LN(2)/25)*AA43+(1-EXP(-LN(2)/25))/(LN(2)/25)*Calculateur!V44*Calculateur!X44*VLOOKUP('Données projet'!$B$9,Paramètres!$A$1:$I$89,3,0)*0.475*44/12</f>
        <v>9.5033829344017207</v>
      </c>
      <c r="AB44" s="21">
        <f>EXP(-LN(2)/2)*AB43+(1-EXP(-LN(2)/2))/(LN(2)/2)*V44*Y44*VLOOKUP('Données projet'!$B$9,Paramètres!$A$1:$I$89,3,0)*0.475*44/12</f>
        <v>0.1226599652336787</v>
      </c>
      <c r="AC44" s="22">
        <f t="shared" si="3"/>
        <v>22.026677765440972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22.8</v>
      </c>
      <c r="AI44" s="13">
        <f>IF('Données projet'!$A$62&gt;35,AI43+AH44-AQ43,IF(A44&lt;'Données projet'!$A$62,$AF$205^A44,IF(A44='Données projet'!$A$62,'Données projet'!$B$62,AI43+AH44-AQ43)))</f>
        <v>514.80000000000018</v>
      </c>
      <c r="AJ44" s="13">
        <f>AI44*VLOOKUP('Données projet'!$B$10,Paramètres!$A$1:$I$89,3,0)*VLOOKUP('Données projet'!$B$10,Paramètres!$A$1:$I$89,5,0)</f>
        <v>287.77320000000009</v>
      </c>
      <c r="AK44" s="13">
        <f t="shared" si="35"/>
        <v>68.607082381743922</v>
      </c>
      <c r="AL44" s="20">
        <f t="shared" si="4"/>
        <v>620.69565848153741</v>
      </c>
      <c r="AM44" s="59">
        <f t="shared" si="5"/>
        <v>914.02899181487078</v>
      </c>
      <c r="AN44" s="59">
        <f ca="1">AVERAGE(OFFSET($AM$3,0,0,'Données projet'!$E$10+1,1))-AVERAGE(OFFSET($H$3,0,0,'Données projet'!$E$10+1,1))</f>
        <v>378.17323480030268</v>
      </c>
      <c r="AO44" s="59">
        <f t="shared" si="36"/>
        <v>471.89239871617241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3.5425597349856117</v>
      </c>
      <c r="AV44" s="21">
        <f>EXP(-LN(2)/25)*AV43+(1-EXP(-LN(2)/25))/(LN(2)/25)*Calculateur!AQ44*Calculateur!AS44*VLOOKUP('Données projet'!$B$10,Paramètres!$A$1:$I$89,3,0)*0.475*44/12</f>
        <v>18.148918901438218</v>
      </c>
      <c r="AW44" s="21">
        <f>EXP(-LN(2)/2)*AW43+(1-EXP(-LN(2)/2))/(LN(2)/2)*AQ44*AT44*VLOOKUP('Données projet'!$B$10,Paramètres!$A$1:$I$89,3,0)*0.475*44/12</f>
        <v>0.20444736497662877</v>
      </c>
      <c r="AX44" s="21">
        <f t="shared" si="6"/>
        <v>21.895926001400461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6</v>
      </c>
      <c r="N45" s="13">
        <f>IF('Données projet'!$A$36&gt;35,N44+M45-V44,IF(A45&lt;'Données projet'!$A$36,$K$205^A45,IF(A45='Données projet'!$A$36,'Données projet'!$B$36,N44+M45-V44)))</f>
        <v>341.00000000000011</v>
      </c>
      <c r="O45" s="13">
        <f>N45*VLOOKUP('Données projet'!$B$9,Paramètres!$A$1:$I$89,3,0)*VLOOKUP('Données projet'!$B$9,Paramètres!$A$1:$I$89,5,0)</f>
        <v>203.91800000000009</v>
      </c>
      <c r="P45" s="13">
        <f t="shared" si="33"/>
        <v>50.604250898161411</v>
      </c>
      <c r="Q45" s="20">
        <f t="shared" si="53"/>
        <v>443.29292031429787</v>
      </c>
      <c r="R45" s="59">
        <f t="shared" si="0"/>
        <v>736.62625364763119</v>
      </c>
      <c r="S45" s="59">
        <f ca="1">AVERAGE(OFFSET($R$3,0,0,'Données projet'!$E$9+1,1))-AVERAGE(OFFSET($H$3,0,0,'Données projet'!$E$9+1,1))</f>
        <v>255.24521135682858</v>
      </c>
      <c r="T45" s="59">
        <f t="shared" si="34"/>
        <v>254.36590349790589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12.157465979727544</v>
      </c>
      <c r="AA45" s="21">
        <f>EXP(-LN(2)/25)*AA44+(1-EXP(-LN(2)/25))/(LN(2)/25)*Calculateur!V45*Calculateur!X45*VLOOKUP('Données projet'!$B$9,Paramètres!$A$1:$I$89,3,0)*0.475*44/12</f>
        <v>9.2435124282993169</v>
      </c>
      <c r="AB45" s="21">
        <f>EXP(-LN(2)/2)*AB44+(1-EXP(-LN(2)/2))/(LN(2)/2)*V45*Y45*VLOOKUP('Données projet'!$B$9,Paramètres!$A$1:$I$89,3,0)*0.475*44/12</f>
        <v>8.6733693196840378E-2</v>
      </c>
      <c r="AC45" s="22">
        <f t="shared" si="3"/>
        <v>21.4877121012237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22.8</v>
      </c>
      <c r="AI45" s="13">
        <f>IF('Données projet'!$A$62&gt;35,AI44+AH45-AQ44,IF(A45&lt;'Données projet'!$A$62,$AF$205^A45,IF(A45='Données projet'!$A$62,'Données projet'!$B$62,AI44+AH45-AQ44)))</f>
        <v>537.60000000000014</v>
      </c>
      <c r="AJ45" s="13">
        <f>AI45*VLOOKUP('Données projet'!$B$10,Paramètres!$A$1:$I$89,3,0)*VLOOKUP('Données projet'!$B$10,Paramètres!$A$1:$I$89,5,0)</f>
        <v>300.5184000000001</v>
      </c>
      <c r="AK45" s="13">
        <f t="shared" si="35"/>
        <v>71.285129105116411</v>
      </c>
      <c r="AL45" s="20">
        <f t="shared" si="4"/>
        <v>647.55781319141124</v>
      </c>
      <c r="AM45" s="59">
        <f t="shared" si="5"/>
        <v>940.8911465247445</v>
      </c>
      <c r="AN45" s="59">
        <f ca="1">AVERAGE(OFFSET($AM$3,0,0,'Données projet'!$E$10+1,1))-AVERAGE(OFFSET($H$3,0,0,'Données projet'!$E$10+1,1))</f>
        <v>378.17323480030268</v>
      </c>
      <c r="AO45" s="59">
        <f t="shared" si="36"/>
        <v>471.89239871617241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3.4730922993306259</v>
      </c>
      <c r="AV45" s="21">
        <f>EXP(-LN(2)/25)*AV44+(1-EXP(-LN(2)/25))/(LN(2)/25)*Calculateur!AQ45*Calculateur!AS45*VLOOKUP('Données projet'!$B$10,Paramètres!$A$1:$I$89,3,0)*0.475*44/12</f>
        <v>17.652635759668225</v>
      </c>
      <c r="AW45" s="21">
        <f>EXP(-LN(2)/2)*AW44+(1-EXP(-LN(2)/2))/(LN(2)/2)*AQ45*AT45*VLOOKUP('Données projet'!$B$10,Paramètres!$A$1:$I$89,3,0)*0.475*44/12</f>
        <v>0.14456611817069526</v>
      </c>
      <c r="AX45" s="21">
        <f t="shared" si="6"/>
        <v>21.270294177169546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</v>
      </c>
      <c r="N46" s="13">
        <f>IF('Données projet'!$A$36&gt;35,N45+M46-V45,IF(A46&lt;'Données projet'!$A$36,$K$205^A46,IF(A46='Données projet'!$A$36,'Données projet'!$B$36,N45+M46-V45)))</f>
        <v>347.00000000000011</v>
      </c>
      <c r="O46" s="13">
        <f>N46*VLOOKUP('Données projet'!$B$9,Paramètres!$A$1:$I$89,3,0)*VLOOKUP('Données projet'!$B$9,Paramètres!$A$1:$I$89,5,0)</f>
        <v>207.50600000000009</v>
      </c>
      <c r="P46" s="13">
        <f t="shared" si="33"/>
        <v>51.390205572696942</v>
      </c>
      <c r="Q46" s="20">
        <f t="shared" si="53"/>
        <v>450.91089137244722</v>
      </c>
      <c r="R46" s="59">
        <f t="shared" si="0"/>
        <v>744.24422470578054</v>
      </c>
      <c r="S46" s="59">
        <f ca="1">AVERAGE(OFFSET($R$3,0,0,'Données projet'!$E$9+1,1))-AVERAGE(OFFSET($H$3,0,0,'Données projet'!$E$9+1,1))</f>
        <v>255.24521135682858</v>
      </c>
      <c r="T46" s="59">
        <f t="shared" si="34"/>
        <v>254.36590349790589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11.919065487187131</v>
      </c>
      <c r="AA46" s="21">
        <f>EXP(-LN(2)/25)*AA45+(1-EXP(-LN(2)/25))/(LN(2)/25)*Calculateur!V46*Calculateur!X46*VLOOKUP('Données projet'!$B$9,Paramètres!$A$1:$I$89,3,0)*0.475*44/12</f>
        <v>8.9907480948522789</v>
      </c>
      <c r="AB46" s="21">
        <f>EXP(-LN(2)/2)*AB45+(1-EXP(-LN(2)/2))/(LN(2)/2)*V46*Y46*VLOOKUP('Données projet'!$B$9,Paramètres!$A$1:$I$89,3,0)*0.475*44/12</f>
        <v>6.1329982616839356E-2</v>
      </c>
      <c r="AC46" s="22">
        <f t="shared" si="3"/>
        <v>20.971143564656252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22.8</v>
      </c>
      <c r="AI46" s="13">
        <f>IF('Données projet'!$A$62&gt;35,AI45+AH46-AQ45,IF(A46&lt;'Données projet'!$A$62,$AF$205^A46,IF(A46='Données projet'!$A$62,'Données projet'!$B$62,AI45+AH46-AQ45)))</f>
        <v>560.40000000000009</v>
      </c>
      <c r="AJ46" s="13">
        <f>AI46*VLOOKUP('Données projet'!$B$10,Paramètres!$A$1:$I$89,3,0)*VLOOKUP('Données projet'!$B$10,Paramètres!$A$1:$I$89,5,0)</f>
        <v>313.26360000000005</v>
      </c>
      <c r="AK46" s="13">
        <f t="shared" si="35"/>
        <v>73.949983766039026</v>
      </c>
      <c r="AL46" s="20">
        <f t="shared" si="4"/>
        <v>674.39699172585131</v>
      </c>
      <c r="AM46" s="59">
        <f t="shared" si="5"/>
        <v>967.73032505918468</v>
      </c>
      <c r="AN46" s="59">
        <f ca="1">AVERAGE(OFFSET($AM$3,0,0,'Données projet'!$E$10+1,1))-AVERAGE(OFFSET($H$3,0,0,'Données projet'!$E$10+1,1))</f>
        <v>378.17323480030268</v>
      </c>
      <c r="AO46" s="59">
        <f t="shared" si="36"/>
        <v>471.89239871617241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3.4049870777178826</v>
      </c>
      <c r="AV46" s="21">
        <f>EXP(-LN(2)/25)*AV45+(1-EXP(-LN(2)/25))/(LN(2)/25)*Calculateur!AQ46*Calculateur!AS46*VLOOKUP('Données projet'!$B$10,Paramètres!$A$1:$I$89,3,0)*0.475*44/12</f>
        <v>17.169923506508329</v>
      </c>
      <c r="AW46" s="21">
        <f>EXP(-LN(2)/2)*AW45+(1-EXP(-LN(2)/2))/(LN(2)/2)*AQ46*AT46*VLOOKUP('Données projet'!$B$10,Paramètres!$A$1:$I$89,3,0)*0.475*44/12</f>
        <v>0.10222368248831439</v>
      </c>
      <c r="AX46" s="21">
        <f t="shared" si="6"/>
        <v>20.677134266714528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</v>
      </c>
      <c r="N47" s="13">
        <f>IF('Données projet'!$A$36&gt;35,N46+M47-V46,IF(A47&lt;'Données projet'!$A$36,$K$205^A47,IF(A47='Données projet'!$A$36,'Données projet'!$B$36,N46+M47-V46)))</f>
        <v>353.00000000000011</v>
      </c>
      <c r="O47" s="13">
        <f>N47*VLOOKUP('Données projet'!$B$9,Paramètres!$A$1:$I$89,3,0)*VLOOKUP('Données projet'!$B$9,Paramètres!$A$1:$I$89,5,0)</f>
        <v>211.09400000000008</v>
      </c>
      <c r="P47" s="13">
        <f t="shared" si="33"/>
        <v>52.1745798794691</v>
      </c>
      <c r="Q47" s="20">
        <f t="shared" si="53"/>
        <v>458.52610995674218</v>
      </c>
      <c r="R47" s="59">
        <f t="shared" si="0"/>
        <v>751.85944329007543</v>
      </c>
      <c r="S47" s="59">
        <f ca="1">AVERAGE(OFFSET($R$3,0,0,'Données projet'!$E$9+1,1))-AVERAGE(OFFSET($H$3,0,0,'Données projet'!$E$9+1,1))</f>
        <v>255.24521135682858</v>
      </c>
      <c r="T47" s="59">
        <f t="shared" si="34"/>
        <v>254.36590349790589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11.685339882895494</v>
      </c>
      <c r="AA47" s="21">
        <f>EXP(-LN(2)/25)*AA46+(1-EXP(-LN(2)/25))/(LN(2)/25)*Calculateur!V47*Calculateur!X47*VLOOKUP('Données projet'!$B$9,Paramètres!$A$1:$I$89,3,0)*0.475*44/12</f>
        <v>8.7448956153956505</v>
      </c>
      <c r="AB47" s="21">
        <f>EXP(-LN(2)/2)*AB46+(1-EXP(-LN(2)/2))/(LN(2)/2)*V47*Y47*VLOOKUP('Données projet'!$B$9,Paramètres!$A$1:$I$89,3,0)*0.475*44/12</f>
        <v>4.3366846598420196E-2</v>
      </c>
      <c r="AC47" s="22">
        <f t="shared" si="3"/>
        <v>20.473602344889567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22.8</v>
      </c>
      <c r="AI47" s="13">
        <f>IF('Données projet'!$A$62&gt;35,AI46+AH47-AQ46,IF(A47&lt;'Données projet'!$A$62,$AF$205^A47,IF(A47='Données projet'!$A$62,'Données projet'!$B$62,AI46+AH47-AQ46)))</f>
        <v>583.20000000000005</v>
      </c>
      <c r="AJ47" s="13">
        <f>AI47*VLOOKUP('Données projet'!$B$10,Paramètres!$A$1:$I$89,3,0)*VLOOKUP('Données projet'!$B$10,Paramètres!$A$1:$I$89,5,0)</f>
        <v>326.00880000000001</v>
      </c>
      <c r="AK47" s="13">
        <f t="shared" si="35"/>
        <v>76.602244480772981</v>
      </c>
      <c r="AL47" s="20">
        <f t="shared" si="4"/>
        <v>701.2142358040129</v>
      </c>
      <c r="AM47" s="59">
        <f t="shared" si="5"/>
        <v>994.54756913734627</v>
      </c>
      <c r="AN47" s="59">
        <f ca="1">AVERAGE(OFFSET($AM$3,0,0,'Données projet'!$E$10+1,1))-AVERAGE(OFFSET($H$3,0,0,'Données projet'!$E$10+1,1))</f>
        <v>378.17323480030268</v>
      </c>
      <c r="AO47" s="59">
        <f t="shared" si="36"/>
        <v>471.89239871617241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3.3382173579608816</v>
      </c>
      <c r="AV47" s="21">
        <f>EXP(-LN(2)/25)*AV46+(1-EXP(-LN(2)/25))/(LN(2)/25)*Calculateur!AQ47*Calculateur!AS47*VLOOKUP('Données projet'!$B$10,Paramètres!$A$1:$I$89,3,0)*0.475*44/12</f>
        <v>16.700411045295823</v>
      </c>
      <c r="AW47" s="21">
        <f>EXP(-LN(2)/2)*AW46+(1-EXP(-LN(2)/2))/(LN(2)/2)*AQ47*AT47*VLOOKUP('Données projet'!$B$10,Paramètres!$A$1:$I$89,3,0)*0.475*44/12</f>
        <v>7.2283059085347628E-2</v>
      </c>
      <c r="AX47" s="21">
        <f t="shared" si="6"/>
        <v>20.110911462342052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6</v>
      </c>
      <c r="N48" s="13">
        <f>IF('Données projet'!$A$36&gt;35,N47+M48-V47,IF(A48&lt;'Données projet'!$A$36,$K$205^A48,IF(A48='Données projet'!$A$36,'Données projet'!$B$36,N47+M48-V47)))</f>
        <v>359.00000000000011</v>
      </c>
      <c r="O48" s="13">
        <f>N48*VLOOKUP('Données projet'!$B$9,Paramètres!$A$1:$I$89,3,0)*VLOOKUP('Données projet'!$B$9,Paramètres!$A$1:$I$89,5,0)</f>
        <v>214.6820000000001</v>
      </c>
      <c r="P48" s="13">
        <f t="shared" si="33"/>
        <v>52.957403780225121</v>
      </c>
      <c r="Q48" s="20">
        <f t="shared" si="53"/>
        <v>466.1386282505589</v>
      </c>
      <c r="R48" s="59">
        <f t="shared" si="0"/>
        <v>759.47196158389215</v>
      </c>
      <c r="S48" s="59">
        <f ca="1">AVERAGE(OFFSET($R$3,0,0,'Données projet'!$E$9+1,1))-AVERAGE(OFFSET($H$3,0,0,'Données projet'!$E$9+1,1))</f>
        <v>255.24521135682858</v>
      </c>
      <c r="T48" s="59">
        <f t="shared" si="34"/>
        <v>254.36590349790589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11.456197495145474</v>
      </c>
      <c r="AA48" s="21">
        <f>EXP(-LN(2)/25)*AA47+(1-EXP(-LN(2)/25))/(LN(2)/25)*Calculateur!V48*Calculateur!X48*VLOOKUP('Données projet'!$B$9,Paramètres!$A$1:$I$89,3,0)*0.475*44/12</f>
        <v>8.5057659849185825</v>
      </c>
      <c r="AB48" s="21">
        <f>EXP(-LN(2)/2)*AB47+(1-EXP(-LN(2)/2))/(LN(2)/2)*V48*Y48*VLOOKUP('Données projet'!$B$9,Paramètres!$A$1:$I$89,3,0)*0.475*44/12</f>
        <v>3.0664991308419685E-2</v>
      </c>
      <c r="AC48" s="22">
        <f t="shared" si="3"/>
        <v>19.992628471372477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606</v>
      </c>
      <c r="AG48" s="12">
        <f>VLOOKUP(A48,'Données projet'!$A$61:$I$81,9,0)</f>
        <v>22.8</v>
      </c>
      <c r="AH48" s="12">
        <f t="array" ref="AH48">INDEX(AG:AG,MIN(IF(ISNUMBER(AG48:AG244),ROW(AG48:AG244),"")))</f>
        <v>22.8</v>
      </c>
      <c r="AI48" s="13">
        <f>IF('Données projet'!$A$62&gt;35,AI47+AH48-AQ47,IF(A48&lt;'Données projet'!$A$62,$AF$205^A48,IF(A48='Données projet'!$A$62,'Données projet'!$B$62,AI47+AH48-AQ47)))</f>
        <v>606</v>
      </c>
      <c r="AJ48" s="13">
        <f>AI48*VLOOKUP('Données projet'!$B$10,Paramètres!$A$1:$I$89,3,0)*VLOOKUP('Données projet'!$B$10,Paramètres!$A$1:$I$89,5,0)</f>
        <v>338.75400000000002</v>
      </c>
      <c r="AK48" s="13">
        <f t="shared" si="35"/>
        <v>79.242459951408904</v>
      </c>
      <c r="AL48" s="20">
        <f t="shared" si="4"/>
        <v>728.01050108203719</v>
      </c>
      <c r="AM48" s="59">
        <f t="shared" si="5"/>
        <v>1021.3438344153706</v>
      </c>
      <c r="AN48" s="59">
        <f ca="1">AVERAGE(OFFSET($AM$3,0,0,'Données projet'!$E$10+1,1))-AVERAGE(OFFSET($H$3,0,0,'Données projet'!$E$10+1,1))</f>
        <v>378.17323480030268</v>
      </c>
      <c r="AO48" s="59">
        <f t="shared" si="36"/>
        <v>471.89239871617241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66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3.2727569516828079</v>
      </c>
      <c r="AV48" s="21">
        <f>EXP(-LN(2)/25)*AV47+(1-EXP(-LN(2)/25))/(LN(2)/25)*Calculateur!AQ48*Calculateur!AS48*VLOOKUP('Données projet'!$B$10,Paramètres!$A$1:$I$89,3,0)*0.475*44/12</f>
        <v>16.24373742702576</v>
      </c>
      <c r="AW48" s="21">
        <f>EXP(-LN(2)/2)*AW47+(1-EXP(-LN(2)/2))/(LN(2)/2)*AQ48*AT48*VLOOKUP('Données projet'!$B$10,Paramètres!$A$1:$I$89,3,0)*0.475*44/12</f>
        <v>5.1111841244157193E-2</v>
      </c>
      <c r="AX48" s="21">
        <f t="shared" si="6"/>
        <v>19.567606219952726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365</v>
      </c>
      <c r="L49" s="12">
        <f>VLOOKUP(A49,'Données projet'!$A$35:$I$55,9,0)</f>
        <v>6</v>
      </c>
      <c r="M49" s="12">
        <f t="array" ref="M49">INDEX(L:L,MIN(IF(ISNUMBER(L49:L245),ROW(L49:L245),"")))</f>
        <v>6</v>
      </c>
      <c r="N49" s="13">
        <f>IF('Données projet'!$A$36&gt;35,N48+M49-V48,IF(A49&lt;'Données projet'!$A$36,$K$205^A49,IF(A49='Données projet'!$A$36,'Données projet'!$B$36,N48+M49-V48)))</f>
        <v>365.00000000000011</v>
      </c>
      <c r="O49" s="13">
        <f>N49*VLOOKUP('Données projet'!$B$9,Paramètres!$A$1:$I$89,3,0)*VLOOKUP('Données projet'!$B$9,Paramètres!$A$1:$I$89,5,0)</f>
        <v>218.2700000000001</v>
      </c>
      <c r="P49" s="13">
        <f t="shared" si="33"/>
        <v>53.738706177800339</v>
      </c>
      <c r="Q49" s="20">
        <f t="shared" si="53"/>
        <v>473.74849659300236</v>
      </c>
      <c r="R49" s="59">
        <f t="shared" si="0"/>
        <v>767.08182992633567</v>
      </c>
      <c r="S49" s="59">
        <f ca="1">AVERAGE(OFFSET($R$3,0,0,'Données projet'!$E$9+1,1))-AVERAGE(OFFSET($H$3,0,0,'Données projet'!$E$9+1,1))</f>
        <v>255.24521135682858</v>
      </c>
      <c r="T49" s="59">
        <f t="shared" si="34"/>
        <v>254.36590349790589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11.231548449856176</v>
      </c>
      <c r="AA49" s="21">
        <f>EXP(-LN(2)/25)*AA48+(1-EXP(-LN(2)/25))/(LN(2)/25)*Calculateur!V49*Calculateur!X49*VLOOKUP('Données projet'!$B$9,Paramètres!$A$1:$I$89,3,0)*0.475*44/12</f>
        <v>8.2731753667621906</v>
      </c>
      <c r="AB49" s="21">
        <f>EXP(-LN(2)/2)*AB48+(1-EXP(-LN(2)/2))/(LN(2)/2)*V49*Y49*VLOOKUP('Données projet'!$B$9,Paramètres!$A$1:$I$89,3,0)*0.475*44/12</f>
        <v>2.1683423299210101E-2</v>
      </c>
      <c r="AC49" s="22">
        <f t="shared" si="3"/>
        <v>19.526407239917575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17.8</v>
      </c>
      <c r="AI49" s="13">
        <f>IF('Données projet'!$A$62&gt;35,AI48+AH49-AQ48,IF(A49&lt;'Données projet'!$A$62,$AF$205^A49,IF(A49='Données projet'!$A$62,'Données projet'!$B$62,AI48+AH49-AQ48)))</f>
        <v>557.79999999999995</v>
      </c>
      <c r="AJ49" s="13">
        <f>AI49*VLOOKUP('Données projet'!$B$10,Paramètres!$A$1:$I$89,3,0)*VLOOKUP('Données projet'!$B$10,Paramètres!$A$1:$I$89,5,0)</f>
        <v>311.81020000000001</v>
      </c>
      <c r="AK49" s="13">
        <f t="shared" si="35"/>
        <v>73.646743780370684</v>
      </c>
      <c r="AL49" s="20">
        <f t="shared" si="4"/>
        <v>671.33751041747894</v>
      </c>
      <c r="AM49" s="59">
        <f t="shared" si="5"/>
        <v>964.67084375081231</v>
      </c>
      <c r="AN49" s="59">
        <f ca="1">AVERAGE(OFFSET($AM$3,0,0,'Données projet'!$E$10+1,1))-AVERAGE(OFFSET($H$3,0,0,'Données projet'!$E$10+1,1))</f>
        <v>378.17323480030268</v>
      </c>
      <c r="AO49" s="59">
        <f t="shared" si="36"/>
        <v>471.89239871617241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3.2085801840449415</v>
      </c>
      <c r="AV49" s="21">
        <f>EXP(-LN(2)/25)*AV48+(1-EXP(-LN(2)/25))/(LN(2)/25)*Calculateur!AQ49*Calculateur!AS49*VLOOKUP('Données projet'!$B$10,Paramètres!$A$1:$I$89,3,0)*0.475*44/12</f>
        <v>15.799551572862715</v>
      </c>
      <c r="AW49" s="21">
        <f>EXP(-LN(2)/2)*AW48+(1-EXP(-LN(2)/2))/(LN(2)/2)*AQ49*AT49*VLOOKUP('Données projet'!$B$10,Paramètres!$A$1:$I$89,3,0)*0.475*44/12</f>
        <v>3.6141529542673814E-2</v>
      </c>
      <c r="AX49" s="21">
        <f t="shared" si="6"/>
        <v>19.044273286450331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7.25</v>
      </c>
      <c r="N50" s="13">
        <f>IF('Données projet'!$A$36&gt;35,N49+M50-V49,IF(A50&lt;'Données projet'!$A$36,$K$205^A50,IF(A50='Données projet'!$A$36,'Données projet'!$B$36,N49+M50-V49)))</f>
        <v>351.25000000000011</v>
      </c>
      <c r="O50" s="13">
        <f>N50*VLOOKUP('Données projet'!$B$9,Paramètres!$A$1:$I$89,3,0)*VLOOKUP('Données projet'!$B$9,Paramètres!$A$1:$I$89,5,0)</f>
        <v>210.04750000000007</v>
      </c>
      <c r="P50" s="13">
        <f t="shared" si="33"/>
        <v>51.945965506750504</v>
      </c>
      <c r="Q50" s="20">
        <f t="shared" si="53"/>
        <v>456.30528575759053</v>
      </c>
      <c r="R50" s="59">
        <f t="shared" si="0"/>
        <v>749.63861909092384</v>
      </c>
      <c r="S50" s="59">
        <f ca="1">AVERAGE(OFFSET($R$3,0,0,'Données projet'!$E$9+1,1))-AVERAGE(OFFSET($H$3,0,0,'Données projet'!$E$9+1,1))</f>
        <v>255.24521135682858</v>
      </c>
      <c r="T50" s="59">
        <f t="shared" si="34"/>
        <v>254.36590349790589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11.011304635322613</v>
      </c>
      <c r="AA50" s="21">
        <f>EXP(-LN(2)/25)*AA49+(1-EXP(-LN(2)/25))/(LN(2)/25)*Calculateur!V50*Calculateur!X50*VLOOKUP('Données projet'!$B$9,Paramètres!$A$1:$I$89,3,0)*0.475*44/12</f>
        <v>8.0469449512906941</v>
      </c>
      <c r="AB50" s="21">
        <f>EXP(-LN(2)/2)*AB49+(1-EXP(-LN(2)/2))/(LN(2)/2)*V50*Y50*VLOOKUP('Données projet'!$B$9,Paramètres!$A$1:$I$89,3,0)*0.475*44/12</f>
        <v>1.5332495654209844E-2</v>
      </c>
      <c r="AC50" s="22">
        <f t="shared" si="3"/>
        <v>19.073582082267517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17.8</v>
      </c>
      <c r="AI50" s="13">
        <f>IF('Données projet'!$A$62&gt;35,AI49+AH50-AQ49,IF(A50&lt;'Données projet'!$A$62,$AF$205^A50,IF(A50='Données projet'!$A$62,'Données projet'!$B$62,AI49+AH50-AQ49)))</f>
        <v>575.59999999999991</v>
      </c>
      <c r="AJ50" s="13">
        <f>AI50*VLOOKUP('Données projet'!$B$10,Paramètres!$A$1:$I$89,3,0)*VLOOKUP('Données projet'!$B$10,Paramètres!$A$1:$I$89,5,0)</f>
        <v>321.76039999999995</v>
      </c>
      <c r="AK50" s="13">
        <f t="shared" si="35"/>
        <v>75.719522083505169</v>
      </c>
      <c r="AL50" s="20">
        <f t="shared" si="4"/>
        <v>692.27753096210472</v>
      </c>
      <c r="AM50" s="59">
        <f t="shared" si="5"/>
        <v>985.61086429543798</v>
      </c>
      <c r="AN50" s="59">
        <f ca="1">AVERAGE(OFFSET($AM$3,0,0,'Données projet'!$E$10+1,1))-AVERAGE(OFFSET($H$3,0,0,'Données projet'!$E$10+1,1))</f>
        <v>378.17323480030268</v>
      </c>
      <c r="AO50" s="59">
        <f t="shared" si="36"/>
        <v>471.89239871617241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3.1456618836764907</v>
      </c>
      <c r="AV50" s="21">
        <f>EXP(-LN(2)/25)*AV49+(1-EXP(-LN(2)/25))/(LN(2)/25)*Calculateur!AQ50*Calculateur!AS50*VLOOKUP('Données projet'!$B$10,Paramètres!$A$1:$I$89,3,0)*0.475*44/12</f>
        <v>15.367512004240478</v>
      </c>
      <c r="AW50" s="21">
        <f>EXP(-LN(2)/2)*AW49+(1-EXP(-LN(2)/2))/(LN(2)/2)*AQ50*AT50*VLOOKUP('Données projet'!$B$10,Paramètres!$A$1:$I$89,3,0)*0.475*44/12</f>
        <v>2.5555920622078596E-2</v>
      </c>
      <c r="AX50" s="21">
        <f t="shared" si="6"/>
        <v>18.538729808539049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7.25</v>
      </c>
      <c r="N51" s="13">
        <f>IF('Données projet'!$A$36&gt;35,N50+M51-V50,IF(A51&lt;'Données projet'!$A$36,$K$205^A51,IF(A51='Données projet'!$A$36,'Données projet'!$B$36,N50+M51-V50)))</f>
        <v>358.50000000000011</v>
      </c>
      <c r="O51" s="13">
        <f>N51*VLOOKUP('Données projet'!$B$9,Paramètres!$A$1:$I$89,3,0)*VLOOKUP('Données projet'!$B$9,Paramètres!$A$1:$I$89,5,0)</f>
        <v>214.38300000000007</v>
      </c>
      <c r="P51" s="13">
        <f t="shared" si="33"/>
        <v>52.892226959987156</v>
      </c>
      <c r="Q51" s="20">
        <f t="shared" si="53"/>
        <v>465.50435362197771</v>
      </c>
      <c r="R51" s="59">
        <f t="shared" si="0"/>
        <v>758.83768695531103</v>
      </c>
      <c r="S51" s="59">
        <f ca="1">AVERAGE(OFFSET($R$3,0,0,'Données projet'!$E$9+1,1))-AVERAGE(OFFSET($H$3,0,0,'Données projet'!$E$9+1,1))</f>
        <v>255.24521135682858</v>
      </c>
      <c r="T51" s="59">
        <f t="shared" si="34"/>
        <v>254.36590349790589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10.795379667656592</v>
      </c>
      <c r="AA51" s="21">
        <f>EXP(-LN(2)/25)*AA50+(1-EXP(-LN(2)/25))/(LN(2)/25)*Calculateur!V51*Calculateur!X51*VLOOKUP('Données projet'!$B$9,Paramètres!$A$1:$I$89,3,0)*0.475*44/12</f>
        <v>7.8269008184272062</v>
      </c>
      <c r="AB51" s="21">
        <f>EXP(-LN(2)/2)*AB50+(1-EXP(-LN(2)/2))/(LN(2)/2)*V51*Y51*VLOOKUP('Données projet'!$B$9,Paramètres!$A$1:$I$89,3,0)*0.475*44/12</f>
        <v>1.0841711649605052E-2</v>
      </c>
      <c r="AC51" s="22">
        <f t="shared" si="3"/>
        <v>18.633122197733403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17.8</v>
      </c>
      <c r="AI51" s="13">
        <f>IF('Données projet'!$A$62&gt;35,AI50+AH51-AQ50,IF(A51&lt;'Données projet'!$A$62,$AF$205^A51,IF(A51='Données projet'!$A$62,'Données projet'!$B$62,AI50+AH51-AQ50)))</f>
        <v>593.39999999999986</v>
      </c>
      <c r="AJ51" s="13">
        <f>AI51*VLOOKUP('Données projet'!$B$10,Paramètres!$A$1:$I$89,3,0)*VLOOKUP('Données projet'!$B$10,Paramètres!$A$1:$I$89,5,0)</f>
        <v>331.71059999999994</v>
      </c>
      <c r="AK51" s="13">
        <f t="shared" si="35"/>
        <v>77.784851407016433</v>
      </c>
      <c r="AL51" s="20">
        <f t="shared" si="4"/>
        <v>713.20457786722011</v>
      </c>
      <c r="AM51" s="59">
        <f t="shared" si="5"/>
        <v>1006.5379112005535</v>
      </c>
      <c r="AN51" s="59">
        <f ca="1">AVERAGE(OFFSET($AM$3,0,0,'Données projet'!$E$10+1,1))-AVERAGE(OFFSET($H$3,0,0,'Données projet'!$E$10+1,1))</f>
        <v>378.17323480030268</v>
      </c>
      <c r="AO51" s="59">
        <f t="shared" si="36"/>
        <v>471.89239871617241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3.0839773728018915</v>
      </c>
      <c r="AV51" s="21">
        <f>EXP(-LN(2)/25)*AV50+(1-EXP(-LN(2)/25))/(LN(2)/25)*Calculateur!AQ51*Calculateur!AS51*VLOOKUP('Données projet'!$B$10,Paramètres!$A$1:$I$89,3,0)*0.475*44/12</f>
        <v>14.947286580342189</v>
      </c>
      <c r="AW51" s="21">
        <f>EXP(-LN(2)/2)*AW50+(1-EXP(-LN(2)/2))/(LN(2)/2)*AQ51*AT51*VLOOKUP('Données projet'!$B$10,Paramètres!$A$1:$I$89,3,0)*0.475*44/12</f>
        <v>1.8070764771336907E-2</v>
      </c>
      <c r="AX51" s="21">
        <f t="shared" si="6"/>
        <v>18.049334717915418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7.25</v>
      </c>
      <c r="N52" s="13">
        <f>IF('Données projet'!$A$36&gt;35,N51+M52-V51,IF(A52&lt;'Données projet'!$A$36,$K$205^A52,IF(A52='Données projet'!$A$36,'Données projet'!$B$36,N51+M52-V51)))</f>
        <v>365.75000000000011</v>
      </c>
      <c r="O52" s="13">
        <f>N52*VLOOKUP('Données projet'!$B$9,Paramètres!$A$1:$I$89,3,0)*VLOOKUP('Données projet'!$B$9,Paramètres!$A$1:$I$89,5,0)</f>
        <v>218.71850000000009</v>
      </c>
      <c r="P52" s="13">
        <f t="shared" si="33"/>
        <v>53.836263396856587</v>
      </c>
      <c r="Q52" s="20">
        <f t="shared" si="53"/>
        <v>474.69954624952533</v>
      </c>
      <c r="R52" s="59">
        <f t="shared" si="0"/>
        <v>768.03287958285864</v>
      </c>
      <c r="S52" s="59">
        <f ca="1">AVERAGE(OFFSET($R$3,0,0,'Données projet'!$E$9+1,1))-AVERAGE(OFFSET($H$3,0,0,'Données projet'!$E$9+1,1))</f>
        <v>255.24521135682858</v>
      </c>
      <c r="T52" s="59">
        <f t="shared" si="34"/>
        <v>254.36590349790589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10.583688856905274</v>
      </c>
      <c r="AA52" s="21">
        <f>EXP(-LN(2)/25)*AA51+(1-EXP(-LN(2)/25))/(LN(2)/25)*Calculateur!V52*Calculateur!X52*VLOOKUP('Données projet'!$B$9,Paramètres!$A$1:$I$89,3,0)*0.475*44/12</f>
        <v>7.6128738039484887</v>
      </c>
      <c r="AB52" s="21">
        <f>EXP(-LN(2)/2)*AB51+(1-EXP(-LN(2)/2))/(LN(2)/2)*V52*Y52*VLOOKUP('Données projet'!$B$9,Paramètres!$A$1:$I$89,3,0)*0.475*44/12</f>
        <v>7.6662478271049238E-3</v>
      </c>
      <c r="AC52" s="22">
        <f t="shared" si="3"/>
        <v>18.204228908680868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17.8</v>
      </c>
      <c r="AI52" s="13">
        <f>IF('Données projet'!$A$62&gt;35,AI51+AH52-AQ51,IF(A52&lt;'Données projet'!$A$62,$AF$205^A52,IF(A52='Données projet'!$A$62,'Données projet'!$B$62,AI51+AH52-AQ51)))</f>
        <v>611.19999999999982</v>
      </c>
      <c r="AJ52" s="13">
        <f>AI52*VLOOKUP('Données projet'!$B$10,Paramètres!$A$1:$I$89,3,0)*VLOOKUP('Données projet'!$B$10,Paramètres!$A$1:$I$89,5,0)</f>
        <v>341.66079999999988</v>
      </c>
      <c r="AK52" s="13">
        <f t="shared" si="35"/>
        <v>79.842980844864144</v>
      </c>
      <c r="AL52" s="20">
        <f t="shared" si="4"/>
        <v>734.11908497147158</v>
      </c>
      <c r="AM52" s="59">
        <f t="shared" si="5"/>
        <v>1027.452418304805</v>
      </c>
      <c r="AN52" s="59">
        <f ca="1">AVERAGE(OFFSET($AM$3,0,0,'Données projet'!$E$10+1,1))-AVERAGE(OFFSET($H$3,0,0,'Données projet'!$E$10+1,1))</f>
        <v>378.17323480030268</v>
      </c>
      <c r="AO52" s="59">
        <f t="shared" si="36"/>
        <v>471.89239871617241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3.0235024575617064</v>
      </c>
      <c r="AV52" s="21">
        <f>EXP(-LN(2)/25)*AV51+(1-EXP(-LN(2)/25))/(LN(2)/25)*Calculateur!AQ52*Calculateur!AS52*VLOOKUP('Données projet'!$B$10,Paramètres!$A$1:$I$89,3,0)*0.475*44/12</f>
        <v>14.538552242759092</v>
      </c>
      <c r="AW52" s="21">
        <f>EXP(-LN(2)/2)*AW51+(1-EXP(-LN(2)/2))/(LN(2)/2)*AQ52*AT52*VLOOKUP('Données projet'!$B$10,Paramètres!$A$1:$I$89,3,0)*0.475*44/12</f>
        <v>1.2777960311039298E-2</v>
      </c>
      <c r="AX52" s="21">
        <f t="shared" si="6"/>
        <v>17.574832660631838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7.25</v>
      </c>
      <c r="N53" s="13">
        <f>IF('Données projet'!$A$36&gt;35,N52+M53-V52,IF(A53&lt;'Données projet'!$A$36,$K$205^A53,IF(A53='Données projet'!$A$36,'Données projet'!$B$36,N52+M53-V52)))</f>
        <v>373.00000000000011</v>
      </c>
      <c r="O53" s="13">
        <f>N53*VLOOKUP('Données projet'!$B$9,Paramètres!$A$1:$I$89,3,0)*VLOOKUP('Données projet'!$B$9,Paramètres!$A$1:$I$89,5,0)</f>
        <v>223.05400000000009</v>
      </c>
      <c r="P53" s="13">
        <f t="shared" si="33"/>
        <v>54.778124005813382</v>
      </c>
      <c r="Q53" s="20">
        <f t="shared" si="53"/>
        <v>483.89094931012505</v>
      </c>
      <c r="R53" s="59">
        <f t="shared" si="0"/>
        <v>777.22428264345831</v>
      </c>
      <c r="S53" s="59">
        <f ca="1">AVERAGE(OFFSET($R$3,0,0,'Données projet'!$E$9+1,1))-AVERAGE(OFFSET($H$3,0,0,'Données projet'!$E$9+1,1))</f>
        <v>255.24521135682858</v>
      </c>
      <c r="T53" s="59">
        <f t="shared" si="34"/>
        <v>254.36590349790589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10.376149173834145</v>
      </c>
      <c r="AA53" s="21">
        <f>EXP(-LN(2)/25)*AA52+(1-EXP(-LN(2)/25))/(LN(2)/25)*Calculateur!V53*Calculateur!X53*VLOOKUP('Données projet'!$B$9,Paramètres!$A$1:$I$89,3,0)*0.475*44/12</f>
        <v>7.4046993694358836</v>
      </c>
      <c r="AB53" s="21">
        <f>EXP(-LN(2)/2)*AB52+(1-EXP(-LN(2)/2))/(LN(2)/2)*V53*Y53*VLOOKUP('Données projet'!$B$9,Paramètres!$A$1:$I$89,3,0)*0.475*44/12</f>
        <v>5.4208558248025271E-3</v>
      </c>
      <c r="AC53" s="22">
        <f t="shared" si="3"/>
        <v>17.786269399094831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629</v>
      </c>
      <c r="AG53" s="12">
        <f>VLOOKUP(A53,'Données projet'!$A$61:$I$81,9,0)</f>
        <v>17.8</v>
      </c>
      <c r="AH53" s="12">
        <f t="array" ref="AH53">INDEX(AG:AG,MIN(IF(ISNUMBER(AG53:AG249),ROW(AG53:AG249),"")))</f>
        <v>17.8</v>
      </c>
      <c r="AI53" s="13">
        <f>IF('Données projet'!$A$62&gt;35,AI52+AH53-AQ52,IF(A53&lt;'Données projet'!$A$62,$AF$205^A53,IF(A53='Données projet'!$A$62,'Données projet'!$B$62,AI52+AH53-AQ52)))</f>
        <v>628.99999999999977</v>
      </c>
      <c r="AJ53" s="13">
        <f>AI53*VLOOKUP('Données projet'!$B$10,Paramètres!$A$1:$I$89,3,0)*VLOOKUP('Données projet'!$B$10,Paramètres!$A$1:$I$89,5,0)</f>
        <v>351.61099999999988</v>
      </c>
      <c r="AK53" s="13">
        <f t="shared" si="35"/>
        <v>81.89414415728541</v>
      </c>
      <c r="AL53" s="20">
        <f t="shared" si="4"/>
        <v>755.02145940727178</v>
      </c>
      <c r="AM53" s="59">
        <f t="shared" si="5"/>
        <v>1048.354792740605</v>
      </c>
      <c r="AN53" s="59">
        <f ca="1">AVERAGE(OFFSET($AM$3,0,0,'Données projet'!$E$10+1,1))-AVERAGE(OFFSET($H$3,0,0,'Données projet'!$E$10+1,1))</f>
        <v>378.17323480030268</v>
      </c>
      <c r="AO53" s="59">
        <f t="shared" si="36"/>
        <v>471.89239871617241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48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2.9642134185233253</v>
      </c>
      <c r="AV53" s="21">
        <f>EXP(-LN(2)/25)*AV52+(1-EXP(-LN(2)/25))/(LN(2)/25)*Calculateur!AQ53*Calculateur!AS53*VLOOKUP('Données projet'!$B$10,Paramètres!$A$1:$I$89,3,0)*0.475*44/12</f>
        <v>14.140994767131611</v>
      </c>
      <c r="AW53" s="21">
        <f>EXP(-LN(2)/2)*AW52+(1-EXP(-LN(2)/2))/(LN(2)/2)*AQ53*AT53*VLOOKUP('Données projet'!$B$10,Paramètres!$A$1:$I$89,3,0)*0.475*44/12</f>
        <v>9.0353823856684536E-3</v>
      </c>
      <c r="AX53" s="21">
        <f t="shared" si="6"/>
        <v>17.114243568040607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7.25</v>
      </c>
      <c r="N54" s="13">
        <f>IF('Données projet'!$A$36&gt;35,N53+M54-V53,IF(A54&lt;'Données projet'!$A$36,$K$205^A54,IF(A54='Données projet'!$A$36,'Données projet'!$B$36,N53+M54-V53)))</f>
        <v>380.25000000000011</v>
      </c>
      <c r="O54" s="13">
        <f>N54*VLOOKUP('Données projet'!$B$9,Paramètres!$A$1:$I$89,3,0)*VLOOKUP('Données projet'!$B$9,Paramètres!$A$1:$I$89,5,0)</f>
        <v>227.38950000000008</v>
      </c>
      <c r="P54" s="13">
        <f t="shared" si="33"/>
        <v>55.717855953778951</v>
      </c>
      <c r="Q54" s="20">
        <f t="shared" si="53"/>
        <v>493.07864495283178</v>
      </c>
      <c r="R54" s="59">
        <f t="shared" si="0"/>
        <v>786.41197828616509</v>
      </c>
      <c r="S54" s="59">
        <f ca="1">AVERAGE(OFFSET($R$3,0,0,'Données projet'!$E$9+1,1))-AVERAGE(OFFSET($H$3,0,0,'Données projet'!$E$9+1,1))</f>
        <v>255.24521135682858</v>
      </c>
      <c r="T54" s="59">
        <f t="shared" si="34"/>
        <v>254.36590349790589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10.172679217361335</v>
      </c>
      <c r="AA54" s="21">
        <f>EXP(-LN(2)/25)*AA53+(1-EXP(-LN(2)/25))/(LN(2)/25)*Calculateur!V54*Calculateur!X54*VLOOKUP('Données projet'!$B$9,Paramètres!$A$1:$I$89,3,0)*0.475*44/12</f>
        <v>7.2022174757824429</v>
      </c>
      <c r="AB54" s="21">
        <f>EXP(-LN(2)/2)*AB53+(1-EXP(-LN(2)/2))/(LN(2)/2)*V54*Y54*VLOOKUP('Données projet'!$B$9,Paramètres!$A$1:$I$89,3,0)*0.475*44/12</f>
        <v>3.8331239135524623E-3</v>
      </c>
      <c r="AC54" s="22">
        <f t="shared" si="3"/>
        <v>17.37872981705733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13.8</v>
      </c>
      <c r="AI54" s="13">
        <f>IF('Données projet'!$A$62&gt;35,AI53+AH54-AQ53,IF(A54&lt;'Données projet'!$A$62,$AF$205^A54,IF(A54='Données projet'!$A$62,'Données projet'!$B$62,AI53+AH54-AQ53)))</f>
        <v>594.79999999999973</v>
      </c>
      <c r="AJ54" s="13">
        <f>AI54*VLOOKUP('Données projet'!$B$10,Paramètres!$A$1:$I$89,3,0)*VLOOKUP('Données projet'!$B$10,Paramètres!$A$1:$I$89,5,0)</f>
        <v>332.49319999999983</v>
      </c>
      <c r="AK54" s="13">
        <f t="shared" si="35"/>
        <v>77.946984490524827</v>
      </c>
      <c r="AL54" s="20">
        <f t="shared" si="4"/>
        <v>714.84998798766367</v>
      </c>
      <c r="AM54" s="59">
        <f t="shared" si="5"/>
        <v>1008.183321320997</v>
      </c>
      <c r="AN54" s="59">
        <f ca="1">AVERAGE(OFFSET($AM$3,0,0,'Données projet'!$E$10+1,1))-AVERAGE(OFFSET($H$3,0,0,'Données projet'!$E$10+1,1))</f>
        <v>378.17323480030268</v>
      </c>
      <c r="AO54" s="59">
        <f t="shared" si="36"/>
        <v>471.89239871617241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2.906087001377744</v>
      </c>
      <c r="AV54" s="21">
        <f>EXP(-LN(2)/25)*AV53+(1-EXP(-LN(2)/25))/(LN(2)/25)*Calculateur!AQ54*Calculateur!AS54*VLOOKUP('Données projet'!$B$10,Paramètres!$A$1:$I$89,3,0)*0.475*44/12</f>
        <v>13.754308521581802</v>
      </c>
      <c r="AW54" s="21">
        <f>EXP(-LN(2)/2)*AW53+(1-EXP(-LN(2)/2))/(LN(2)/2)*AQ54*AT54*VLOOKUP('Données projet'!$B$10,Paramètres!$A$1:$I$89,3,0)*0.475*44/12</f>
        <v>6.3889801555196491E-3</v>
      </c>
      <c r="AX54" s="21">
        <f t="shared" si="6"/>
        <v>16.666784503115068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7.25</v>
      </c>
      <c r="N55" s="13">
        <f>IF('Données projet'!$A$36&gt;35,N54+M55-V54,IF(A55&lt;'Données projet'!$A$36,$K$205^A55,IF(A55='Données projet'!$A$36,'Données projet'!$B$36,N54+M55-V54)))</f>
        <v>387.50000000000011</v>
      </c>
      <c r="O55" s="13">
        <f>N55*VLOOKUP('Données projet'!$B$9,Paramètres!$A$1:$I$89,3,0)*VLOOKUP('Données projet'!$B$9,Paramètres!$A$1:$I$89,5,0)</f>
        <v>231.72500000000008</v>
      </c>
      <c r="P55" s="13">
        <f t="shared" si="33"/>
        <v>56.655504506153761</v>
      </c>
      <c r="Q55" s="20">
        <f t="shared" si="53"/>
        <v>502.26271201488458</v>
      </c>
      <c r="R55" s="59">
        <f t="shared" si="0"/>
        <v>795.5960453482179</v>
      </c>
      <c r="S55" s="59">
        <f ca="1">AVERAGE(OFFSET($R$3,0,0,'Données projet'!$E$9+1,1))-AVERAGE(OFFSET($H$3,0,0,'Données projet'!$E$9+1,1))</f>
        <v>255.24521135682858</v>
      </c>
      <c r="T55" s="59">
        <f t="shared" si="34"/>
        <v>254.36590349790589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9.9731991826305357</v>
      </c>
      <c r="AA55" s="21">
        <f>EXP(-LN(2)/25)*AA54+(1-EXP(-LN(2)/25))/(LN(2)/25)*Calculateur!V55*Calculateur!X55*VLOOKUP('Données projet'!$B$9,Paramètres!$A$1:$I$89,3,0)*0.475*44/12</f>
        <v>7.0052724601590155</v>
      </c>
      <c r="AB55" s="21">
        <f>EXP(-LN(2)/2)*AB54+(1-EXP(-LN(2)/2))/(LN(2)/2)*V55*Y55*VLOOKUP('Données projet'!$B$9,Paramètres!$A$1:$I$89,3,0)*0.475*44/12</f>
        <v>2.710427912401264E-3</v>
      </c>
      <c r="AC55" s="22">
        <f t="shared" si="3"/>
        <v>16.981182070701951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13.8</v>
      </c>
      <c r="AI55" s="13">
        <f>IF('Données projet'!$A$62&gt;35,AI54+AH55-AQ54,IF(A55&lt;'Données projet'!$A$62,$AF$205^A55,IF(A55='Données projet'!$A$62,'Données projet'!$B$62,AI54+AH55-AQ54)))</f>
        <v>608.59999999999968</v>
      </c>
      <c r="AJ55" s="13">
        <f>AI55*VLOOKUP('Données projet'!$B$10,Paramètres!$A$1:$I$89,3,0)*VLOOKUP('Données projet'!$B$10,Paramètres!$A$1:$I$89,5,0)</f>
        <v>340.20739999999984</v>
      </c>
      <c r="AK55" s="13">
        <f t="shared" si="35"/>
        <v>79.542795053996059</v>
      </c>
      <c r="AL55" s="20">
        <f t="shared" si="4"/>
        <v>731.06492305237623</v>
      </c>
      <c r="AM55" s="59">
        <f t="shared" si="5"/>
        <v>1024.3982563857096</v>
      </c>
      <c r="AN55" s="59">
        <f ca="1">AVERAGE(OFFSET($AM$3,0,0,'Données projet'!$E$10+1,1))-AVERAGE(OFFSET($H$3,0,0,'Données projet'!$E$10+1,1))</f>
        <v>378.17323480030268</v>
      </c>
      <c r="AO55" s="59">
        <f t="shared" si="36"/>
        <v>471.89239871617241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2.8491004078187738</v>
      </c>
      <c r="AV55" s="21">
        <f>EXP(-LN(2)/25)*AV54+(1-EXP(-LN(2)/25))/(LN(2)/25)*Calculateur!AQ55*Calculateur!AS55*VLOOKUP('Données projet'!$B$10,Paramètres!$A$1:$I$89,3,0)*0.475*44/12</f>
        <v>13.378196231751499</v>
      </c>
      <c r="AW55" s="21">
        <f>EXP(-LN(2)/2)*AW54+(1-EXP(-LN(2)/2))/(LN(2)/2)*AQ55*AT55*VLOOKUP('Données projet'!$B$10,Paramètres!$A$1:$I$89,3,0)*0.475*44/12</f>
        <v>4.5176911928342268E-3</v>
      </c>
      <c r="AX55" s="21">
        <f t="shared" si="6"/>
        <v>16.231814330763108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7.25</v>
      </c>
      <c r="N56" s="13">
        <f>IF('Données projet'!$A$36&gt;35,N55+M56-V55,IF(A56&lt;'Données projet'!$A$36,$K$205^A56,IF(A56='Données projet'!$A$36,'Données projet'!$B$36,N55+M56-V55)))</f>
        <v>394.75000000000011</v>
      </c>
      <c r="O56" s="13">
        <f>N56*VLOOKUP('Données projet'!$B$9,Paramètres!$A$1:$I$89,3,0)*VLOOKUP('Données projet'!$B$9,Paramètres!$A$1:$I$89,5,0)</f>
        <v>236.0605000000001</v>
      </c>
      <c r="P56" s="13">
        <f t="shared" si="33"/>
        <v>57.591113137594334</v>
      </c>
      <c r="Q56" s="20">
        <f t="shared" si="53"/>
        <v>511.44322621464363</v>
      </c>
      <c r="R56" s="59">
        <f t="shared" si="0"/>
        <v>804.77655954797694</v>
      </c>
      <c r="S56" s="59">
        <f ca="1">AVERAGE(OFFSET($R$3,0,0,'Données projet'!$E$9+1,1))-AVERAGE(OFFSET($H$3,0,0,'Données projet'!$E$9+1,1))</f>
        <v>255.24521135682858</v>
      </c>
      <c r="T56" s="59">
        <f t="shared" si="34"/>
        <v>254.36590349790589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9.7776308297100005</v>
      </c>
      <c r="AA56" s="21">
        <f>EXP(-LN(2)/25)*AA55+(1-EXP(-LN(2)/25))/(LN(2)/25)*Calculateur!V56*Calculateur!X56*VLOOKUP('Données projet'!$B$9,Paramètres!$A$1:$I$89,3,0)*0.475*44/12</f>
        <v>6.8137129163446994</v>
      </c>
      <c r="AB56" s="21">
        <f>EXP(-LN(2)/2)*AB55+(1-EXP(-LN(2)/2))/(LN(2)/2)*V56*Y56*VLOOKUP('Données projet'!$B$9,Paramètres!$A$1:$I$89,3,0)*0.475*44/12</f>
        <v>1.9165619567762316E-3</v>
      </c>
      <c r="AC56" s="22">
        <f t="shared" si="3"/>
        <v>16.593260308011477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13.8</v>
      </c>
      <c r="AI56" s="13">
        <f>IF('Données projet'!$A$62&gt;35,AI55+AH56-AQ55,IF(A56&lt;'Données projet'!$A$62,$AF$205^A56,IF(A56='Données projet'!$A$62,'Données projet'!$B$62,AI55+AH56-AQ55)))</f>
        <v>622.39999999999964</v>
      </c>
      <c r="AJ56" s="13">
        <f>AI56*VLOOKUP('Données projet'!$B$10,Paramètres!$A$1:$I$89,3,0)*VLOOKUP('Données projet'!$B$10,Paramètres!$A$1:$I$89,5,0)</f>
        <v>347.92159999999978</v>
      </c>
      <c r="AK56" s="13">
        <f t="shared" si="35"/>
        <v>81.134398856989449</v>
      </c>
      <c r="AL56" s="20">
        <f t="shared" si="4"/>
        <v>747.27253134258956</v>
      </c>
      <c r="AM56" s="59">
        <f t="shared" si="5"/>
        <v>1040.6058646759229</v>
      </c>
      <c r="AN56" s="59">
        <f ca="1">AVERAGE(OFFSET($AM$3,0,0,'Données projet'!$E$10+1,1))-AVERAGE(OFFSET($H$3,0,0,'Données projet'!$E$10+1,1))</f>
        <v>378.17323480030268</v>
      </c>
      <c r="AO56" s="59">
        <f t="shared" si="36"/>
        <v>471.89239871617241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2.7932312866011051</v>
      </c>
      <c r="AV56" s="21">
        <f>EXP(-LN(2)/25)*AV55+(1-EXP(-LN(2)/25))/(LN(2)/25)*Calculateur!AQ56*Calculateur!AS56*VLOOKUP('Données projet'!$B$10,Paramètres!$A$1:$I$89,3,0)*0.475*44/12</f>
        <v>13.012368752265491</v>
      </c>
      <c r="AW56" s="21">
        <f>EXP(-LN(2)/2)*AW55+(1-EXP(-LN(2)/2))/(LN(2)/2)*AQ56*AT56*VLOOKUP('Données projet'!$B$10,Paramètres!$A$1:$I$89,3,0)*0.475*44/12</f>
        <v>3.1944900777598245E-3</v>
      </c>
      <c r="AX56" s="21">
        <f t="shared" si="6"/>
        <v>15.808794528944357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402</v>
      </c>
      <c r="L57" s="12">
        <f>VLOOKUP(A57,'Données projet'!$A$35:$I$55,9,0)</f>
        <v>7.25</v>
      </c>
      <c r="M57" s="12">
        <f t="array" ref="M57">INDEX(L:L,MIN(IF(ISNUMBER(L57:L253),ROW(L57:L253),"")))</f>
        <v>7.25</v>
      </c>
      <c r="N57" s="13">
        <f>IF('Données projet'!$A$36&gt;35,N56+M57-V56,IF(A57&lt;'Données projet'!$A$36,$K$205^A57,IF(A57='Données projet'!$A$36,'Données projet'!$B$36,N56+M57-V56)))</f>
        <v>402.00000000000011</v>
      </c>
      <c r="O57" s="13">
        <f>N57*VLOOKUP('Données projet'!$B$9,Paramètres!$A$1:$I$89,3,0)*VLOOKUP('Données projet'!$B$9,Paramètres!$A$1:$I$89,5,0)</f>
        <v>240.3960000000001</v>
      </c>
      <c r="P57" s="13">
        <f t="shared" si="33"/>
        <v>58.524723634421655</v>
      </c>
      <c r="Q57" s="20">
        <f t="shared" si="53"/>
        <v>520.62026032995107</v>
      </c>
      <c r="R57" s="59">
        <f t="shared" si="0"/>
        <v>813.95359366328444</v>
      </c>
      <c r="S57" s="59">
        <f ca="1">AVERAGE(OFFSET($R$3,0,0,'Données projet'!$E$9+1,1))-AVERAGE(OFFSET($H$3,0,0,'Données projet'!$E$9+1,1))</f>
        <v>255.24521135682858</v>
      </c>
      <c r="T57" s="59">
        <f t="shared" si="34"/>
        <v>254.36590349790589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9.5858974529053214</v>
      </c>
      <c r="AA57" s="21">
        <f>EXP(-LN(2)/25)*AA56+(1-EXP(-LN(2)/25))/(LN(2)/25)*Calculateur!V57*Calculateur!X57*VLOOKUP('Données projet'!$B$9,Paramètres!$A$1:$I$89,3,0)*0.475*44/12</f>
        <v>6.6273915783296644</v>
      </c>
      <c r="AB57" s="21">
        <f>EXP(-LN(2)/2)*AB56+(1-EXP(-LN(2)/2))/(LN(2)/2)*V57*Y57*VLOOKUP('Données projet'!$B$9,Paramètres!$A$1:$I$89,3,0)*0.475*44/12</f>
        <v>1.3552139562006322E-3</v>
      </c>
      <c r="AC57" s="22">
        <f t="shared" si="3"/>
        <v>16.214644245191188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13.8</v>
      </c>
      <c r="AI57" s="13">
        <f>IF('Données projet'!$A$62&gt;35,AI56+AH57-AQ56,IF(A57&lt;'Données projet'!$A$62,$AF$205^A57,IF(A57='Données projet'!$A$62,'Données projet'!$B$62,AI56+AH57-AQ56)))</f>
        <v>636.19999999999959</v>
      </c>
      <c r="AJ57" s="13">
        <f>AI57*VLOOKUP('Données projet'!$B$10,Paramètres!$A$1:$I$89,3,0)*VLOOKUP('Données projet'!$B$10,Paramètres!$A$1:$I$89,5,0)</f>
        <v>355.63579999999973</v>
      </c>
      <c r="AK57" s="13">
        <f t="shared" si="35"/>
        <v>82.721899912765039</v>
      </c>
      <c r="AL57" s="20">
        <f t="shared" si="4"/>
        <v>763.47299401473185</v>
      </c>
      <c r="AM57" s="59">
        <f t="shared" si="5"/>
        <v>1056.8063273480652</v>
      </c>
      <c r="AN57" s="59">
        <f ca="1">AVERAGE(OFFSET($AM$3,0,0,'Données projet'!$E$10+1,1))-AVERAGE(OFFSET($H$3,0,0,'Données projet'!$E$10+1,1))</f>
        <v>378.17323480030268</v>
      </c>
      <c r="AO57" s="59">
        <f t="shared" si="36"/>
        <v>471.89239871617241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2.7384577247737156</v>
      </c>
      <c r="AV57" s="21">
        <f>EXP(-LN(2)/25)*AV56+(1-EXP(-LN(2)/25))/(LN(2)/25)*Calculateur!AQ57*Calculateur!AS57*VLOOKUP('Données projet'!$B$10,Paramètres!$A$1:$I$89,3,0)*0.475*44/12</f>
        <v>12.656544844444058</v>
      </c>
      <c r="AW57" s="21">
        <f>EXP(-LN(2)/2)*AW56+(1-EXP(-LN(2)/2))/(LN(2)/2)*AQ57*AT57*VLOOKUP('Données projet'!$B$10,Paramètres!$A$1:$I$89,3,0)*0.475*44/12</f>
        <v>2.2588455964171134E-3</v>
      </c>
      <c r="AX57" s="21">
        <f t="shared" si="6"/>
        <v>15.39726141481419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</v>
      </c>
      <c r="N58" s="13">
        <f>IF('Données projet'!$A$36&gt;35,N57+M58-V57,IF(A58&lt;'Données projet'!$A$36,$K$205^A58,IF(A58='Données projet'!$A$36,'Données projet'!$B$36,N57+M58-V57)))</f>
        <v>388.00000000000011</v>
      </c>
      <c r="O58" s="13">
        <f>N58*VLOOKUP('Données projet'!$B$9,Paramètres!$A$1:$I$89,3,0)*VLOOKUP('Données projet'!$B$9,Paramètres!$A$1:$I$89,5,0)</f>
        <v>232.02400000000006</v>
      </c>
      <c r="P58" s="13">
        <f t="shared" si="33"/>
        <v>56.720094243161071</v>
      </c>
      <c r="Q58" s="20">
        <f t="shared" si="53"/>
        <v>502.89596414017234</v>
      </c>
      <c r="R58" s="59">
        <f t="shared" si="0"/>
        <v>796.22929747350565</v>
      </c>
      <c r="S58" s="59">
        <f ca="1">AVERAGE(OFFSET($R$3,0,0,'Données projet'!$E$9+1,1))-AVERAGE(OFFSET($H$3,0,0,'Données projet'!$E$9+1,1))</f>
        <v>255.24521135682858</v>
      </c>
      <c r="T58" s="59">
        <f t="shared" si="34"/>
        <v>254.36590349790589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9.3979238506739691</v>
      </c>
      <c r="AA58" s="21">
        <f>EXP(-LN(2)/25)*AA57+(1-EXP(-LN(2)/25))/(LN(2)/25)*Calculateur!V58*Calculateur!X58*VLOOKUP('Données projet'!$B$9,Paramètres!$A$1:$I$89,3,0)*0.475*44/12</f>
        <v>6.4461652071008642</v>
      </c>
      <c r="AB58" s="21">
        <f>EXP(-LN(2)/2)*AB57+(1-EXP(-LN(2)/2))/(LN(2)/2)*V58*Y58*VLOOKUP('Données projet'!$B$9,Paramètres!$A$1:$I$89,3,0)*0.475*44/12</f>
        <v>9.5828097838811591E-4</v>
      </c>
      <c r="AC58" s="22">
        <f t="shared" si="3"/>
        <v>15.845047338753222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650</v>
      </c>
      <c r="AG58" s="12">
        <f>VLOOKUP(A58,'Données projet'!$A$61:$I$81,9,0)</f>
        <v>13.8</v>
      </c>
      <c r="AH58" s="12">
        <f t="array" ref="AH58">INDEX(AG:AG,MIN(IF(ISNUMBER(AG58:AG254),ROW(AG58:AG254),"")))</f>
        <v>13.8</v>
      </c>
      <c r="AI58" s="13">
        <f>IF('Données projet'!$A$62&gt;35,AI57+AH58-AQ57,IF(A58&lt;'Données projet'!$A$62,$AF$205^A58,IF(A58='Données projet'!$A$62,'Données projet'!$B$62,AI57+AH58-AQ57)))</f>
        <v>649.99999999999955</v>
      </c>
      <c r="AJ58" s="13">
        <f>AI58*VLOOKUP('Données projet'!$B$10,Paramètres!$A$1:$I$89,3,0)*VLOOKUP('Données projet'!$B$10,Paramètres!$A$1:$I$89,5,0)</f>
        <v>363.34999999999974</v>
      </c>
      <c r="AK58" s="13">
        <f t="shared" si="35"/>
        <v>84.305397464498199</v>
      </c>
      <c r="AL58" s="20">
        <f t="shared" si="4"/>
        <v>779.66648391733395</v>
      </c>
      <c r="AM58" s="59">
        <f t="shared" si="5"/>
        <v>1072.9998172506673</v>
      </c>
      <c r="AN58" s="59">
        <f ca="1">AVERAGE(OFFSET($AM$3,0,0,'Données projet'!$E$10+1,1))-AVERAGE(OFFSET($H$3,0,0,'Données projet'!$E$10+1,1))</f>
        <v>378.17323480030268</v>
      </c>
      <c r="AO58" s="59">
        <f t="shared" si="36"/>
        <v>471.89239871617241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35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2.6847582390851872</v>
      </c>
      <c r="AV58" s="21">
        <f>EXP(-LN(2)/25)*AV57+(1-EXP(-LN(2)/25))/(LN(2)/25)*Calculateur!AQ58*Calculateur!AS58*VLOOKUP('Données projet'!$B$10,Paramètres!$A$1:$I$89,3,0)*0.475*44/12</f>
        <v>12.310450960093968</v>
      </c>
      <c r="AW58" s="21">
        <f>EXP(-LN(2)/2)*AW57+(1-EXP(-LN(2)/2))/(LN(2)/2)*AQ58*AT58*VLOOKUP('Données projet'!$B$10,Paramètres!$A$1:$I$89,3,0)*0.475*44/12</f>
        <v>1.5972450388799123E-3</v>
      </c>
      <c r="AX58" s="21">
        <f t="shared" si="6"/>
        <v>14.996806444218036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</v>
      </c>
      <c r="N59" s="13">
        <f>IF('Données projet'!$A$36&gt;35,N58+M59-V58,IF(A59&lt;'Données projet'!$A$36,$K$205^A59,IF(A59='Données projet'!$A$36,'Données projet'!$B$36,N58+M59-V58)))</f>
        <v>391.00000000000011</v>
      </c>
      <c r="O59" s="13">
        <f>N59*VLOOKUP('Données projet'!$B$9,Paramètres!$A$1:$I$89,3,0)*VLOOKUP('Données projet'!$B$9,Paramètres!$A$1:$I$89,5,0)</f>
        <v>233.8180000000001</v>
      </c>
      <c r="P59" s="13">
        <f t="shared" si="33"/>
        <v>57.107429708554143</v>
      </c>
      <c r="Q59" s="20">
        <f t="shared" si="53"/>
        <v>506.69512340906527</v>
      </c>
      <c r="R59" s="59">
        <f t="shared" si="0"/>
        <v>800.02845674239859</v>
      </c>
      <c r="S59" s="59">
        <f ca="1">AVERAGE(OFFSET($R$3,0,0,'Données projet'!$E$9+1,1))-AVERAGE(OFFSET($H$3,0,0,'Données projet'!$E$9+1,1))</f>
        <v>255.24521135682858</v>
      </c>
      <c r="T59" s="59">
        <f t="shared" si="34"/>
        <v>254.36590349790589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9.2136362961297973</v>
      </c>
      <c r="AA59" s="21">
        <f>EXP(-LN(2)/25)*AA58+(1-EXP(-LN(2)/25))/(LN(2)/25)*Calculateur!V59*Calculateur!X59*VLOOKUP('Données projet'!$B$9,Paramètres!$A$1:$I$89,3,0)*0.475*44/12</f>
        <v>6.2698944805235959</v>
      </c>
      <c r="AB59" s="21">
        <f>EXP(-LN(2)/2)*AB58+(1-EXP(-LN(2)/2))/(LN(2)/2)*V59*Y59*VLOOKUP('Données projet'!$B$9,Paramètres!$A$1:$I$89,3,0)*0.475*44/12</f>
        <v>6.7760697810031621E-4</v>
      </c>
      <c r="AC59" s="22">
        <f t="shared" si="3"/>
        <v>15.484208383631493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10.199999999999999</v>
      </c>
      <c r="AI59" s="13">
        <f>IF('Données projet'!$A$62&gt;35,AI58+AH59-AQ58,IF(A59&lt;'Données projet'!$A$62,$AF$205^A59,IF(A59='Données projet'!$A$62,'Données projet'!$B$62,AI58+AH59-AQ58)))</f>
        <v>625.19999999999959</v>
      </c>
      <c r="AJ59" s="13">
        <f>AI59*VLOOKUP('Données projet'!$B$10,Paramètres!$A$1:$I$89,3,0)*VLOOKUP('Données projet'!$B$10,Paramètres!$A$1:$I$89,5,0)</f>
        <v>349.48679999999979</v>
      </c>
      <c r="AK59" s="13">
        <f t="shared" si="35"/>
        <v>81.45682900536228</v>
      </c>
      <c r="AL59" s="20">
        <f t="shared" si="4"/>
        <v>750.56015385100557</v>
      </c>
      <c r="AM59" s="59">
        <f t="shared" si="5"/>
        <v>1043.8934871843389</v>
      </c>
      <c r="AN59" s="59">
        <f ca="1">AVERAGE(OFFSET($AM$3,0,0,'Données projet'!$E$10+1,1))-AVERAGE(OFFSET($H$3,0,0,'Données projet'!$E$10+1,1))</f>
        <v>378.17323480030268</v>
      </c>
      <c r="AO59" s="59">
        <f t="shared" si="36"/>
        <v>471.89239871617241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2.6321117675575589</v>
      </c>
      <c r="AV59" s="21">
        <f>EXP(-LN(2)/25)*AV58+(1-EXP(-LN(2)/25))/(LN(2)/25)*Calculateur!AQ59*Calculateur!AS59*VLOOKUP('Données projet'!$B$10,Paramètres!$A$1:$I$89,3,0)*0.475*44/12</f>
        <v>11.973821031211719</v>
      </c>
      <c r="AW59" s="21">
        <f>EXP(-LN(2)/2)*AW58+(1-EXP(-LN(2)/2))/(LN(2)/2)*AQ59*AT59*VLOOKUP('Données projet'!$B$10,Paramètres!$A$1:$I$89,3,0)*0.475*44/12</f>
        <v>1.1294227982085567E-3</v>
      </c>
      <c r="AX59" s="21">
        <f t="shared" si="6"/>
        <v>14.607062221567485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</v>
      </c>
      <c r="N60" s="13">
        <f>IF('Données projet'!$A$36&gt;35,N59+M60-V59,IF(A60&lt;'Données projet'!$A$36,$K$205^A60,IF(A60='Données projet'!$A$36,'Données projet'!$B$36,N59+M60-V59)))</f>
        <v>394.00000000000011</v>
      </c>
      <c r="O60" s="13">
        <f>N60*VLOOKUP('Données projet'!$B$9,Paramètres!$A$1:$I$89,3,0)*VLOOKUP('Données projet'!$B$9,Paramètres!$A$1:$I$89,5,0)</f>
        <v>235.61200000000008</v>
      </c>
      <c r="P60" s="13">
        <f t="shared" si="33"/>
        <v>57.494419397561693</v>
      </c>
      <c r="Q60" s="20">
        <f t="shared" si="53"/>
        <v>510.49368045075335</v>
      </c>
      <c r="R60" s="59">
        <f t="shared" si="0"/>
        <v>803.8270137840866</v>
      </c>
      <c r="S60" s="59">
        <f ca="1">AVERAGE(OFFSET($R$3,0,0,'Données projet'!$E$9+1,1))-AVERAGE(OFFSET($H$3,0,0,'Données projet'!$E$9+1,1))</f>
        <v>255.24521135682858</v>
      </c>
      <c r="T60" s="59">
        <f t="shared" si="34"/>
        <v>254.36590349790589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9.0329625081259266</v>
      </c>
      <c r="AA60" s="21">
        <f>EXP(-LN(2)/25)*AA59+(1-EXP(-LN(2)/25))/(LN(2)/25)*Calculateur!V60*Calculateur!X60*VLOOKUP('Données projet'!$B$9,Paramètres!$A$1:$I$89,3,0)*0.475*44/12</f>
        <v>6.0984438862342571</v>
      </c>
      <c r="AB60" s="21">
        <f>EXP(-LN(2)/2)*AB59+(1-EXP(-LN(2)/2))/(LN(2)/2)*V60*Y60*VLOOKUP('Données projet'!$B$9,Paramètres!$A$1:$I$89,3,0)*0.475*44/12</f>
        <v>4.7914048919405801E-4</v>
      </c>
      <c r="AC60" s="22">
        <f t="shared" si="3"/>
        <v>15.131885534849378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10.199999999999999</v>
      </c>
      <c r="AI60" s="13">
        <f>IF('Données projet'!$A$62&gt;35,AI59+AH60-AQ59,IF(A60&lt;'Données projet'!$A$62,$AF$205^A60,IF(A60='Données projet'!$A$62,'Données projet'!$B$62,AI59+AH60-AQ59)))</f>
        <v>635.39999999999964</v>
      </c>
      <c r="AJ60" s="13">
        <f>AI60*VLOOKUP('Données projet'!$B$10,Paramètres!$A$1:$I$89,3,0)*VLOOKUP('Données projet'!$B$10,Paramètres!$A$1:$I$89,5,0)</f>
        <v>355.18859999999984</v>
      </c>
      <c r="AK60" s="13">
        <f t="shared" si="35"/>
        <v>82.629981116726043</v>
      </c>
      <c r="AL60" s="20">
        <f t="shared" si="4"/>
        <v>762.53402877829774</v>
      </c>
      <c r="AM60" s="59">
        <f t="shared" si="5"/>
        <v>1055.8673621116311</v>
      </c>
      <c r="AN60" s="59">
        <f ca="1">AVERAGE(OFFSET($AM$3,0,0,'Données projet'!$E$10+1,1))-AVERAGE(OFFSET($H$3,0,0,'Données projet'!$E$10+1,1))</f>
        <v>378.17323480030268</v>
      </c>
      <c r="AO60" s="59">
        <f t="shared" si="36"/>
        <v>471.89239871617241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2.5804976612254102</v>
      </c>
      <c r="AV60" s="21">
        <f>EXP(-LN(2)/25)*AV59+(1-EXP(-LN(2)/25))/(LN(2)/25)*Calculateur!AQ60*Calculateur!AS60*VLOOKUP('Données projet'!$B$10,Paramètres!$A$1:$I$89,3,0)*0.475*44/12</f>
        <v>11.646396265437353</v>
      </c>
      <c r="AW60" s="21">
        <f>EXP(-LN(2)/2)*AW59+(1-EXP(-LN(2)/2))/(LN(2)/2)*AQ60*AT60*VLOOKUP('Données projet'!$B$10,Paramètres!$A$1:$I$89,3,0)*0.475*44/12</f>
        <v>7.9862251943995613E-4</v>
      </c>
      <c r="AX60" s="21">
        <f t="shared" si="6"/>
        <v>14.227692549182203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</v>
      </c>
      <c r="N61" s="13">
        <f>IF('Données projet'!$A$36&gt;35,N60+M61-V60,IF(A61&lt;'Données projet'!$A$36,$K$205^A61,IF(A61='Données projet'!$A$36,'Données projet'!$B$36,N60+M61-V60)))</f>
        <v>397.00000000000011</v>
      </c>
      <c r="O61" s="13">
        <f>N61*VLOOKUP('Données projet'!$B$9,Paramètres!$A$1:$I$89,3,0)*VLOOKUP('Données projet'!$B$9,Paramètres!$A$1:$I$89,5,0)</f>
        <v>237.40600000000009</v>
      </c>
      <c r="P61" s="13">
        <f t="shared" si="33"/>
        <v>57.881066248213493</v>
      </c>
      <c r="Q61" s="20">
        <f t="shared" si="53"/>
        <v>514.29164038230522</v>
      </c>
      <c r="R61" s="59">
        <f t="shared" si="0"/>
        <v>807.62497371563859</v>
      </c>
      <c r="S61" s="59">
        <f ca="1">AVERAGE(OFFSET($R$3,0,0,'Données projet'!$E$9+1,1))-AVERAGE(OFFSET($H$3,0,0,'Données projet'!$E$9+1,1))</f>
        <v>255.24521135682858</v>
      </c>
      <c r="T61" s="59">
        <f t="shared" si="34"/>
        <v>254.36590349790589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8.8558316229046827</v>
      </c>
      <c r="AA61" s="21">
        <f>EXP(-LN(2)/25)*AA60+(1-EXP(-LN(2)/25))/(LN(2)/25)*Calculateur!V61*Calculateur!X61*VLOOKUP('Données projet'!$B$9,Paramètres!$A$1:$I$89,3,0)*0.475*44/12</f>
        <v>5.9316816174619555</v>
      </c>
      <c r="AB61" s="21">
        <f>EXP(-LN(2)/2)*AB60+(1-EXP(-LN(2)/2))/(LN(2)/2)*V61*Y61*VLOOKUP('Données projet'!$B$9,Paramètres!$A$1:$I$89,3,0)*0.475*44/12</f>
        <v>3.3880348905015816E-4</v>
      </c>
      <c r="AC61" s="22">
        <f t="shared" si="3"/>
        <v>14.78785204385569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10.199999999999999</v>
      </c>
      <c r="AI61" s="13">
        <f>IF('Données projet'!$A$62&gt;35,AI60+AH61-AQ60,IF(A61&lt;'Données projet'!$A$62,$AF$205^A61,IF(A61='Données projet'!$A$62,'Données projet'!$B$62,AI60+AH61-AQ60)))</f>
        <v>645.59999999999968</v>
      </c>
      <c r="AJ61" s="13">
        <f>AI61*VLOOKUP('Données projet'!$B$10,Paramètres!$A$1:$I$89,3,0)*VLOOKUP('Données projet'!$B$10,Paramètres!$A$1:$I$89,5,0)</f>
        <v>360.89039999999977</v>
      </c>
      <c r="AK61" s="13">
        <f t="shared" si="35"/>
        <v>83.800943075865291</v>
      </c>
      <c r="AL61" s="20">
        <f t="shared" si="4"/>
        <v>774.50408919046504</v>
      </c>
      <c r="AM61" s="59">
        <f t="shared" si="5"/>
        <v>1067.8374225237983</v>
      </c>
      <c r="AN61" s="59">
        <f ca="1">AVERAGE(OFFSET($AM$3,0,0,'Données projet'!$E$10+1,1))-AVERAGE(OFFSET($H$3,0,0,'Données projet'!$E$10+1,1))</f>
        <v>378.17323480030268</v>
      </c>
      <c r="AO61" s="59">
        <f t="shared" si="36"/>
        <v>471.89239871617241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2.5298956760369387</v>
      </c>
      <c r="AV61" s="21">
        <f>EXP(-LN(2)/25)*AV60+(1-EXP(-LN(2)/25))/(LN(2)/25)*Calculateur!AQ61*Calculateur!AS61*VLOOKUP('Données projet'!$B$10,Paramètres!$A$1:$I$89,3,0)*0.475*44/12</f>
        <v>11.327924947101607</v>
      </c>
      <c r="AW61" s="21">
        <f>EXP(-LN(2)/2)*AW60+(1-EXP(-LN(2)/2))/(LN(2)/2)*AQ61*AT61*VLOOKUP('Données projet'!$B$10,Paramètres!$A$1:$I$89,3,0)*0.475*44/12</f>
        <v>5.6471139910427835E-4</v>
      </c>
      <c r="AX61" s="21">
        <f t="shared" si="6"/>
        <v>13.858385334537649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</v>
      </c>
      <c r="N62" s="13">
        <f>IF('Données projet'!$A$36&gt;35,N61+M62-V61,IF(A62&lt;'Données projet'!$A$36,$K$205^A62,IF(A62='Données projet'!$A$36,'Données projet'!$B$36,N61+M62-V61)))</f>
        <v>400.00000000000011</v>
      </c>
      <c r="O62" s="13">
        <f>N62*VLOOKUP('Données projet'!$B$9,Paramètres!$A$1:$I$89,3,0)*VLOOKUP('Données projet'!$B$9,Paramètres!$A$1:$I$89,5,0)</f>
        <v>239.20000000000007</v>
      </c>
      <c r="P62" s="13">
        <f t="shared" si="33"/>
        <v>58.267373151570702</v>
      </c>
      <c r="Q62" s="20">
        <f t="shared" si="53"/>
        <v>518.08900823898568</v>
      </c>
      <c r="R62" s="59">
        <f t="shared" si="0"/>
        <v>811.42234157231906</v>
      </c>
      <c r="S62" s="59">
        <f ca="1">AVERAGE(OFFSET($R$3,0,0,'Données projet'!$E$9+1,1))-AVERAGE(OFFSET($H$3,0,0,'Données projet'!$E$9+1,1))</f>
        <v>255.24521135682858</v>
      </c>
      <c r="T62" s="59">
        <f t="shared" si="34"/>
        <v>254.36590349790589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8.6821741663034562</v>
      </c>
      <c r="AA62" s="21">
        <f>EXP(-LN(2)/25)*AA61+(1-EXP(-LN(2)/25))/(LN(2)/25)*Calculateur!V62*Calculateur!X62*VLOOKUP('Données projet'!$B$9,Paramètres!$A$1:$I$89,3,0)*0.475*44/12</f>
        <v>5.7694794716988795</v>
      </c>
      <c r="AB62" s="21">
        <f>EXP(-LN(2)/2)*AB61+(1-EXP(-LN(2)/2))/(LN(2)/2)*V62*Y62*VLOOKUP('Données projet'!$B$9,Paramètres!$A$1:$I$89,3,0)*0.475*44/12</f>
        <v>2.3957024459702906E-4</v>
      </c>
      <c r="AC62" s="22">
        <f t="shared" si="3"/>
        <v>14.451893208246933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10.199999999999999</v>
      </c>
      <c r="AI62" s="13">
        <f>IF('Données projet'!$A$62&gt;35,AI61+AH62-AQ61,IF(A62&lt;'Données projet'!$A$62,$AF$205^A62,IF(A62='Données projet'!$A$62,'Données projet'!$B$62,AI61+AH62-AQ61)))</f>
        <v>655.79999999999973</v>
      </c>
      <c r="AJ62" s="13">
        <f>AI62*VLOOKUP('Données projet'!$B$10,Paramètres!$A$1:$I$89,3,0)*VLOOKUP('Données projet'!$B$10,Paramètres!$A$1:$I$89,5,0)</f>
        <v>366.59219999999982</v>
      </c>
      <c r="AK62" s="13">
        <f t="shared" si="35"/>
        <v>84.969753481055022</v>
      </c>
      <c r="AL62" s="20">
        <f t="shared" si="4"/>
        <v>786.47040231283711</v>
      </c>
      <c r="AM62" s="59">
        <f t="shared" si="5"/>
        <v>1079.8037356461705</v>
      </c>
      <c r="AN62" s="59">
        <f ca="1">AVERAGE(OFFSET($AM$3,0,0,'Données projet'!$E$10+1,1))-AVERAGE(OFFSET($H$3,0,0,'Données projet'!$E$10+1,1))</f>
        <v>378.17323480030268</v>
      </c>
      <c r="AO62" s="59">
        <f t="shared" si="36"/>
        <v>471.89239871617241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2.4802859649138496</v>
      </c>
      <c r="AV62" s="21">
        <f>EXP(-LN(2)/25)*AV61+(1-EXP(-LN(2)/25))/(LN(2)/25)*Calculateur!AQ62*Calculateur!AS62*VLOOKUP('Données projet'!$B$10,Paramètres!$A$1:$I$89,3,0)*0.475*44/12</f>
        <v>11.018162243713432</v>
      </c>
      <c r="AW62" s="21">
        <f>EXP(-LN(2)/2)*AW61+(1-EXP(-LN(2)/2))/(LN(2)/2)*AQ62*AT62*VLOOKUP('Données projet'!$B$10,Paramètres!$A$1:$I$89,3,0)*0.475*44/12</f>
        <v>3.9931125971997807E-4</v>
      </c>
      <c r="AX62" s="21">
        <f t="shared" si="6"/>
        <v>13.498847519887001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</v>
      </c>
      <c r="N63" s="13">
        <f>IF('Données projet'!$A$36&gt;35,N62+M63-V62,IF(A63&lt;'Données projet'!$A$36,$K$205^A63,IF(A63='Données projet'!$A$36,'Données projet'!$B$36,N62+M63-V62)))</f>
        <v>403.00000000000011</v>
      </c>
      <c r="O63" s="13">
        <f>N63*VLOOKUP('Données projet'!$B$9,Paramètres!$A$1:$I$89,3,0)*VLOOKUP('Données projet'!$B$9,Paramètres!$A$1:$I$89,5,0)</f>
        <v>240.99400000000009</v>
      </c>
      <c r="P63" s="13">
        <f t="shared" si="33"/>
        <v>58.653342952823451</v>
      </c>
      <c r="Q63" s="20">
        <f t="shared" si="53"/>
        <v>521.88578897616765</v>
      </c>
      <c r="R63" s="59">
        <f t="shared" si="0"/>
        <v>815.21912230950102</v>
      </c>
      <c r="S63" s="59">
        <f ca="1">AVERAGE(OFFSET($R$3,0,0,'Données projet'!$E$9+1,1))-AVERAGE(OFFSET($H$3,0,0,'Données projet'!$E$9+1,1))</f>
        <v>255.24521135682858</v>
      </c>
      <c r="T63" s="59">
        <f t="shared" si="34"/>
        <v>254.36590349790589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8.511922026505589</v>
      </c>
      <c r="AA63" s="21">
        <f>EXP(-LN(2)/25)*AA62+(1-EXP(-LN(2)/25))/(LN(2)/25)*Calculateur!V63*Calculateur!X63*VLOOKUP('Données projet'!$B$9,Paramètres!$A$1:$I$89,3,0)*0.475*44/12</f>
        <v>5.6117127521415346</v>
      </c>
      <c r="AB63" s="21">
        <f>EXP(-LN(2)/2)*AB62+(1-EXP(-LN(2)/2))/(LN(2)/2)*V63*Y63*VLOOKUP('Données projet'!$B$9,Paramètres!$A$1:$I$89,3,0)*0.475*44/12</f>
        <v>1.6940174452507911E-4</v>
      </c>
      <c r="AC63" s="22">
        <f t="shared" si="3"/>
        <v>14.123804180391648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666</v>
      </c>
      <c r="AG63" s="12">
        <f>VLOOKUP(A63,'Données projet'!$A$61:$I$81,9,0)</f>
        <v>10.199999999999999</v>
      </c>
      <c r="AH63" s="12">
        <f t="array" ref="AH63">INDEX(AG:AG,MIN(IF(ISNUMBER(AG63:AG259),ROW(AG63:AG259),"")))</f>
        <v>10.199999999999999</v>
      </c>
      <c r="AI63" s="13">
        <f>IF('Données projet'!$A$62&gt;35,AI62+AH63-AQ62,IF(A63&lt;'Données projet'!$A$62,$AF$205^A63,IF(A63='Données projet'!$A$62,'Données projet'!$B$62,AI62+AH63-AQ62)))</f>
        <v>665.99999999999977</v>
      </c>
      <c r="AJ63" s="13">
        <f>AI63*VLOOKUP('Données projet'!$B$10,Paramètres!$A$1:$I$89,3,0)*VLOOKUP('Données projet'!$B$10,Paramètres!$A$1:$I$89,5,0)</f>
        <v>372.29399999999987</v>
      </c>
      <c r="AK63" s="13">
        <f t="shared" si="35"/>
        <v>86.136449661008839</v>
      </c>
      <c r="AL63" s="20">
        <f t="shared" si="4"/>
        <v>798.43303315959008</v>
      </c>
      <c r="AM63" s="59">
        <f t="shared" si="5"/>
        <v>1091.7663664929235</v>
      </c>
      <c r="AN63" s="59">
        <f ca="1">AVERAGE(OFFSET($AM$3,0,0,'Données projet'!$E$10+1,1))-AVERAGE(OFFSET($H$3,0,0,'Données projet'!$E$10+1,1))</f>
        <v>378.17323480030268</v>
      </c>
      <c r="AO63" s="59">
        <f t="shared" si="36"/>
        <v>471.89239871617241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666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2.4316490699669484</v>
      </c>
      <c r="AV63" s="21">
        <f>EXP(-LN(2)/25)*AV62+(1-EXP(-LN(2)/25))/(LN(2)/25)*Calculateur!AQ63*Calculateur!AS63*VLOOKUP('Données projet'!$B$10,Paramètres!$A$1:$I$89,3,0)*0.475*44/12</f>
        <v>10.716870017739119</v>
      </c>
      <c r="AW63" s="21">
        <f>EXP(-LN(2)/2)*AW62+(1-EXP(-LN(2)/2))/(LN(2)/2)*AQ63*AT63*VLOOKUP('Données projet'!$B$10,Paramètres!$A$1:$I$89,3,0)*0.475*44/12</f>
        <v>2.8235569955213917E-4</v>
      </c>
      <c r="AX63" s="21">
        <f t="shared" si="6"/>
        <v>13.148801443405619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</v>
      </c>
      <c r="N64" s="13">
        <f>IF('Données projet'!$A$36&gt;35,N63+M64-V63,IF(A64&lt;'Données projet'!$A$36,$K$205^A64,IF(A64='Données projet'!$A$36,'Données projet'!$B$36,N63+M64-V63)))</f>
        <v>406.00000000000011</v>
      </c>
      <c r="O64" s="13">
        <f>N64*VLOOKUP('Données projet'!$B$9,Paramètres!$A$1:$I$89,3,0)*VLOOKUP('Données projet'!$B$9,Paramètres!$A$1:$I$89,5,0)</f>
        <v>242.78800000000007</v>
      </c>
      <c r="P64" s="13">
        <f t="shared" si="33"/>
        <v>59.038978452354563</v>
      </c>
      <c r="Q64" s="20">
        <f t="shared" si="53"/>
        <v>525.68198747118436</v>
      </c>
      <c r="R64" s="59">
        <f t="shared" si="0"/>
        <v>819.01532080451761</v>
      </c>
      <c r="S64" s="59">
        <f ca="1">AVERAGE(OFFSET($R$3,0,0,'Données projet'!$E$9+1,1))-AVERAGE(OFFSET($H$3,0,0,'Données projet'!$E$9+1,1))</f>
        <v>255.24521135682858</v>
      </c>
      <c r="T64" s="59">
        <f t="shared" si="34"/>
        <v>254.36590349790589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8.3450084273256078</v>
      </c>
      <c r="AA64" s="21">
        <f>EXP(-LN(2)/25)*AA63+(1-EXP(-LN(2)/25))/(LN(2)/25)*Calculateur!V64*Calculateur!X64*VLOOKUP('Données projet'!$B$9,Paramètres!$A$1:$I$89,3,0)*0.475*44/12</f>
        <v>5.4582601718270762</v>
      </c>
      <c r="AB64" s="21">
        <f>EXP(-LN(2)/2)*AB63+(1-EXP(-LN(2)/2))/(LN(2)/2)*V64*Y64*VLOOKUP('Données projet'!$B$9,Paramètres!$A$1:$I$89,3,0)*0.475*44/12</f>
        <v>1.1978512229851454E-4</v>
      </c>
      <c r="AC64" s="22">
        <f t="shared" si="3"/>
        <v>13.803388384274983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-2.2737367544323206E-13</v>
      </c>
      <c r="AJ64" s="13">
        <f>AI64*VLOOKUP('Données projet'!$B$10,Paramètres!$A$1:$I$89,3,0)*VLOOKUP('Données projet'!$B$10,Paramètres!$A$1:$I$89,5,0)</f>
        <v>-1.2710188457276673E-13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378.17323480030268</v>
      </c>
      <c r="AO64" s="59">
        <f t="shared" si="36"/>
        <v>471.89239871617241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2.3839659148643793</v>
      </c>
      <c r="AV64" s="21">
        <f>EXP(-LN(2)/25)*AV63+(1-EXP(-LN(2)/25))/(LN(2)/25)*Calculateur!AQ64*Calculateur!AS64*VLOOKUP('Données projet'!$B$10,Paramètres!$A$1:$I$89,3,0)*0.475*44/12</f>
        <v>10.423816643528342</v>
      </c>
      <c r="AW64" s="21">
        <f>EXP(-LN(2)/2)*AW63+(1-EXP(-LN(2)/2))/(LN(2)/2)*AQ64*AT64*VLOOKUP('Données projet'!$B$10,Paramètres!$A$1:$I$89,3,0)*0.475*44/12</f>
        <v>1.9965562985998903E-4</v>
      </c>
      <c r="AX64" s="21">
        <f t="shared" si="6"/>
        <v>12.807982214022582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409</v>
      </c>
      <c r="L65" s="12">
        <f>VLOOKUP(A65,'Données projet'!$A$35:$I$55,9,0)</f>
        <v>3</v>
      </c>
      <c r="M65" s="12">
        <f t="array" ref="M65">INDEX(L:L,MIN(IF(ISNUMBER(L65:L261),ROW(L65:L261),"")))</f>
        <v>3</v>
      </c>
      <c r="N65" s="13">
        <f>IF('Données projet'!$A$36&gt;35,N64+M65-V64,IF(A65&lt;'Données projet'!$A$36,$K$205^A65,IF(A65='Données projet'!$A$36,'Données projet'!$B$36,N64+M65-V64)))</f>
        <v>409.00000000000011</v>
      </c>
      <c r="O65" s="13">
        <f>N65*VLOOKUP('Données projet'!$B$9,Paramètres!$A$1:$I$89,3,0)*VLOOKUP('Données projet'!$B$9,Paramètres!$A$1:$I$89,5,0)</f>
        <v>244.58200000000011</v>
      </c>
      <c r="P65" s="13">
        <f t="shared" si="33"/>
        <v>59.424282406770885</v>
      </c>
      <c r="Q65" s="20">
        <f t="shared" si="53"/>
        <v>529.47760852512613</v>
      </c>
      <c r="R65" s="59">
        <f t="shared" si="0"/>
        <v>822.8109418584595</v>
      </c>
      <c r="S65" s="59">
        <f ca="1">AVERAGE(OFFSET($R$3,0,0,'Données projet'!$E$9+1,1))-AVERAGE(OFFSET($H$3,0,0,'Données projet'!$E$9+1,1))</f>
        <v>255.24521135682858</v>
      </c>
      <c r="T65" s="59">
        <f t="shared" si="34"/>
        <v>254.36590349790589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409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8.1813679020183017</v>
      </c>
      <c r="AA65" s="21">
        <f>EXP(-LN(2)/25)*AA64+(1-EXP(-LN(2)/25))/(LN(2)/25)*Calculateur!V65*Calculateur!X65*VLOOKUP('Données projet'!$B$9,Paramètres!$A$1:$I$89,3,0)*0.475*44/12</f>
        <v>5.3090037603910378</v>
      </c>
      <c r="AB65" s="21">
        <f>EXP(-LN(2)/2)*AB64+(1-EXP(-LN(2)/2))/(LN(2)/2)*V65*Y65*VLOOKUP('Données projet'!$B$9,Paramètres!$A$1:$I$89,3,0)*0.475*44/12</f>
        <v>8.4700872262539567E-5</v>
      </c>
      <c r="AC65" s="22">
        <f t="shared" si="3"/>
        <v>13.490456363281602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-2.2737367544323206E-13</v>
      </c>
      <c r="AJ65" s="13">
        <f>AI65*VLOOKUP('Données projet'!$B$10,Paramètres!$A$1:$I$89,3,0)*VLOOKUP('Données projet'!$B$10,Paramètres!$A$1:$I$89,5,0)</f>
        <v>-1.2710188457276673E-13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378.17323480030268</v>
      </c>
      <c r="AO65" s="59">
        <f t="shared" si="36"/>
        <v>471.89239871617241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2.3372177973495187</v>
      </c>
      <c r="AV65" s="21">
        <f>EXP(-LN(2)/25)*AV64+(1-EXP(-LN(2)/25))/(LN(2)/25)*Calculateur!AQ65*Calculateur!AS65*VLOOKUP('Données projet'!$B$10,Paramètres!$A$1:$I$89,3,0)*0.475*44/12</f>
        <v>10.138776829246366</v>
      </c>
      <c r="AW65" s="21">
        <f>EXP(-LN(2)/2)*AW64+(1-EXP(-LN(2)/2))/(LN(2)/2)*AQ65*AT65*VLOOKUP('Données projet'!$B$10,Paramètres!$A$1:$I$89,3,0)*0.475*44/12</f>
        <v>1.4117784977606959E-4</v>
      </c>
      <c r="AX65" s="21">
        <f t="shared" si="6"/>
        <v>12.476135804445661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1.1368683772161603E-13</v>
      </c>
      <c r="O66" s="13">
        <f>N66*VLOOKUP('Données projet'!$B$9,Paramètres!$A$1:$I$89,3,0)*VLOOKUP('Données projet'!$B$9,Paramètres!$A$1:$I$89,5,0)</f>
        <v>6.7984728957526396E-14</v>
      </c>
      <c r="P66" s="13">
        <f t="shared" si="33"/>
        <v>1.0682447123141398E-12</v>
      </c>
      <c r="Q66" s="20">
        <f t="shared" si="53"/>
        <v>1.978932943548152E-12</v>
      </c>
      <c r="R66" s="59">
        <f t="shared" si="0"/>
        <v>293.3333333333353</v>
      </c>
      <c r="S66" s="59">
        <f ca="1">AVERAGE(OFFSET($R$3,0,0,'Données projet'!$E$9+1,1))-AVERAGE(OFFSET($H$3,0,0,'Données projet'!$E$9+1,1))</f>
        <v>255.24521135682858</v>
      </c>
      <c r="T66" s="59">
        <f t="shared" si="34"/>
        <v>254.36590349790589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8.0209362676014067</v>
      </c>
      <c r="AA66" s="21">
        <f>EXP(-LN(2)/25)*AA65+(1-EXP(-LN(2)/25))/(LN(2)/25)*Calculateur!V66*Calculateur!X66*VLOOKUP('Données projet'!$B$9,Paramètres!$A$1:$I$89,3,0)*0.475*44/12</f>
        <v>5.163828773374771</v>
      </c>
      <c r="AB66" s="21">
        <f>EXP(-LN(2)/2)*AB65+(1-EXP(-LN(2)/2))/(LN(2)/2)*V66*Y66*VLOOKUP('Données projet'!$B$9,Paramètres!$A$1:$I$89,3,0)*0.475*44/12</f>
        <v>5.9892561149257285E-5</v>
      </c>
      <c r="AC66" s="22">
        <f t="shared" si="3"/>
        <v>13.184824933537326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-2.2737367544323206E-13</v>
      </c>
      <c r="AJ66" s="13">
        <f>AI66*VLOOKUP('Données projet'!$B$10,Paramètres!$A$1:$I$89,3,0)*VLOOKUP('Données projet'!$B$10,Paramètres!$A$1:$I$89,5,0)</f>
        <v>-1.2710188457276673E-13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378.17323480030268</v>
      </c>
      <c r="AO66" s="59">
        <f t="shared" si="36"/>
        <v>471.89239871617241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2.2913863819055886</v>
      </c>
      <c r="AV66" s="21">
        <f>EXP(-LN(2)/25)*AV65+(1-EXP(-LN(2)/25))/(LN(2)/25)*Calculateur!AQ66*Calculateur!AS66*VLOOKUP('Données projet'!$B$10,Paramètres!$A$1:$I$89,3,0)*0.475*44/12</f>
        <v>9.8615314436755224</v>
      </c>
      <c r="AW66" s="21">
        <f>EXP(-LN(2)/2)*AW65+(1-EXP(-LN(2)/2))/(LN(2)/2)*AQ66*AT66*VLOOKUP('Données projet'!$B$10,Paramètres!$A$1:$I$89,3,0)*0.475*44/12</f>
        <v>9.9827814929994517E-5</v>
      </c>
      <c r="AX66" s="21">
        <f t="shared" si="6"/>
        <v>12.153017653396041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1.1368683772161603E-13</v>
      </c>
      <c r="O67" s="13">
        <f>N67*VLOOKUP('Données projet'!$B$9,Paramètres!$A$1:$I$89,3,0)*VLOOKUP('Données projet'!$B$9,Paramètres!$A$1:$I$89,5,0)</f>
        <v>6.7984728957526396E-14</v>
      </c>
      <c r="P67" s="13">
        <f t="shared" si="33"/>
        <v>1.0682447123141398E-12</v>
      </c>
      <c r="Q67" s="20">
        <f t="shared" ref="Q67:Q98" si="54">(O67+P67)*0.475*44/12</f>
        <v>1.978932943548152E-12</v>
      </c>
      <c r="R67" s="59">
        <f t="shared" ref="R67:R130" si="55">Q67+(I67+J67)*44/12</f>
        <v>293.3333333333353</v>
      </c>
      <c r="S67" s="59">
        <f ca="1">AVERAGE(OFFSET($R$3,0,0,'Données projet'!$E$9+1,1))-AVERAGE(OFFSET($H$3,0,0,'Données projet'!$E$9+1,1))</f>
        <v>255.24521135682858</v>
      </c>
      <c r="T67" s="59">
        <f t="shared" si="34"/>
        <v>254.36590349790589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7.8636505996817929</v>
      </c>
      <c r="AA67" s="21">
        <f>EXP(-LN(2)/25)*AA66+(1-EXP(-LN(2)/25))/(LN(2)/25)*Calculateur!V67*Calculateur!X67*VLOOKUP('Données projet'!$B$9,Paramètres!$A$1:$I$89,3,0)*0.475*44/12</f>
        <v>5.0226236040128844</v>
      </c>
      <c r="AB67" s="21">
        <f>EXP(-LN(2)/2)*AB66+(1-EXP(-LN(2)/2))/(LN(2)/2)*V67*Y67*VLOOKUP('Données projet'!$B$9,Paramètres!$A$1:$I$89,3,0)*0.475*44/12</f>
        <v>4.235043613126979E-5</v>
      </c>
      <c r="AC67" s="22">
        <f t="shared" si="3"/>
        <v>12.886316554130808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-2.2737367544323206E-13</v>
      </c>
      <c r="AJ67" s="13">
        <f>AI67*VLOOKUP('Données projet'!$B$10,Paramètres!$A$1:$I$89,3,0)*VLOOKUP('Données projet'!$B$10,Paramètres!$A$1:$I$89,5,0)</f>
        <v>-1.2710188457276673E-13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378.17323480030268</v>
      </c>
      <c r="AO67" s="59">
        <f t="shared" si="36"/>
        <v>471.89239871617241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2.2464536925641108</v>
      </c>
      <c r="AV67" s="21">
        <f>EXP(-LN(2)/25)*AV66+(1-EXP(-LN(2)/25))/(LN(2)/25)*Calculateur!AQ67*Calculateur!AS67*VLOOKUP('Données projet'!$B$10,Paramètres!$A$1:$I$89,3,0)*0.475*44/12</f>
        <v>9.5918673477528156</v>
      </c>
      <c r="AW67" s="21">
        <f>EXP(-LN(2)/2)*AW66+(1-EXP(-LN(2)/2))/(LN(2)/2)*AQ67*AT67*VLOOKUP('Données projet'!$B$10,Paramètres!$A$1:$I$89,3,0)*0.475*44/12</f>
        <v>7.0588924888034793E-5</v>
      </c>
      <c r="AX67" s="21">
        <f t="shared" si="6"/>
        <v>11.838391629241816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1.1368683772161603E-13</v>
      </c>
      <c r="O68" s="13">
        <f>N68*VLOOKUP('Données projet'!$B$9,Paramètres!$A$1:$I$89,3,0)*VLOOKUP('Données projet'!$B$9,Paramètres!$A$1:$I$89,5,0)</f>
        <v>6.7984728957526396E-14</v>
      </c>
      <c r="P68" s="13">
        <f t="shared" si="33"/>
        <v>1.0682447123141398E-12</v>
      </c>
      <c r="Q68" s="20">
        <f t="shared" si="54"/>
        <v>1.978932943548152E-12</v>
      </c>
      <c r="R68" s="59">
        <f t="shared" si="55"/>
        <v>293.3333333333353</v>
      </c>
      <c r="S68" s="59">
        <f ca="1">AVERAGE(OFFSET($R$3,0,0,'Données projet'!$E$9+1,1))-AVERAGE(OFFSET($H$3,0,0,'Données projet'!$E$9+1,1))</f>
        <v>255.24521135682858</v>
      </c>
      <c r="T68" s="59">
        <f t="shared" si="34"/>
        <v>254.36590349790589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7.7094492077752985</v>
      </c>
      <c r="AA68" s="21">
        <f>EXP(-LN(2)/25)*AA67+(1-EXP(-LN(2)/25))/(LN(2)/25)*Calculateur!V68*Calculateur!X68*VLOOKUP('Données projet'!$B$9,Paramètres!$A$1:$I$89,3,0)*0.475*44/12</f>
        <v>4.8852796974328561</v>
      </c>
      <c r="AB68" s="21">
        <f>EXP(-LN(2)/2)*AB67+(1-EXP(-LN(2)/2))/(LN(2)/2)*V68*Y68*VLOOKUP('Données projet'!$B$9,Paramètres!$A$1:$I$89,3,0)*0.475*44/12</f>
        <v>2.9946280574628646E-5</v>
      </c>
      <c r="AC68" s="22">
        <f t="shared" ref="AC68:AC131" si="57">SUM(Z68:AB68)</f>
        <v>12.594758851488729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-2.2737367544323206E-13</v>
      </c>
      <c r="AJ68" s="13">
        <f>AI68*VLOOKUP('Données projet'!$B$10,Paramètres!$A$1:$I$89,3,0)*VLOOKUP('Données projet'!$B$10,Paramètres!$A$1:$I$89,5,0)</f>
        <v>-1.2710188457276673E-13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378.17323480030268</v>
      </c>
      <c r="AO68" s="59">
        <f t="shared" si="36"/>
        <v>471.89239871617241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2.202402105854385</v>
      </c>
      <c r="AV68" s="21">
        <f>EXP(-LN(2)/25)*AV67+(1-EXP(-LN(2)/25))/(LN(2)/25)*Calculateur!AQ68*Calculateur!AS68*VLOOKUP('Données projet'!$B$10,Paramètres!$A$1:$I$89,3,0)*0.475*44/12</f>
        <v>9.3295772307141327</v>
      </c>
      <c r="AW68" s="21">
        <f>EXP(-LN(2)/2)*AW67+(1-EXP(-LN(2)/2))/(LN(2)/2)*AQ68*AT68*VLOOKUP('Données projet'!$B$10,Paramètres!$A$1:$I$89,3,0)*0.475*44/12</f>
        <v>4.9913907464997258E-5</v>
      </c>
      <c r="AX68" s="21">
        <f t="shared" ref="AX68:AX131" si="60">SUM(AU68:AW68)</f>
        <v>11.532029250475983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1.1368683772161603E-13</v>
      </c>
      <c r="O69" s="13">
        <f>N69*VLOOKUP('Données projet'!$B$9,Paramètres!$A$1:$I$89,3,0)*VLOOKUP('Données projet'!$B$9,Paramètres!$A$1:$I$89,5,0)</f>
        <v>6.7984728957526396E-14</v>
      </c>
      <c r="P69" s="13">
        <f t="shared" ref="P69:P132" si="87">EXP(-1.0587+0.8836*LN(O69)+0.284)</f>
        <v>1.0682447123141398E-12</v>
      </c>
      <c r="Q69" s="20">
        <f t="shared" si="54"/>
        <v>1.978932943548152E-12</v>
      </c>
      <c r="R69" s="59">
        <f t="shared" si="55"/>
        <v>293.3333333333353</v>
      </c>
      <c r="S69" s="59">
        <f ca="1">AVERAGE(OFFSET($R$3,0,0,'Données projet'!$E$9+1,1))-AVERAGE(OFFSET($H$3,0,0,'Données projet'!$E$9+1,1))</f>
        <v>255.24521135682858</v>
      </c>
      <c r="T69" s="59">
        <f t="shared" ref="T69:T132" si="88">$T$3</f>
        <v>254.36590349790589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7.5582716111105279</v>
      </c>
      <c r="AA69" s="21">
        <f>EXP(-LN(2)/25)*AA68+(1-EXP(-LN(2)/25))/(LN(2)/25)*Calculateur!V69*Calculateur!X69*VLOOKUP('Données projet'!$B$9,Paramètres!$A$1:$I$89,3,0)*0.475*44/12</f>
        <v>4.7516914672008612</v>
      </c>
      <c r="AB69" s="21">
        <f>EXP(-LN(2)/2)*AB68+(1-EXP(-LN(2)/2))/(LN(2)/2)*V69*Y69*VLOOKUP('Données projet'!$B$9,Paramètres!$A$1:$I$89,3,0)*0.475*44/12</f>
        <v>2.1175218065634899E-5</v>
      </c>
      <c r="AC69" s="22">
        <f t="shared" si="57"/>
        <v>12.309984253529455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-2.2737367544323206E-13</v>
      </c>
      <c r="AJ69" s="13">
        <f>AI69*VLOOKUP('Données projet'!$B$10,Paramètres!$A$1:$I$89,3,0)*VLOOKUP('Données projet'!$B$10,Paramètres!$A$1:$I$89,5,0)</f>
        <v>-1.2710188457276673E-13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378.17323480030268</v>
      </c>
      <c r="AO69" s="59">
        <f t="shared" ref="AO69:AO132" si="90">$AO$3</f>
        <v>471.89239871617241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2.1592143438912221</v>
      </c>
      <c r="AV69" s="21">
        <f>EXP(-LN(2)/25)*AV68+(1-EXP(-LN(2)/25))/(LN(2)/25)*Calculateur!AQ69*Calculateur!AS69*VLOOKUP('Données projet'!$B$10,Paramètres!$A$1:$I$89,3,0)*0.475*44/12</f>
        <v>9.074459450719111</v>
      </c>
      <c r="AW69" s="21">
        <f>EXP(-LN(2)/2)*AW68+(1-EXP(-LN(2)/2))/(LN(2)/2)*AQ69*AT69*VLOOKUP('Données projet'!$B$10,Paramètres!$A$1:$I$89,3,0)*0.475*44/12</f>
        <v>3.5294462444017397E-5</v>
      </c>
      <c r="AX69" s="21">
        <f t="shared" si="60"/>
        <v>11.233709089072777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1.1368683772161603E-13</v>
      </c>
      <c r="O70" s="13">
        <f>N70*VLOOKUP('Données projet'!$B$9,Paramètres!$A$1:$I$89,3,0)*VLOOKUP('Données projet'!$B$9,Paramètres!$A$1:$I$89,5,0)</f>
        <v>6.7984728957526396E-14</v>
      </c>
      <c r="P70" s="13">
        <f t="shared" si="87"/>
        <v>1.0682447123141398E-12</v>
      </c>
      <c r="Q70" s="20">
        <f t="shared" si="54"/>
        <v>1.978932943548152E-12</v>
      </c>
      <c r="R70" s="59">
        <f t="shared" si="55"/>
        <v>293.3333333333353</v>
      </c>
      <c r="S70" s="59">
        <f ca="1">AVERAGE(OFFSET($R$3,0,0,'Données projet'!$E$9+1,1))-AVERAGE(OFFSET($H$3,0,0,'Données projet'!$E$9+1,1))</f>
        <v>255.24521135682858</v>
      </c>
      <c r="T70" s="59">
        <f t="shared" si="88"/>
        <v>254.36590349790589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7.4100585149071243</v>
      </c>
      <c r="AA70" s="21">
        <f>EXP(-LN(2)/25)*AA69+(1-EXP(-LN(2)/25))/(LN(2)/25)*Calculateur!V70*Calculateur!X70*VLOOKUP('Données projet'!$B$9,Paramètres!$A$1:$I$89,3,0)*0.475*44/12</f>
        <v>4.6217562141496593</v>
      </c>
      <c r="AB70" s="21">
        <f>EXP(-LN(2)/2)*AB69+(1-EXP(-LN(2)/2))/(LN(2)/2)*V70*Y70*VLOOKUP('Données projet'!$B$9,Paramètres!$A$1:$I$89,3,0)*0.475*44/12</f>
        <v>1.4973140287314325E-5</v>
      </c>
      <c r="AC70" s="22">
        <f t="shared" si="57"/>
        <v>12.03182970219707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-2.2737367544323206E-13</v>
      </c>
      <c r="AJ70" s="13">
        <f>AI70*VLOOKUP('Données projet'!$B$10,Paramètres!$A$1:$I$89,3,0)*VLOOKUP('Données projet'!$B$10,Paramètres!$A$1:$I$89,5,0)</f>
        <v>-1.2710188457276673E-13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378.17323480030268</v>
      </c>
      <c r="AO70" s="59">
        <f t="shared" si="90"/>
        <v>471.89239871617241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2.1168734675982228</v>
      </c>
      <c r="AV70" s="21">
        <f>EXP(-LN(2)/25)*AV69+(1-EXP(-LN(2)/25))/(LN(2)/25)*Calculateur!AQ70*Calculateur!AS70*VLOOKUP('Données projet'!$B$10,Paramètres!$A$1:$I$89,3,0)*0.475*44/12</f>
        <v>8.8263178798341144</v>
      </c>
      <c r="AW70" s="21">
        <f>EXP(-LN(2)/2)*AW69+(1-EXP(-LN(2)/2))/(LN(2)/2)*AQ70*AT70*VLOOKUP('Données projet'!$B$10,Paramètres!$A$1:$I$89,3,0)*0.475*44/12</f>
        <v>2.4956953732498629E-5</v>
      </c>
      <c r="AX70" s="21">
        <f t="shared" si="60"/>
        <v>10.94321630438607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1.1368683772161603E-13</v>
      </c>
      <c r="O71" s="13">
        <f>N71*VLOOKUP('Données projet'!$B$9,Paramètres!$A$1:$I$89,3,0)*VLOOKUP('Données projet'!$B$9,Paramètres!$A$1:$I$89,5,0)</f>
        <v>6.7984728957526396E-14</v>
      </c>
      <c r="P71" s="13">
        <f t="shared" si="87"/>
        <v>1.0682447123141398E-12</v>
      </c>
      <c r="Q71" s="20">
        <f t="shared" si="54"/>
        <v>1.978932943548152E-12</v>
      </c>
      <c r="R71" s="59">
        <f t="shared" si="55"/>
        <v>293.3333333333353</v>
      </c>
      <c r="S71" s="59">
        <f ca="1">AVERAGE(OFFSET($R$3,0,0,'Données projet'!$E$9+1,1))-AVERAGE(OFFSET($H$3,0,0,'Données projet'!$E$9+1,1))</f>
        <v>255.24521135682858</v>
      </c>
      <c r="T71" s="59">
        <f t="shared" si="88"/>
        <v>254.36590349790589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7.2647517871192075</v>
      </c>
      <c r="AA71" s="21">
        <f>EXP(-LN(2)/25)*AA70+(1-EXP(-LN(2)/25))/(LN(2)/25)*Calculateur!V71*Calculateur!X71*VLOOKUP('Données projet'!$B$9,Paramètres!$A$1:$I$89,3,0)*0.475*44/12</f>
        <v>4.4953740474261403</v>
      </c>
      <c r="AB71" s="21">
        <f>EXP(-LN(2)/2)*AB70+(1-EXP(-LN(2)/2))/(LN(2)/2)*V71*Y71*VLOOKUP('Données projet'!$B$9,Paramètres!$A$1:$I$89,3,0)*0.475*44/12</f>
        <v>1.0587609032817451E-5</v>
      </c>
      <c r="AC71" s="22">
        <f t="shared" si="57"/>
        <v>11.760136422154382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-2.2737367544323206E-13</v>
      </c>
      <c r="AJ71" s="13">
        <f>AI71*VLOOKUP('Données projet'!$B$10,Paramètres!$A$1:$I$89,3,0)*VLOOKUP('Données projet'!$B$10,Paramètres!$A$1:$I$89,5,0)</f>
        <v>-1.2710188457276673E-13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378.17323480030268</v>
      </c>
      <c r="AO71" s="59">
        <f t="shared" si="90"/>
        <v>471.89239871617241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2.075362870063945</v>
      </c>
      <c r="AV71" s="21">
        <f>EXP(-LN(2)/25)*AV70+(1-EXP(-LN(2)/25))/(LN(2)/25)*Calculateur!AQ71*Calculateur!AS71*VLOOKUP('Données projet'!$B$10,Paramètres!$A$1:$I$89,3,0)*0.475*44/12</f>
        <v>8.5849617532541664</v>
      </c>
      <c r="AW71" s="21">
        <f>EXP(-LN(2)/2)*AW70+(1-EXP(-LN(2)/2))/(LN(2)/2)*AQ71*AT71*VLOOKUP('Données projet'!$B$10,Paramètres!$A$1:$I$89,3,0)*0.475*44/12</f>
        <v>1.7647231222008698E-5</v>
      </c>
      <c r="AX71" s="21">
        <f t="shared" si="60"/>
        <v>10.660342270549332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1.1368683772161603E-13</v>
      </c>
      <c r="O72" s="13">
        <f>N72*VLOOKUP('Données projet'!$B$9,Paramètres!$A$1:$I$89,3,0)*VLOOKUP('Données projet'!$B$9,Paramètres!$A$1:$I$89,5,0)</f>
        <v>6.7984728957526396E-14</v>
      </c>
      <c r="P72" s="13">
        <f t="shared" si="87"/>
        <v>1.0682447123141398E-12</v>
      </c>
      <c r="Q72" s="20">
        <f t="shared" si="54"/>
        <v>1.978932943548152E-12</v>
      </c>
      <c r="R72" s="59">
        <f t="shared" si="55"/>
        <v>293.3333333333353</v>
      </c>
      <c r="S72" s="59">
        <f ca="1">AVERAGE(OFFSET($R$3,0,0,'Données projet'!$E$9+1,1))-AVERAGE(OFFSET($H$3,0,0,'Données projet'!$E$9+1,1))</f>
        <v>255.24521135682858</v>
      </c>
      <c r="T72" s="59">
        <f t="shared" si="88"/>
        <v>254.36590349790589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7.122294435634859</v>
      </c>
      <c r="AA72" s="21">
        <f>EXP(-LN(2)/25)*AA71+(1-EXP(-LN(2)/25))/(LN(2)/25)*Calculateur!V72*Calculateur!X72*VLOOKUP('Données projet'!$B$9,Paramètres!$A$1:$I$89,3,0)*0.475*44/12</f>
        <v>4.3724478076978253</v>
      </c>
      <c r="AB72" s="21">
        <f>EXP(-LN(2)/2)*AB71+(1-EXP(-LN(2)/2))/(LN(2)/2)*V72*Y72*VLOOKUP('Données projet'!$B$9,Paramètres!$A$1:$I$89,3,0)*0.475*44/12</f>
        <v>7.486570143657164E-6</v>
      </c>
      <c r="AC72" s="22">
        <f t="shared" si="57"/>
        <v>11.494749729902829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-2.2737367544323206E-13</v>
      </c>
      <c r="AJ72" s="13">
        <f>AI72*VLOOKUP('Données projet'!$B$10,Paramètres!$A$1:$I$89,3,0)*VLOOKUP('Données projet'!$B$10,Paramètres!$A$1:$I$89,5,0)</f>
        <v>-1.2710188457276673E-13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378.17323480030268</v>
      </c>
      <c r="AO72" s="59">
        <f t="shared" si="90"/>
        <v>471.89239871617241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2.03466627002835</v>
      </c>
      <c r="AV72" s="21">
        <f>EXP(-LN(2)/25)*AV71+(1-EXP(-LN(2)/25))/(LN(2)/25)*Calculateur!AQ72*Calculateur!AS72*VLOOKUP('Données projet'!$B$10,Paramètres!$A$1:$I$89,3,0)*0.475*44/12</f>
        <v>8.3502055226479133</v>
      </c>
      <c r="AW72" s="21">
        <f>EXP(-LN(2)/2)*AW71+(1-EXP(-LN(2)/2))/(LN(2)/2)*AQ72*AT72*VLOOKUP('Données projet'!$B$10,Paramètres!$A$1:$I$89,3,0)*0.475*44/12</f>
        <v>1.2478476866249315E-5</v>
      </c>
      <c r="AX72" s="21">
        <f t="shared" si="60"/>
        <v>10.38488427115313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1.1368683772161603E-13</v>
      </c>
      <c r="O73" s="13">
        <f>N73*VLOOKUP('Données projet'!$B$9,Paramètres!$A$1:$I$89,3,0)*VLOOKUP('Données projet'!$B$9,Paramètres!$A$1:$I$89,5,0)</f>
        <v>6.7984728957526396E-14</v>
      </c>
      <c r="P73" s="13">
        <f t="shared" si="87"/>
        <v>1.0682447123141398E-12</v>
      </c>
      <c r="Q73" s="20">
        <f t="shared" si="54"/>
        <v>1.978932943548152E-12</v>
      </c>
      <c r="R73" s="59">
        <f t="shared" si="55"/>
        <v>293.3333333333353</v>
      </c>
      <c r="S73" s="59">
        <f ca="1">AVERAGE(OFFSET($R$3,0,0,'Données projet'!$E$9+1,1))-AVERAGE(OFFSET($H$3,0,0,'Données projet'!$E$9+1,1))</f>
        <v>255.24521135682858</v>
      </c>
      <c r="T73" s="59">
        <f t="shared" si="88"/>
        <v>254.36590349790589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6.9826305859227142</v>
      </c>
      <c r="AA73" s="21">
        <f>EXP(-LN(2)/25)*AA72+(1-EXP(-LN(2)/25))/(LN(2)/25)*Calculateur!V73*Calculateur!X73*VLOOKUP('Données projet'!$B$9,Paramètres!$A$1:$I$89,3,0)*0.475*44/12</f>
        <v>4.2528829924592912</v>
      </c>
      <c r="AB73" s="21">
        <f>EXP(-LN(2)/2)*AB72+(1-EXP(-LN(2)/2))/(LN(2)/2)*V73*Y73*VLOOKUP('Données projet'!$B$9,Paramètres!$A$1:$I$89,3,0)*0.475*44/12</f>
        <v>5.2938045164087263E-6</v>
      </c>
      <c r="AC73" s="22">
        <f t="shared" si="57"/>
        <v>11.235518872186521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-2.2737367544323206E-13</v>
      </c>
      <c r="AJ73" s="13">
        <f>AI73*VLOOKUP('Données projet'!$B$10,Paramètres!$A$1:$I$89,3,0)*VLOOKUP('Données projet'!$B$10,Paramètres!$A$1:$I$89,5,0)</f>
        <v>-1.2710188457276673E-13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378.17323480030268</v>
      </c>
      <c r="AO73" s="59">
        <f t="shared" si="90"/>
        <v>471.89239871617241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1.9947677054969779</v>
      </c>
      <c r="AV73" s="21">
        <f>EXP(-LN(2)/25)*AV72+(1-EXP(-LN(2)/25))/(LN(2)/25)*Calculateur!AQ73*Calculateur!AS73*VLOOKUP('Données projet'!$B$10,Paramètres!$A$1:$I$89,3,0)*0.475*44/12</f>
        <v>8.1218687135128818</v>
      </c>
      <c r="AW73" s="21">
        <f>EXP(-LN(2)/2)*AW72+(1-EXP(-LN(2)/2))/(LN(2)/2)*AQ73*AT73*VLOOKUP('Données projet'!$B$10,Paramètres!$A$1:$I$89,3,0)*0.475*44/12</f>
        <v>8.8236156110043492E-6</v>
      </c>
      <c r="AX73" s="21">
        <f t="shared" si="60"/>
        <v>10.11664524262547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6.7984728957526396E-14</v>
      </c>
      <c r="P74" s="13">
        <f t="shared" si="87"/>
        <v>1.0682447123141398E-12</v>
      </c>
      <c r="Q74" s="20">
        <f t="shared" si="54"/>
        <v>1.978932943548152E-12</v>
      </c>
      <c r="R74" s="59">
        <f t="shared" si="55"/>
        <v>293.3333333333353</v>
      </c>
      <c r="S74" s="59">
        <f ca="1">AVERAGE(OFFSET($R$3,0,0,'Données projet'!$E$9+1,1))-AVERAGE(OFFSET($H$3,0,0,'Données projet'!$E$9+1,1))</f>
        <v>255.24521135682858</v>
      </c>
      <c r="T74" s="59">
        <f t="shared" si="88"/>
        <v>254.36590349790589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6.8457054591168873</v>
      </c>
      <c r="AA74" s="21">
        <f>EXP(-LN(2)/25)*AA73+(1-EXP(-LN(2)/25))/(LN(2)/25)*Calculateur!V74*Calculateur!X74*VLOOKUP('Données projet'!$B$9,Paramètres!$A$1:$I$89,3,0)*0.475*44/12</f>
        <v>4.1365876833810953</v>
      </c>
      <c r="AB74" s="21">
        <f>EXP(-LN(2)/2)*AB73+(1-EXP(-LN(2)/2))/(LN(2)/2)*V74*Y74*VLOOKUP('Données projet'!$B$9,Paramètres!$A$1:$I$89,3,0)*0.475*44/12</f>
        <v>3.7432850718285824E-6</v>
      </c>
      <c r="AC74" s="22">
        <f t="shared" si="57"/>
        <v>10.982296885783056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-2.2737367544323206E-13</v>
      </c>
      <c r="AJ74" s="13">
        <f>AI74*VLOOKUP('Données projet'!$B$10,Paramètres!$A$1:$I$89,3,0)*VLOOKUP('Données projet'!$B$10,Paramètres!$A$1:$I$89,5,0)</f>
        <v>-1.2710188457276673E-13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378.17323480030268</v>
      </c>
      <c r="AO74" s="59">
        <f t="shared" si="90"/>
        <v>471.89239871617241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1.9556515274803445</v>
      </c>
      <c r="AV74" s="21">
        <f>EXP(-LN(2)/25)*AV73+(1-EXP(-LN(2)/25))/(LN(2)/25)*Calculateur!AQ74*Calculateur!AS74*VLOOKUP('Données projet'!$B$10,Paramètres!$A$1:$I$89,3,0)*0.475*44/12</f>
        <v>7.8997757864313591</v>
      </c>
      <c r="AW74" s="21">
        <f>EXP(-LN(2)/2)*AW73+(1-EXP(-LN(2)/2))/(LN(2)/2)*AQ74*AT74*VLOOKUP('Données projet'!$B$10,Paramètres!$A$1:$I$89,3,0)*0.475*44/12</f>
        <v>6.2392384331246573E-6</v>
      </c>
      <c r="AX74" s="21">
        <f t="shared" si="60"/>
        <v>9.8554335531501369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6.7984728957526396E-14</v>
      </c>
      <c r="P75" s="13">
        <f t="shared" si="87"/>
        <v>1.0682447123141398E-12</v>
      </c>
      <c r="Q75" s="20">
        <f t="shared" si="54"/>
        <v>1.978932943548152E-12</v>
      </c>
      <c r="R75" s="59">
        <f t="shared" si="55"/>
        <v>293.3333333333353</v>
      </c>
      <c r="S75" s="59">
        <f ca="1">AVERAGE(OFFSET($R$3,0,0,'Données projet'!$E$9+1,1))-AVERAGE(OFFSET($H$3,0,0,'Données projet'!$E$9+1,1))</f>
        <v>255.24521135682858</v>
      </c>
      <c r="T75" s="59">
        <f t="shared" si="88"/>
        <v>254.36590349790589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6.7114653505316424</v>
      </c>
      <c r="AA75" s="21">
        <f>EXP(-LN(2)/25)*AA74+(1-EXP(-LN(2)/25))/(LN(2)/25)*Calculateur!V75*Calculateur!X75*VLOOKUP('Données projet'!$B$9,Paramètres!$A$1:$I$89,3,0)*0.475*44/12</f>
        <v>4.023472475645347</v>
      </c>
      <c r="AB75" s="21">
        <f>EXP(-LN(2)/2)*AB74+(1-EXP(-LN(2)/2))/(LN(2)/2)*V75*Y75*VLOOKUP('Données projet'!$B$9,Paramètres!$A$1:$I$89,3,0)*0.475*44/12</f>
        <v>2.6469022582043636E-6</v>
      </c>
      <c r="AC75" s="22">
        <f t="shared" si="57"/>
        <v>10.734940473079247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-2.2737367544323206E-13</v>
      </c>
      <c r="AJ75" s="13">
        <f>AI75*VLOOKUP('Données projet'!$B$10,Paramètres!$A$1:$I$89,3,0)*VLOOKUP('Données projet'!$B$10,Paramètres!$A$1:$I$89,5,0)</f>
        <v>-1.2710188457276673E-13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378.17323480030268</v>
      </c>
      <c r="AO75" s="59">
        <f t="shared" si="90"/>
        <v>471.89239871617241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1.9173023938561047</v>
      </c>
      <c r="AV75" s="21">
        <f>EXP(-LN(2)/25)*AV74+(1-EXP(-LN(2)/25))/(LN(2)/25)*Calculateur!AQ75*Calculateur!AS75*VLOOKUP('Données projet'!$B$10,Paramètres!$A$1:$I$89,3,0)*0.475*44/12</f>
        <v>7.6837560021202398</v>
      </c>
      <c r="AW75" s="21">
        <f>EXP(-LN(2)/2)*AW74+(1-EXP(-LN(2)/2))/(LN(2)/2)*AQ75*AT75*VLOOKUP('Données projet'!$B$10,Paramètres!$A$1:$I$89,3,0)*0.475*44/12</f>
        <v>4.4118078055021746E-6</v>
      </c>
      <c r="AX75" s="21">
        <f t="shared" si="60"/>
        <v>9.6010628077841513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6.7984728957526396E-14</v>
      </c>
      <c r="P76" s="13">
        <f t="shared" si="87"/>
        <v>1.0682447123141398E-12</v>
      </c>
      <c r="Q76" s="20">
        <f t="shared" si="54"/>
        <v>1.978932943548152E-12</v>
      </c>
      <c r="R76" s="59">
        <f t="shared" si="55"/>
        <v>293.3333333333353</v>
      </c>
      <c r="S76" s="59">
        <f ca="1">AVERAGE(OFFSET($R$3,0,0,'Données projet'!$E$9+1,1))-AVERAGE(OFFSET($H$3,0,0,'Données projet'!$E$9+1,1))</f>
        <v>255.24521135682858</v>
      </c>
      <c r="T76" s="59">
        <f t="shared" si="88"/>
        <v>254.36590349790589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6.5798576085973721</v>
      </c>
      <c r="AA76" s="21">
        <f>EXP(-LN(2)/25)*AA75+(1-EXP(-LN(2)/25))/(LN(2)/25)*Calculateur!V76*Calculateur!X76*VLOOKUP('Données projet'!$B$9,Paramètres!$A$1:$I$89,3,0)*0.475*44/12</f>
        <v>3.9134504092136031</v>
      </c>
      <c r="AB76" s="21">
        <f>EXP(-LN(2)/2)*AB75+(1-EXP(-LN(2)/2))/(LN(2)/2)*V76*Y76*VLOOKUP('Données projet'!$B$9,Paramètres!$A$1:$I$89,3,0)*0.475*44/12</f>
        <v>1.8716425359142916E-6</v>
      </c>
      <c r="AC76" s="22">
        <f t="shared" si="57"/>
        <v>10.49330988945351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-2.2737367544323206E-13</v>
      </c>
      <c r="AJ76" s="13">
        <f>AI76*VLOOKUP('Données projet'!$B$10,Paramètres!$A$1:$I$89,3,0)*VLOOKUP('Données projet'!$B$10,Paramètres!$A$1:$I$89,5,0)</f>
        <v>-1.2710188457276673E-13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378.17323480030268</v>
      </c>
      <c r="AO76" s="59">
        <f t="shared" si="90"/>
        <v>471.89239871617241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1.8797052633515743</v>
      </c>
      <c r="AV76" s="21">
        <f>EXP(-LN(2)/25)*AV75+(1-EXP(-LN(2)/25))/(LN(2)/25)*Calculateur!AQ76*Calculateur!AS76*VLOOKUP('Données projet'!$B$10,Paramètres!$A$1:$I$89,3,0)*0.475*44/12</f>
        <v>7.4736432901710952</v>
      </c>
      <c r="AW76" s="21">
        <f>EXP(-LN(2)/2)*AW75+(1-EXP(-LN(2)/2))/(LN(2)/2)*AQ76*AT76*VLOOKUP('Données projet'!$B$10,Paramètres!$A$1:$I$89,3,0)*0.475*44/12</f>
        <v>3.1196192165623286E-6</v>
      </c>
      <c r="AX76" s="21">
        <f t="shared" si="60"/>
        <v>9.3533516731418871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6.7984728957526396E-14</v>
      </c>
      <c r="P77" s="13">
        <f t="shared" si="87"/>
        <v>1.0682447123141398E-12</v>
      </c>
      <c r="Q77" s="20">
        <f t="shared" si="54"/>
        <v>1.978932943548152E-12</v>
      </c>
      <c r="R77" s="59">
        <f t="shared" si="55"/>
        <v>293.3333333333353</v>
      </c>
      <c r="S77" s="59">
        <f ca="1">AVERAGE(OFFSET($R$3,0,0,'Données projet'!$E$9+1,1))-AVERAGE(OFFSET($H$3,0,0,'Données projet'!$E$9+1,1))</f>
        <v>255.24521135682858</v>
      </c>
      <c r="T77" s="59">
        <f t="shared" si="88"/>
        <v>254.36590349790589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6.4508306142096368</v>
      </c>
      <c r="AA77" s="21">
        <f>EXP(-LN(2)/25)*AA76+(1-EXP(-LN(2)/25))/(LN(2)/25)*Calculateur!V77*Calculateur!X77*VLOOKUP('Données projet'!$B$9,Paramètres!$A$1:$I$89,3,0)*0.475*44/12</f>
        <v>3.8064369019742443</v>
      </c>
      <c r="AB77" s="21">
        <f>EXP(-LN(2)/2)*AB76+(1-EXP(-LN(2)/2))/(LN(2)/2)*V77*Y77*VLOOKUP('Données projet'!$B$9,Paramètres!$A$1:$I$89,3,0)*0.475*44/12</f>
        <v>1.323451129102182E-6</v>
      </c>
      <c r="AC77" s="22">
        <f t="shared" si="57"/>
        <v>10.257268839635008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-2.2737367544323206E-13</v>
      </c>
      <c r="AJ77" s="13">
        <f>AI77*VLOOKUP('Données projet'!$B$10,Paramètres!$A$1:$I$89,3,0)*VLOOKUP('Données projet'!$B$10,Paramètres!$A$1:$I$89,5,0)</f>
        <v>-1.2710188457276673E-13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378.17323480030268</v>
      </c>
      <c r="AO77" s="59">
        <f t="shared" si="90"/>
        <v>471.89239871617241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1.8428453896442525</v>
      </c>
      <c r="AV77" s="21">
        <f>EXP(-LN(2)/25)*AV76+(1-EXP(-LN(2)/25))/(LN(2)/25)*Calculateur!AQ77*Calculateur!AS77*VLOOKUP('Données projet'!$B$10,Paramètres!$A$1:$I$89,3,0)*0.475*44/12</f>
        <v>7.2692761213795469</v>
      </c>
      <c r="AW77" s="21">
        <f>EXP(-LN(2)/2)*AW76+(1-EXP(-LN(2)/2))/(LN(2)/2)*AQ77*AT77*VLOOKUP('Données projet'!$B$10,Paramètres!$A$1:$I$89,3,0)*0.475*44/12</f>
        <v>2.2059039027510873E-6</v>
      </c>
      <c r="AX77" s="21">
        <f t="shared" si="60"/>
        <v>9.1121237169277016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6.7984728957526396E-14</v>
      </c>
      <c r="P78" s="13">
        <f t="shared" si="87"/>
        <v>1.0682447123141398E-12</v>
      </c>
      <c r="Q78" s="20">
        <f t="shared" si="54"/>
        <v>1.978932943548152E-12</v>
      </c>
      <c r="R78" s="59">
        <f t="shared" si="55"/>
        <v>293.3333333333353</v>
      </c>
      <c r="S78" s="59">
        <f ca="1">AVERAGE(OFFSET($R$3,0,0,'Données projet'!$E$9+1,1))-AVERAGE(OFFSET($H$3,0,0,'Données projet'!$E$9+1,1))</f>
        <v>255.24521135682858</v>
      </c>
      <c r="T78" s="59">
        <f t="shared" si="88"/>
        <v>254.36590349790589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6.3243337604831495</v>
      </c>
      <c r="AA78" s="21">
        <f>EXP(-LN(2)/25)*AA77+(1-EXP(-LN(2)/25))/(LN(2)/25)*Calculateur!V78*Calculateur!X78*VLOOKUP('Données projet'!$B$9,Paramètres!$A$1:$I$89,3,0)*0.475*44/12</f>
        <v>3.7023496847179418</v>
      </c>
      <c r="AB78" s="21">
        <f>EXP(-LN(2)/2)*AB77+(1-EXP(-LN(2)/2))/(LN(2)/2)*V78*Y78*VLOOKUP('Données projet'!$B$9,Paramètres!$A$1:$I$89,3,0)*0.475*44/12</f>
        <v>9.3582126795714592E-7</v>
      </c>
      <c r="AC78" s="22">
        <f t="shared" si="57"/>
        <v>10.026684381022358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-2.2737367544323206E-13</v>
      </c>
      <c r="AJ78" s="13">
        <f>AI78*VLOOKUP('Données projet'!$B$10,Paramètres!$A$1:$I$89,3,0)*VLOOKUP('Données projet'!$B$10,Paramètres!$A$1:$I$89,5,0)</f>
        <v>-1.2710188457276673E-13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378.17323480030268</v>
      </c>
      <c r="AO78" s="59">
        <f t="shared" si="90"/>
        <v>471.89239871617241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1.8067083155780281</v>
      </c>
      <c r="AV78" s="21">
        <f>EXP(-LN(2)/25)*AV77+(1-EXP(-LN(2)/25))/(LN(2)/25)*Calculateur!AQ78*Calculateur!AS78*VLOOKUP('Données projet'!$B$10,Paramètres!$A$1:$I$89,3,0)*0.475*44/12</f>
        <v>7.0704973835658063</v>
      </c>
      <c r="AW78" s="21">
        <f>EXP(-LN(2)/2)*AW77+(1-EXP(-LN(2)/2))/(LN(2)/2)*AQ78*AT78*VLOOKUP('Données projet'!$B$10,Paramètres!$A$1:$I$89,3,0)*0.475*44/12</f>
        <v>1.5598096082811643E-6</v>
      </c>
      <c r="AX78" s="21">
        <f t="shared" si="60"/>
        <v>8.8772072589534421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6.7984728957526396E-14</v>
      </c>
      <c r="P79" s="13">
        <f t="shared" si="87"/>
        <v>1.0682447123141398E-12</v>
      </c>
      <c r="Q79" s="20">
        <f t="shared" si="54"/>
        <v>1.978932943548152E-12</v>
      </c>
      <c r="R79" s="59">
        <f t="shared" si="55"/>
        <v>293.3333333333353</v>
      </c>
      <c r="S79" s="59">
        <f ca="1">AVERAGE(OFFSET($R$3,0,0,'Données projet'!$E$9+1,1))-AVERAGE(OFFSET($H$3,0,0,'Données projet'!$E$9+1,1))</f>
        <v>255.24521135682858</v>
      </c>
      <c r="T79" s="59">
        <f t="shared" si="88"/>
        <v>254.36590349790589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6.2003174329027759</v>
      </c>
      <c r="AA79" s="21">
        <f>EXP(-LN(2)/25)*AA78+(1-EXP(-LN(2)/25))/(LN(2)/25)*Calculateur!V79*Calculateur!X79*VLOOKUP('Données projet'!$B$9,Paramètres!$A$1:$I$89,3,0)*0.475*44/12</f>
        <v>3.6011087378912214</v>
      </c>
      <c r="AB79" s="21">
        <f>EXP(-LN(2)/2)*AB78+(1-EXP(-LN(2)/2))/(LN(2)/2)*V79*Y79*VLOOKUP('Données projet'!$B$9,Paramètres!$A$1:$I$89,3,0)*0.475*44/12</f>
        <v>6.6172556455109111E-7</v>
      </c>
      <c r="AC79" s="22">
        <f t="shared" si="57"/>
        <v>9.8014268325195619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-2.2737367544323206E-13</v>
      </c>
      <c r="AJ79" s="13">
        <f>AI79*VLOOKUP('Données projet'!$B$10,Paramètres!$A$1:$I$89,3,0)*VLOOKUP('Données projet'!$B$10,Paramètres!$A$1:$I$89,5,0)</f>
        <v>-1.2710188457276673E-13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378.17323480030268</v>
      </c>
      <c r="AO79" s="59">
        <f t="shared" si="90"/>
        <v>471.89239871617241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1.7712798674928036</v>
      </c>
      <c r="AV79" s="21">
        <f>EXP(-LN(2)/25)*AV78+(1-EXP(-LN(2)/25))/(LN(2)/25)*Calculateur!AQ79*Calculateur!AS79*VLOOKUP('Données projet'!$B$10,Paramètres!$A$1:$I$89,3,0)*0.475*44/12</f>
        <v>6.8771542607909018</v>
      </c>
      <c r="AW79" s="21">
        <f>EXP(-LN(2)/2)*AW78+(1-EXP(-LN(2)/2))/(LN(2)/2)*AQ79*AT79*VLOOKUP('Données projet'!$B$10,Paramètres!$A$1:$I$89,3,0)*0.475*44/12</f>
        <v>1.1029519513755436E-6</v>
      </c>
      <c r="AX79" s="21">
        <f t="shared" si="60"/>
        <v>8.6484352312356574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6.7984728957526396E-14</v>
      </c>
      <c r="P80" s="13">
        <f t="shared" si="87"/>
        <v>1.0682447123141398E-12</v>
      </c>
      <c r="Q80" s="20">
        <f t="shared" si="54"/>
        <v>1.978932943548152E-12</v>
      </c>
      <c r="R80" s="59">
        <f t="shared" si="55"/>
        <v>293.3333333333353</v>
      </c>
      <c r="S80" s="59">
        <f ca="1">AVERAGE(OFFSET($R$3,0,0,'Données projet'!$E$9+1,1))-AVERAGE(OFFSET($H$3,0,0,'Données projet'!$E$9+1,1))</f>
        <v>255.24521135682858</v>
      </c>
      <c r="T80" s="59">
        <f t="shared" si="88"/>
        <v>254.36590349790589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6.078732989863763</v>
      </c>
      <c r="AA80" s="21">
        <f>EXP(-LN(2)/25)*AA79+(1-EXP(-LN(2)/25))/(LN(2)/25)*Calculateur!V80*Calculateur!X80*VLOOKUP('Données projet'!$B$9,Paramètres!$A$1:$I$89,3,0)*0.475*44/12</f>
        <v>3.5026362300795078</v>
      </c>
      <c r="AB80" s="21">
        <f>EXP(-LN(2)/2)*AB79+(1-EXP(-LN(2)/2))/(LN(2)/2)*V80*Y80*VLOOKUP('Données projet'!$B$9,Paramètres!$A$1:$I$89,3,0)*0.475*44/12</f>
        <v>4.6791063397857307E-7</v>
      </c>
      <c r="AC80" s="22">
        <f t="shared" si="57"/>
        <v>9.5813696878539059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-2.2737367544323206E-13</v>
      </c>
      <c r="AJ80" s="13">
        <f>AI80*VLOOKUP('Données projet'!$B$10,Paramètres!$A$1:$I$89,3,0)*VLOOKUP('Données projet'!$B$10,Paramètres!$A$1:$I$89,5,0)</f>
        <v>-1.2710188457276673E-13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378.17323480030268</v>
      </c>
      <c r="AO80" s="59">
        <f t="shared" si="90"/>
        <v>471.89239871617241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1.736546149665311</v>
      </c>
      <c r="AV80" s="21">
        <f>EXP(-LN(2)/25)*AV79+(1-EXP(-LN(2)/25))/(LN(2)/25)*Calculateur!AQ80*Calculateur!AS80*VLOOKUP('Données projet'!$B$10,Paramètres!$A$1:$I$89,3,0)*0.475*44/12</f>
        <v>6.6890981158757503</v>
      </c>
      <c r="AW80" s="21">
        <f>EXP(-LN(2)/2)*AW79+(1-EXP(-LN(2)/2))/(LN(2)/2)*AQ80*AT80*VLOOKUP('Données projet'!$B$10,Paramètres!$A$1:$I$89,3,0)*0.475*44/12</f>
        <v>7.7990480414058216E-7</v>
      </c>
      <c r="AX80" s="21">
        <f t="shared" si="60"/>
        <v>8.4256450454458651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6.7984728957526396E-14</v>
      </c>
      <c r="P81" s="13">
        <f t="shared" si="87"/>
        <v>1.0682447123141398E-12</v>
      </c>
      <c r="Q81" s="20">
        <f t="shared" si="54"/>
        <v>1.978932943548152E-12</v>
      </c>
      <c r="R81" s="59">
        <f t="shared" si="55"/>
        <v>293.3333333333353</v>
      </c>
      <c r="S81" s="59">
        <f ca="1">AVERAGE(OFFSET($R$3,0,0,'Données projet'!$E$9+1,1))-AVERAGE(OFFSET($H$3,0,0,'Données projet'!$E$9+1,1))</f>
        <v>255.24521135682858</v>
      </c>
      <c r="T81" s="59">
        <f t="shared" si="88"/>
        <v>254.36590349790589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5.9595327435935577</v>
      </c>
      <c r="AA81" s="21">
        <f>EXP(-LN(2)/25)*AA80+(1-EXP(-LN(2)/25))/(LN(2)/25)*Calculateur!V81*Calculateur!X81*VLOOKUP('Données projet'!$B$9,Paramètres!$A$1:$I$89,3,0)*0.475*44/12</f>
        <v>3.4068564581723497</v>
      </c>
      <c r="AB81" s="21">
        <f>EXP(-LN(2)/2)*AB80+(1-EXP(-LN(2)/2))/(LN(2)/2)*V81*Y81*VLOOKUP('Données projet'!$B$9,Paramètres!$A$1:$I$89,3,0)*0.475*44/12</f>
        <v>3.3086278227554561E-7</v>
      </c>
      <c r="AC81" s="22">
        <f t="shared" si="57"/>
        <v>9.3663895326286895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-2.2737367544323206E-13</v>
      </c>
      <c r="AJ81" s="13">
        <f>AI81*VLOOKUP('Données projet'!$B$10,Paramètres!$A$1:$I$89,3,0)*VLOOKUP('Données projet'!$B$10,Paramètres!$A$1:$I$89,5,0)</f>
        <v>-1.2710188457276673E-13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378.17323480030268</v>
      </c>
      <c r="AO81" s="59">
        <f t="shared" si="90"/>
        <v>471.89239871617241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1.7024935388589393</v>
      </c>
      <c r="AV81" s="21">
        <f>EXP(-LN(2)/25)*AV80+(1-EXP(-LN(2)/25))/(LN(2)/25)*Calculateur!AQ81*Calculateur!AS81*VLOOKUP('Données projet'!$B$10,Paramètres!$A$1:$I$89,3,0)*0.475*44/12</f>
        <v>6.5061843761327465</v>
      </c>
      <c r="AW81" s="21">
        <f>EXP(-LN(2)/2)*AW80+(1-EXP(-LN(2)/2))/(LN(2)/2)*AQ81*AT81*VLOOKUP('Données projet'!$B$10,Paramètres!$A$1:$I$89,3,0)*0.475*44/12</f>
        <v>5.5147597568777182E-7</v>
      </c>
      <c r="AX81" s="21">
        <f t="shared" si="60"/>
        <v>8.2086784664676617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6.7984728957526396E-14</v>
      </c>
      <c r="P82" s="13">
        <f t="shared" si="87"/>
        <v>1.0682447123141398E-12</v>
      </c>
      <c r="Q82" s="20">
        <f t="shared" si="54"/>
        <v>1.978932943548152E-12</v>
      </c>
      <c r="R82" s="59">
        <f t="shared" si="55"/>
        <v>293.3333333333353</v>
      </c>
      <c r="S82" s="59">
        <f ca="1">AVERAGE(OFFSET($R$3,0,0,'Données projet'!$E$9+1,1))-AVERAGE(OFFSET($H$3,0,0,'Données projet'!$E$9+1,1))</f>
        <v>255.24521135682858</v>
      </c>
      <c r="T82" s="59">
        <f t="shared" si="88"/>
        <v>254.36590349790589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5.8426699414477392</v>
      </c>
      <c r="AA82" s="21">
        <f>EXP(-LN(2)/25)*AA81+(1-EXP(-LN(2)/25))/(LN(2)/25)*Calculateur!V82*Calculateur!X82*VLOOKUP('Données projet'!$B$9,Paramètres!$A$1:$I$89,3,0)*0.475*44/12</f>
        <v>3.3136957891648322</v>
      </c>
      <c r="AB82" s="21">
        <f>EXP(-LN(2)/2)*AB81+(1-EXP(-LN(2)/2))/(LN(2)/2)*V82*Y82*VLOOKUP('Données projet'!$B$9,Paramètres!$A$1:$I$89,3,0)*0.475*44/12</f>
        <v>2.3395531698928656E-7</v>
      </c>
      <c r="AC82" s="22">
        <f t="shared" si="57"/>
        <v>9.1563659645678879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-2.2737367544323206E-13</v>
      </c>
      <c r="AJ82" s="13">
        <f>AI82*VLOOKUP('Données projet'!$B$10,Paramètres!$A$1:$I$89,3,0)*VLOOKUP('Données projet'!$B$10,Paramètres!$A$1:$I$89,5,0)</f>
        <v>-1.2710188457276673E-13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378.17323480030268</v>
      </c>
      <c r="AO82" s="59">
        <f t="shared" si="90"/>
        <v>471.89239871617241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1.6691086789804388</v>
      </c>
      <c r="AV82" s="21">
        <f>EXP(-LN(2)/25)*AV81+(1-EXP(-LN(2)/25))/(LN(2)/25)*Calculateur!AQ82*Calculateur!AS82*VLOOKUP('Données projet'!$B$10,Paramètres!$A$1:$I$89,3,0)*0.475*44/12</f>
        <v>6.3282724222220299</v>
      </c>
      <c r="AW82" s="21">
        <f>EXP(-LN(2)/2)*AW81+(1-EXP(-LN(2)/2))/(LN(2)/2)*AQ82*AT82*VLOOKUP('Données projet'!$B$10,Paramètres!$A$1:$I$89,3,0)*0.475*44/12</f>
        <v>3.8995240207029108E-7</v>
      </c>
      <c r="AX82" s="21">
        <f t="shared" si="60"/>
        <v>7.9973814911548704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6.7984728957526396E-14</v>
      </c>
      <c r="P83" s="13">
        <f t="shared" si="87"/>
        <v>1.0682447123141398E-12</v>
      </c>
      <c r="Q83" s="20">
        <f t="shared" si="54"/>
        <v>1.978932943548152E-12</v>
      </c>
      <c r="R83" s="59">
        <f t="shared" si="55"/>
        <v>293.3333333333353</v>
      </c>
      <c r="S83" s="59">
        <f ca="1">AVERAGE(OFFSET($R$3,0,0,'Données projet'!$E$9+1,1))-AVERAGE(OFFSET($H$3,0,0,'Données projet'!$E$9+1,1))</f>
        <v>255.24521135682858</v>
      </c>
      <c r="T83" s="59">
        <f t="shared" si="88"/>
        <v>254.36590349790589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5.7280987475727292</v>
      </c>
      <c r="AA83" s="21">
        <f>EXP(-LN(2)/25)*AA82+(1-EXP(-LN(2)/25))/(LN(2)/25)*Calculateur!V83*Calculateur!X83*VLOOKUP('Données projet'!$B$9,Paramètres!$A$1:$I$89,3,0)*0.475*44/12</f>
        <v>3.2230826035504321</v>
      </c>
      <c r="AB83" s="21">
        <f>EXP(-LN(2)/2)*AB82+(1-EXP(-LN(2)/2))/(LN(2)/2)*V83*Y83*VLOOKUP('Données projet'!$B$9,Paramètres!$A$1:$I$89,3,0)*0.475*44/12</f>
        <v>1.6543139113777283E-7</v>
      </c>
      <c r="AC83" s="22">
        <f t="shared" si="57"/>
        <v>8.9511815165545521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-2.2737367544323206E-13</v>
      </c>
      <c r="AJ83" s="13">
        <f>AI83*VLOOKUP('Données projet'!$B$10,Paramètres!$A$1:$I$89,3,0)*VLOOKUP('Données projet'!$B$10,Paramètres!$A$1:$I$89,5,0)</f>
        <v>-1.2710188457276673E-13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378.17323480030268</v>
      </c>
      <c r="AO83" s="59">
        <f t="shared" si="90"/>
        <v>471.89239871617241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1.6363784758414019</v>
      </c>
      <c r="AV83" s="21">
        <f>EXP(-LN(2)/25)*AV82+(1-EXP(-LN(2)/25))/(LN(2)/25)*Calculateur!AQ83*Calculateur!AS83*VLOOKUP('Données projet'!$B$10,Paramètres!$A$1:$I$89,3,0)*0.475*44/12</f>
        <v>6.155225480046985</v>
      </c>
      <c r="AW83" s="21">
        <f>EXP(-LN(2)/2)*AW82+(1-EXP(-LN(2)/2))/(LN(2)/2)*AQ83*AT83*VLOOKUP('Données projet'!$B$10,Paramètres!$A$1:$I$89,3,0)*0.475*44/12</f>
        <v>2.7573798784388591E-7</v>
      </c>
      <c r="AX83" s="21">
        <f t="shared" si="60"/>
        <v>7.7916042316263754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6.7984728957526396E-14</v>
      </c>
      <c r="P84" s="13">
        <f t="shared" si="87"/>
        <v>1.0682447123141398E-12</v>
      </c>
      <c r="Q84" s="20">
        <f t="shared" si="54"/>
        <v>1.978932943548152E-12</v>
      </c>
      <c r="R84" s="59">
        <f t="shared" si="55"/>
        <v>293.3333333333353</v>
      </c>
      <c r="S84" s="59">
        <f ca="1">AVERAGE(OFFSET($R$3,0,0,'Données projet'!$E$9+1,1))-AVERAGE(OFFSET($H$3,0,0,'Données projet'!$E$9+1,1))</f>
        <v>255.24521135682858</v>
      </c>
      <c r="T84" s="59">
        <f t="shared" si="88"/>
        <v>254.36590349790589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5.6157742249280806</v>
      </c>
      <c r="AA84" s="21">
        <f>EXP(-LN(2)/25)*AA83+(1-EXP(-LN(2)/25))/(LN(2)/25)*Calculateur!V84*Calculateur!X84*VLOOKUP('Données projet'!$B$9,Paramètres!$A$1:$I$89,3,0)*0.475*44/12</f>
        <v>3.1349472402617979</v>
      </c>
      <c r="AB84" s="21">
        <f>EXP(-LN(2)/2)*AB83+(1-EXP(-LN(2)/2))/(LN(2)/2)*V84*Y84*VLOOKUP('Données projet'!$B$9,Paramètres!$A$1:$I$89,3,0)*0.475*44/12</f>
        <v>1.1697765849464329E-7</v>
      </c>
      <c r="AC84" s="22">
        <f t="shared" si="57"/>
        <v>8.7507215821675359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-1.2710188457276673E-13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378.17323480030268</v>
      </c>
      <c r="AO84" s="59">
        <f t="shared" si="90"/>
        <v>471.89239871617241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1.604290092022469</v>
      </c>
      <c r="AV84" s="21">
        <f>EXP(-LN(2)/25)*AV83+(1-EXP(-LN(2)/25))/(LN(2)/25)*Calculateur!AQ84*Calculateur!AS84*VLOOKUP('Données projet'!$B$10,Paramètres!$A$1:$I$89,3,0)*0.475*44/12</f>
        <v>5.9869105156058602</v>
      </c>
      <c r="AW84" s="21">
        <f>EXP(-LN(2)/2)*AW83+(1-EXP(-LN(2)/2))/(LN(2)/2)*AQ84*AT84*VLOOKUP('Données projet'!$B$10,Paramètres!$A$1:$I$89,3,0)*0.475*44/12</f>
        <v>1.9497620103514554E-7</v>
      </c>
      <c r="AX84" s="21">
        <f t="shared" si="60"/>
        <v>7.5912008026045301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6.7984728957526396E-14</v>
      </c>
      <c r="P85" s="13">
        <f t="shared" si="87"/>
        <v>1.0682447123141398E-12</v>
      </c>
      <c r="Q85" s="20">
        <f t="shared" si="54"/>
        <v>1.978932943548152E-12</v>
      </c>
      <c r="R85" s="59">
        <f t="shared" si="55"/>
        <v>293.3333333333353</v>
      </c>
      <c r="S85" s="59">
        <f ca="1">AVERAGE(OFFSET($R$3,0,0,'Données projet'!$E$9+1,1))-AVERAGE(OFFSET($H$3,0,0,'Données projet'!$E$9+1,1))</f>
        <v>255.24521135682858</v>
      </c>
      <c r="T85" s="59">
        <f t="shared" si="88"/>
        <v>254.36590349790589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5.5056523176612995</v>
      </c>
      <c r="AA85" s="21">
        <f>EXP(-LN(2)/25)*AA84+(1-EXP(-LN(2)/25))/(LN(2)/25)*Calculateur!V85*Calculateur!X85*VLOOKUP('Données projet'!$B$9,Paramètres!$A$1:$I$89,3,0)*0.475*44/12</f>
        <v>3.0492219431171286</v>
      </c>
      <c r="AB85" s="21">
        <f>EXP(-LN(2)/2)*AB84+(1-EXP(-LN(2)/2))/(LN(2)/2)*V85*Y85*VLOOKUP('Données projet'!$B$9,Paramètres!$A$1:$I$89,3,0)*0.475*44/12</f>
        <v>8.2715695568886428E-8</v>
      </c>
      <c r="AC85" s="22">
        <f t="shared" si="57"/>
        <v>8.5548743434941237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-1.2710188457276673E-13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378.17323480030268</v>
      </c>
      <c r="AO85" s="59">
        <f t="shared" si="90"/>
        <v>471.89239871617241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1.5728309418382436</v>
      </c>
      <c r="AV85" s="21">
        <f>EXP(-LN(2)/25)*AV84+(1-EXP(-LN(2)/25))/(LN(2)/25)*Calculateur!AQ85*Calculateur!AS85*VLOOKUP('Données projet'!$B$10,Paramètres!$A$1:$I$89,3,0)*0.475*44/12</f>
        <v>5.8231981327186775</v>
      </c>
      <c r="AW85" s="21">
        <f>EXP(-LN(2)/2)*AW84+(1-EXP(-LN(2)/2))/(LN(2)/2)*AQ85*AT85*VLOOKUP('Données projet'!$B$10,Paramètres!$A$1:$I$89,3,0)*0.475*44/12</f>
        <v>1.3786899392194296E-7</v>
      </c>
      <c r="AX85" s="21">
        <f t="shared" si="60"/>
        <v>7.3960292124259146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6.7984728957526396E-14</v>
      </c>
      <c r="P86" s="13">
        <f t="shared" si="87"/>
        <v>1.0682447123141398E-12</v>
      </c>
      <c r="Q86" s="20">
        <f t="shared" si="54"/>
        <v>1.978932943548152E-12</v>
      </c>
      <c r="R86" s="59">
        <f t="shared" si="55"/>
        <v>293.3333333333353</v>
      </c>
      <c r="S86" s="59">
        <f ca="1">AVERAGE(OFFSET($R$3,0,0,'Données projet'!$E$9+1,1))-AVERAGE(OFFSET($H$3,0,0,'Données projet'!$E$9+1,1))</f>
        <v>255.24521135682858</v>
      </c>
      <c r="T86" s="59">
        <f t="shared" si="88"/>
        <v>254.36590349790589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5.3976898338282888</v>
      </c>
      <c r="AA86" s="21">
        <f>EXP(-LN(2)/25)*AA85+(1-EXP(-LN(2)/25))/(LN(2)/25)*Calculateur!V86*Calculateur!X86*VLOOKUP('Données projet'!$B$9,Paramètres!$A$1:$I$89,3,0)*0.475*44/12</f>
        <v>2.9658408087309778</v>
      </c>
      <c r="AB86" s="21">
        <f>EXP(-LN(2)/2)*AB85+(1-EXP(-LN(2)/2))/(LN(2)/2)*V86*Y86*VLOOKUP('Données projet'!$B$9,Paramètres!$A$1:$I$89,3,0)*0.475*44/12</f>
        <v>5.848882924732166E-8</v>
      </c>
      <c r="AC86" s="22">
        <f t="shared" si="57"/>
        <v>8.3635307010480968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-1.2710188457276673E-13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378.17323480030268</v>
      </c>
      <c r="AO86" s="59">
        <f t="shared" si="90"/>
        <v>471.89239871617241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1.541988686400944</v>
      </c>
      <c r="AV86" s="21">
        <f>EXP(-LN(2)/25)*AV85+(1-EXP(-LN(2)/25))/(LN(2)/25)*Calculateur!AQ86*Calculateur!AS86*VLOOKUP('Données projet'!$B$10,Paramètres!$A$1:$I$89,3,0)*0.475*44/12</f>
        <v>5.6639624735508045</v>
      </c>
      <c r="AW86" s="21">
        <f>EXP(-LN(2)/2)*AW85+(1-EXP(-LN(2)/2))/(LN(2)/2)*AQ86*AT86*VLOOKUP('Données projet'!$B$10,Paramètres!$A$1:$I$89,3,0)*0.475*44/12</f>
        <v>9.748810051757277E-8</v>
      </c>
      <c r="AX86" s="21">
        <f t="shared" si="60"/>
        <v>7.2059512574398488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6.7984728957526396E-14</v>
      </c>
      <c r="P87" s="13">
        <f t="shared" si="87"/>
        <v>1.0682447123141398E-12</v>
      </c>
      <c r="Q87" s="20">
        <f t="shared" si="54"/>
        <v>1.978932943548152E-12</v>
      </c>
      <c r="R87" s="59">
        <f t="shared" si="55"/>
        <v>293.3333333333353</v>
      </c>
      <c r="S87" s="59">
        <f ca="1">AVERAGE(OFFSET($R$3,0,0,'Données projet'!$E$9+1,1))-AVERAGE(OFFSET($H$3,0,0,'Données projet'!$E$9+1,1))</f>
        <v>255.24521135682858</v>
      </c>
      <c r="T87" s="59">
        <f t="shared" si="88"/>
        <v>254.36590349790589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5.29184442845263</v>
      </c>
      <c r="AA87" s="21">
        <f>EXP(-LN(2)/25)*AA86+(1-EXP(-LN(2)/25))/(LN(2)/25)*Calculateur!V87*Calculateur!X87*VLOOKUP('Données projet'!$B$9,Paramètres!$A$1:$I$89,3,0)*0.475*44/12</f>
        <v>2.8847397358494398</v>
      </c>
      <c r="AB87" s="21">
        <f>EXP(-LN(2)/2)*AB86+(1-EXP(-LN(2)/2))/(LN(2)/2)*V87*Y87*VLOOKUP('Données projet'!$B$9,Paramètres!$A$1:$I$89,3,0)*0.475*44/12</f>
        <v>4.1357847784443221E-8</v>
      </c>
      <c r="AC87" s="22">
        <f t="shared" si="57"/>
        <v>8.1765842056599176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-1.2710188457276673E-13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378.17323480030268</v>
      </c>
      <c r="AO87" s="59">
        <f t="shared" si="90"/>
        <v>471.89239871617241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1.5117512287808514</v>
      </c>
      <c r="AV87" s="21">
        <f>EXP(-LN(2)/25)*AV86+(1-EXP(-LN(2)/25))/(LN(2)/25)*Calculateur!AQ87*Calculateur!AS87*VLOOKUP('Données projet'!$B$10,Paramètres!$A$1:$I$89,3,0)*0.475*44/12</f>
        <v>5.5090811218567168</v>
      </c>
      <c r="AW87" s="21">
        <f>EXP(-LN(2)/2)*AW86+(1-EXP(-LN(2)/2))/(LN(2)/2)*AQ87*AT87*VLOOKUP('Données projet'!$B$10,Paramètres!$A$1:$I$89,3,0)*0.475*44/12</f>
        <v>6.8934496960971478E-8</v>
      </c>
      <c r="AX87" s="21">
        <f t="shared" si="60"/>
        <v>7.0208324195720655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6.7984728957526396E-14</v>
      </c>
      <c r="P88" s="13">
        <f t="shared" si="87"/>
        <v>1.0682447123141398E-12</v>
      </c>
      <c r="Q88" s="20">
        <f t="shared" si="54"/>
        <v>1.978932943548152E-12</v>
      </c>
      <c r="R88" s="59">
        <f t="shared" si="55"/>
        <v>293.3333333333353</v>
      </c>
      <c r="S88" s="59">
        <f ca="1">AVERAGE(OFFSET($R$3,0,0,'Données projet'!$E$9+1,1))-AVERAGE(OFFSET($H$3,0,0,'Données projet'!$E$9+1,1))</f>
        <v>255.24521135682858</v>
      </c>
      <c r="T88" s="59">
        <f t="shared" si="88"/>
        <v>254.36590349790589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5.1880745869170655</v>
      </c>
      <c r="AA88" s="21">
        <f>EXP(-LN(2)/25)*AA87+(1-EXP(-LN(2)/25))/(LN(2)/25)*Calculateur!V88*Calculateur!X88*VLOOKUP('Données projet'!$B$9,Paramètres!$A$1:$I$89,3,0)*0.475*44/12</f>
        <v>2.8058563760707673</v>
      </c>
      <c r="AB88" s="21">
        <f>EXP(-LN(2)/2)*AB87+(1-EXP(-LN(2)/2))/(LN(2)/2)*V88*Y88*VLOOKUP('Données projet'!$B$9,Paramètres!$A$1:$I$89,3,0)*0.475*44/12</f>
        <v>2.9244414623660833E-8</v>
      </c>
      <c r="AC88" s="22">
        <f t="shared" si="57"/>
        <v>7.9939309922322472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-1.2710188457276673E-13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378.17323480030268</v>
      </c>
      <c r="AO88" s="59">
        <f t="shared" si="90"/>
        <v>471.89239871617241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1.4821067092616609</v>
      </c>
      <c r="AV88" s="21">
        <f>EXP(-LN(2)/25)*AV87+(1-EXP(-LN(2)/25))/(LN(2)/25)*Calculateur!AQ88*Calculateur!AS88*VLOOKUP('Données projet'!$B$10,Paramètres!$A$1:$I$89,3,0)*0.475*44/12</f>
        <v>5.3584350088695603</v>
      </c>
      <c r="AW88" s="21">
        <f>EXP(-LN(2)/2)*AW87+(1-EXP(-LN(2)/2))/(LN(2)/2)*AQ88*AT88*VLOOKUP('Données projet'!$B$10,Paramètres!$A$1:$I$89,3,0)*0.475*44/12</f>
        <v>4.8744050258786385E-8</v>
      </c>
      <c r="AX88" s="21">
        <f t="shared" si="60"/>
        <v>6.8405417668752717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6.7984728957526396E-14</v>
      </c>
      <c r="P89" s="13">
        <f t="shared" si="87"/>
        <v>1.0682447123141398E-12</v>
      </c>
      <c r="Q89" s="20">
        <f t="shared" si="54"/>
        <v>1.978932943548152E-12</v>
      </c>
      <c r="R89" s="59">
        <f t="shared" si="55"/>
        <v>293.3333333333353</v>
      </c>
      <c r="S89" s="59">
        <f ca="1">AVERAGE(OFFSET($R$3,0,0,'Données projet'!$E$9+1,1))-AVERAGE(OFFSET($H$3,0,0,'Données projet'!$E$9+1,1))</f>
        <v>255.24521135682858</v>
      </c>
      <c r="T89" s="59">
        <f t="shared" si="88"/>
        <v>254.36590349790589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5.0863396086806603</v>
      </c>
      <c r="AA89" s="21">
        <f>EXP(-LN(2)/25)*AA88+(1-EXP(-LN(2)/25))/(LN(2)/25)*Calculateur!V89*Calculateur!X89*VLOOKUP('Données projet'!$B$9,Paramètres!$A$1:$I$89,3,0)*0.475*44/12</f>
        <v>2.7291300859135381</v>
      </c>
      <c r="AB89" s="21">
        <f>EXP(-LN(2)/2)*AB88+(1-EXP(-LN(2)/2))/(LN(2)/2)*V89*Y89*VLOOKUP('Données projet'!$B$9,Paramètres!$A$1:$I$89,3,0)*0.475*44/12</f>
        <v>2.0678923892221614E-8</v>
      </c>
      <c r="AC89" s="22">
        <f t="shared" si="57"/>
        <v>7.8154697152731218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-1.2710188457276673E-13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378.17323480030268</v>
      </c>
      <c r="AO89" s="59">
        <f t="shared" si="90"/>
        <v>471.89239871617241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1.4530435006888702</v>
      </c>
      <c r="AV89" s="21">
        <f>EXP(-LN(2)/25)*AV88+(1-EXP(-LN(2)/25))/(LN(2)/25)*Calculateur!AQ89*Calculateur!AS89*VLOOKUP('Données projet'!$B$10,Paramètres!$A$1:$I$89,3,0)*0.475*44/12</f>
        <v>5.211908321764172</v>
      </c>
      <c r="AW89" s="21">
        <f>EXP(-LN(2)/2)*AW88+(1-EXP(-LN(2)/2))/(LN(2)/2)*AQ89*AT89*VLOOKUP('Données projet'!$B$10,Paramètres!$A$1:$I$89,3,0)*0.475*44/12</f>
        <v>3.4467248480485739E-8</v>
      </c>
      <c r="AX89" s="21">
        <f t="shared" si="60"/>
        <v>6.6649518569202906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6.7984728957526396E-14</v>
      </c>
      <c r="P90" s="13">
        <f t="shared" si="87"/>
        <v>1.0682447123141398E-12</v>
      </c>
      <c r="Q90" s="20">
        <f t="shared" si="54"/>
        <v>1.978932943548152E-12</v>
      </c>
      <c r="R90" s="59">
        <f t="shared" si="55"/>
        <v>293.3333333333353</v>
      </c>
      <c r="S90" s="59">
        <f ca="1">AVERAGE(OFFSET($R$3,0,0,'Données projet'!$E$9+1,1))-AVERAGE(OFFSET($H$3,0,0,'Données projet'!$E$9+1,1))</f>
        <v>255.24521135682858</v>
      </c>
      <c r="T90" s="59">
        <f t="shared" si="88"/>
        <v>254.36590349790589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4.9865995913152608</v>
      </c>
      <c r="AA90" s="21">
        <f>EXP(-LN(2)/25)*AA89+(1-EXP(-LN(2)/25))/(LN(2)/25)*Calculateur!V90*Calculateur!X90*VLOOKUP('Données projet'!$B$9,Paramètres!$A$1:$I$89,3,0)*0.475*44/12</f>
        <v>2.6545018801955189</v>
      </c>
      <c r="AB90" s="21">
        <f>EXP(-LN(2)/2)*AB89+(1-EXP(-LN(2)/2))/(LN(2)/2)*V90*Y90*VLOOKUP('Données projet'!$B$9,Paramètres!$A$1:$I$89,3,0)*0.475*44/12</f>
        <v>1.462220731183042E-8</v>
      </c>
      <c r="AC90" s="22">
        <f t="shared" si="57"/>
        <v>7.6411014861329871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-1.2710188457276673E-13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378.17323480030268</v>
      </c>
      <c r="AO90" s="59">
        <f t="shared" si="90"/>
        <v>471.89239871617241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1.4245502039093851</v>
      </c>
      <c r="AV90" s="21">
        <f>EXP(-LN(2)/25)*AV89+(1-EXP(-LN(2)/25))/(LN(2)/25)*Calculateur!AQ90*Calculateur!AS90*VLOOKUP('Données projet'!$B$10,Paramètres!$A$1:$I$89,3,0)*0.475*44/12</f>
        <v>5.0693884146231838</v>
      </c>
      <c r="AW90" s="21">
        <f>EXP(-LN(2)/2)*AW89+(1-EXP(-LN(2)/2))/(LN(2)/2)*AQ90*AT90*VLOOKUP('Données projet'!$B$10,Paramètres!$A$1:$I$89,3,0)*0.475*44/12</f>
        <v>2.4372025129393193E-8</v>
      </c>
      <c r="AX90" s="21">
        <f t="shared" si="60"/>
        <v>6.4939386429045944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6.7984728957526396E-14</v>
      </c>
      <c r="P91" s="13">
        <f t="shared" si="87"/>
        <v>1.0682447123141398E-12</v>
      </c>
      <c r="Q91" s="20">
        <f t="shared" si="54"/>
        <v>1.978932943548152E-12</v>
      </c>
      <c r="R91" s="59">
        <f t="shared" si="55"/>
        <v>293.3333333333353</v>
      </c>
      <c r="S91" s="59">
        <f ca="1">AVERAGE(OFFSET($R$3,0,0,'Données projet'!$E$9+1,1))-AVERAGE(OFFSET($H$3,0,0,'Données projet'!$E$9+1,1))</f>
        <v>255.24521135682858</v>
      </c>
      <c r="T91" s="59">
        <f t="shared" si="88"/>
        <v>254.36590349790589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4.8888154148549932</v>
      </c>
      <c r="AA91" s="21">
        <f>EXP(-LN(2)/25)*AA90+(1-EXP(-LN(2)/25))/(LN(2)/25)*Calculateur!V91*Calculateur!X91*VLOOKUP('Données projet'!$B$9,Paramètres!$A$1:$I$89,3,0)*0.475*44/12</f>
        <v>2.5819143866873855</v>
      </c>
      <c r="AB91" s="21">
        <f>EXP(-LN(2)/2)*AB90+(1-EXP(-LN(2)/2))/(LN(2)/2)*V91*Y91*VLOOKUP('Données projet'!$B$9,Paramètres!$A$1:$I$89,3,0)*0.475*44/12</f>
        <v>1.0339461946110809E-8</v>
      </c>
      <c r="AC91" s="22">
        <f t="shared" si="57"/>
        <v>7.4707298118818404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-1.2710188457276673E-13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378.17323480030268</v>
      </c>
      <c r="AO91" s="59">
        <f t="shared" si="90"/>
        <v>471.89239871617241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1.3966156433005508</v>
      </c>
      <c r="AV91" s="21">
        <f>EXP(-LN(2)/25)*AV90+(1-EXP(-LN(2)/25))/(LN(2)/25)*Calculateur!AQ91*Calculateur!AS91*VLOOKUP('Données projet'!$B$10,Paramètres!$A$1:$I$89,3,0)*0.475*44/12</f>
        <v>4.9307657218377621</v>
      </c>
      <c r="AW91" s="21">
        <f>EXP(-LN(2)/2)*AW90+(1-EXP(-LN(2)/2))/(LN(2)/2)*AQ91*AT91*VLOOKUP('Données projet'!$B$10,Paramètres!$A$1:$I$89,3,0)*0.475*44/12</f>
        <v>1.7233624240242869E-8</v>
      </c>
      <c r="AX91" s="21">
        <f t="shared" si="60"/>
        <v>6.3273813823719376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6.7984728957526396E-14</v>
      </c>
      <c r="P92" s="13">
        <f t="shared" si="87"/>
        <v>1.0682447123141398E-12</v>
      </c>
      <c r="Q92" s="20">
        <f t="shared" si="54"/>
        <v>1.978932943548152E-12</v>
      </c>
      <c r="R92" s="59">
        <f t="shared" si="55"/>
        <v>293.3333333333353</v>
      </c>
      <c r="S92" s="59">
        <f ca="1">AVERAGE(OFFSET($R$3,0,0,'Données projet'!$E$9+1,1))-AVERAGE(OFFSET($H$3,0,0,'Données projet'!$E$9+1,1))</f>
        <v>255.24521135682858</v>
      </c>
      <c r="T92" s="59">
        <f t="shared" si="88"/>
        <v>254.36590349790589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4.7929487264526536</v>
      </c>
      <c r="AA92" s="21">
        <f>EXP(-LN(2)/25)*AA91+(1-EXP(-LN(2)/25))/(LN(2)/25)*Calculateur!V92*Calculateur!X92*VLOOKUP('Données projet'!$B$9,Paramètres!$A$1:$I$89,3,0)*0.475*44/12</f>
        <v>2.5113118020064422</v>
      </c>
      <c r="AB92" s="21">
        <f>EXP(-LN(2)/2)*AB91+(1-EXP(-LN(2)/2))/(LN(2)/2)*V92*Y92*VLOOKUP('Données projet'!$B$9,Paramètres!$A$1:$I$89,3,0)*0.475*44/12</f>
        <v>7.3111036559152108E-9</v>
      </c>
      <c r="AC92" s="22">
        <f t="shared" si="57"/>
        <v>7.3042605357702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-1.2710188457276673E-13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378.17323480030268</v>
      </c>
      <c r="AO92" s="59">
        <f t="shared" si="90"/>
        <v>471.89239871617241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1.369228862386856</v>
      </c>
      <c r="AV92" s="21">
        <f>EXP(-LN(2)/25)*AV91+(1-EXP(-LN(2)/25))/(LN(2)/25)*Calculateur!AQ92*Calculateur!AS92*VLOOKUP('Données projet'!$B$10,Paramètres!$A$1:$I$89,3,0)*0.475*44/12</f>
        <v>4.7959336738764087</v>
      </c>
      <c r="AW92" s="21">
        <f>EXP(-LN(2)/2)*AW91+(1-EXP(-LN(2)/2))/(LN(2)/2)*AQ92*AT92*VLOOKUP('Données projet'!$B$10,Paramètres!$A$1:$I$89,3,0)*0.475*44/12</f>
        <v>1.2186012564696596E-8</v>
      </c>
      <c r="AX92" s="21">
        <f t="shared" si="60"/>
        <v>6.1651625484492767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6.7984728957526396E-14</v>
      </c>
      <c r="P93" s="13">
        <f t="shared" si="87"/>
        <v>1.0682447123141398E-12</v>
      </c>
      <c r="Q93" s="20">
        <f t="shared" si="54"/>
        <v>1.978932943548152E-12</v>
      </c>
      <c r="R93" s="59">
        <f t="shared" si="55"/>
        <v>293.3333333333353</v>
      </c>
      <c r="S93" s="59">
        <f ca="1">AVERAGE(OFFSET($R$3,0,0,'Données projet'!$E$9+1,1))-AVERAGE(OFFSET($H$3,0,0,'Données projet'!$E$9+1,1))</f>
        <v>255.24521135682858</v>
      </c>
      <c r="T93" s="59">
        <f t="shared" si="88"/>
        <v>254.36590349790589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4.6989619253369774</v>
      </c>
      <c r="AA93" s="21">
        <f>EXP(-LN(2)/25)*AA92+(1-EXP(-LN(2)/25))/(LN(2)/25)*Calculateur!V93*Calculateur!X93*VLOOKUP('Données projet'!$B$9,Paramètres!$A$1:$I$89,3,0)*0.475*44/12</f>
        <v>2.442639848716428</v>
      </c>
      <c r="AB93" s="21">
        <f>EXP(-LN(2)/2)*AB92+(1-EXP(-LN(2)/2))/(LN(2)/2)*V93*Y93*VLOOKUP('Données projet'!$B$9,Paramètres!$A$1:$I$89,3,0)*0.475*44/12</f>
        <v>5.1697309730554051E-9</v>
      </c>
      <c r="AC93" s="22">
        <f t="shared" si="57"/>
        <v>7.1416017792231372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-1.2710188457276673E-13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378.17323480030268</v>
      </c>
      <c r="AO93" s="59">
        <f t="shared" si="90"/>
        <v>471.89239871617241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1.3423791195425918</v>
      </c>
      <c r="AV93" s="21">
        <f>EXP(-LN(2)/25)*AV92+(1-EXP(-LN(2)/25))/(LN(2)/25)*Calculateur!AQ93*Calculateur!AS93*VLOOKUP('Données projet'!$B$10,Paramètres!$A$1:$I$89,3,0)*0.475*44/12</f>
        <v>4.6647886153570672</v>
      </c>
      <c r="AW93" s="21">
        <f>EXP(-LN(2)/2)*AW92+(1-EXP(-LN(2)/2))/(LN(2)/2)*AQ93*AT93*VLOOKUP('Données projet'!$B$10,Paramètres!$A$1:$I$89,3,0)*0.475*44/12</f>
        <v>8.6168121201214347E-9</v>
      </c>
      <c r="AX93" s="21">
        <f t="shared" si="60"/>
        <v>6.0071677435164714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6.7984728957526396E-14</v>
      </c>
      <c r="P94" s="13">
        <f t="shared" si="87"/>
        <v>1.0682447123141398E-12</v>
      </c>
      <c r="Q94" s="20">
        <f t="shared" si="54"/>
        <v>1.978932943548152E-12</v>
      </c>
      <c r="R94" s="59">
        <f t="shared" si="55"/>
        <v>293.3333333333353</v>
      </c>
      <c r="S94" s="59">
        <f ca="1">AVERAGE(OFFSET($R$3,0,0,'Données projet'!$E$9+1,1))-AVERAGE(OFFSET($H$3,0,0,'Données projet'!$E$9+1,1))</f>
        <v>255.24521135682858</v>
      </c>
      <c r="T94" s="59">
        <f t="shared" si="88"/>
        <v>254.36590349790589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4.6068181480648915</v>
      </c>
      <c r="AA94" s="21">
        <f>EXP(-LN(2)/25)*AA93+(1-EXP(-LN(2)/25))/(LN(2)/25)*Calculateur!V94*Calculateur!X94*VLOOKUP('Données projet'!$B$9,Paramètres!$A$1:$I$89,3,0)*0.475*44/12</f>
        <v>2.3758457336004306</v>
      </c>
      <c r="AB94" s="21">
        <f>EXP(-LN(2)/2)*AB93+(1-EXP(-LN(2)/2))/(LN(2)/2)*V94*Y94*VLOOKUP('Données projet'!$B$9,Paramètres!$A$1:$I$89,3,0)*0.475*44/12</f>
        <v>3.6555518279576058E-9</v>
      </c>
      <c r="AC94" s="22">
        <f t="shared" si="57"/>
        <v>6.982663885320874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-1.2710188457276673E-13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378.17323480030268</v>
      </c>
      <c r="AO94" s="59">
        <f t="shared" si="90"/>
        <v>471.89239871617241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1.3160558837787777</v>
      </c>
      <c r="AV94" s="21">
        <f>EXP(-LN(2)/25)*AV93+(1-EXP(-LN(2)/25))/(LN(2)/25)*Calculateur!AQ94*Calculateur!AS94*VLOOKUP('Données projet'!$B$10,Paramètres!$A$1:$I$89,3,0)*0.475*44/12</f>
        <v>4.5372297253595564</v>
      </c>
      <c r="AW94" s="21">
        <f>EXP(-LN(2)/2)*AW93+(1-EXP(-LN(2)/2))/(LN(2)/2)*AQ94*AT94*VLOOKUP('Données projet'!$B$10,Paramètres!$A$1:$I$89,3,0)*0.475*44/12</f>
        <v>6.0930062823482981E-9</v>
      </c>
      <c r="AX94" s="21">
        <f t="shared" si="60"/>
        <v>5.8532856152313402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6.7984728957526396E-14</v>
      </c>
      <c r="P95" s="13">
        <f t="shared" si="87"/>
        <v>1.0682447123141398E-12</v>
      </c>
      <c r="Q95" s="20">
        <f t="shared" si="54"/>
        <v>1.978932943548152E-12</v>
      </c>
      <c r="R95" s="59">
        <f t="shared" si="55"/>
        <v>293.3333333333353</v>
      </c>
      <c r="S95" s="59">
        <f ca="1">AVERAGE(OFFSET($R$3,0,0,'Données projet'!$E$9+1,1))-AVERAGE(OFFSET($H$3,0,0,'Données projet'!$E$9+1,1))</f>
        <v>255.24521135682858</v>
      </c>
      <c r="T95" s="59">
        <f t="shared" si="88"/>
        <v>254.36590349790589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4.5164812540629562</v>
      </c>
      <c r="AA95" s="21">
        <f>EXP(-LN(2)/25)*AA94+(1-EXP(-LN(2)/25))/(LN(2)/25)*Calculateur!V95*Calculateur!X95*VLOOKUP('Données projet'!$B$9,Paramètres!$A$1:$I$89,3,0)*0.475*44/12</f>
        <v>2.3108781070748297</v>
      </c>
      <c r="AB95" s="21">
        <f>EXP(-LN(2)/2)*AB94+(1-EXP(-LN(2)/2))/(LN(2)/2)*V95*Y95*VLOOKUP('Données projet'!$B$9,Paramètres!$A$1:$I$89,3,0)*0.475*44/12</f>
        <v>2.584865486527703E-9</v>
      </c>
      <c r="AC95" s="22">
        <f t="shared" si="57"/>
        <v>6.8273593637226515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-1.2710188457276673E-13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378.17323480030268</v>
      </c>
      <c r="AO95" s="59">
        <f t="shared" si="90"/>
        <v>471.89239871617241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1.2902488306127036</v>
      </c>
      <c r="AV95" s="21">
        <f>EXP(-LN(2)/25)*AV94+(1-EXP(-LN(2)/25))/(LN(2)/25)*Calculateur!AQ95*Calculateur!AS95*VLOOKUP('Données projet'!$B$10,Paramètres!$A$1:$I$89,3,0)*0.475*44/12</f>
        <v>4.4131589399170581</v>
      </c>
      <c r="AW95" s="21">
        <f>EXP(-LN(2)/2)*AW94+(1-EXP(-LN(2)/2))/(LN(2)/2)*AQ95*AT95*VLOOKUP('Données projet'!$B$10,Paramètres!$A$1:$I$89,3,0)*0.475*44/12</f>
        <v>4.3084060600607174E-9</v>
      </c>
      <c r="AX95" s="21">
        <f t="shared" si="60"/>
        <v>5.7034077748381673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6.7984728957526396E-14</v>
      </c>
      <c r="P96" s="13">
        <f t="shared" si="87"/>
        <v>1.0682447123141398E-12</v>
      </c>
      <c r="Q96" s="20">
        <f t="shared" si="54"/>
        <v>1.978932943548152E-12</v>
      </c>
      <c r="R96" s="59">
        <f t="shared" si="55"/>
        <v>293.3333333333353</v>
      </c>
      <c r="S96" s="59">
        <f ca="1">AVERAGE(OFFSET($R$3,0,0,'Données projet'!$E$9+1,1))-AVERAGE(OFFSET($H$3,0,0,'Données projet'!$E$9+1,1))</f>
        <v>255.24521135682858</v>
      </c>
      <c r="T96" s="59">
        <f t="shared" si="88"/>
        <v>254.36590349790589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4.4279158114523343</v>
      </c>
      <c r="AA96" s="21">
        <f>EXP(-LN(2)/25)*AA95+(1-EXP(-LN(2)/25))/(LN(2)/25)*Calculateur!V96*Calculateur!X96*VLOOKUP('Données projet'!$B$9,Paramètres!$A$1:$I$89,3,0)*0.475*44/12</f>
        <v>2.2476870237130702</v>
      </c>
      <c r="AB96" s="21">
        <f>EXP(-LN(2)/2)*AB95+(1-EXP(-LN(2)/2))/(LN(2)/2)*V96*Y96*VLOOKUP('Données projet'!$B$9,Paramètres!$A$1:$I$89,3,0)*0.475*44/12</f>
        <v>1.8277759139788033E-9</v>
      </c>
      <c r="AC96" s="22">
        <f t="shared" si="57"/>
        <v>6.675602836993181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-1.2710188457276673E-13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378.17323480030268</v>
      </c>
      <c r="AO96" s="59">
        <f t="shared" si="90"/>
        <v>471.89239871617241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1.264947838018468</v>
      </c>
      <c r="AV96" s="21">
        <f>EXP(-LN(2)/25)*AV95+(1-EXP(-LN(2)/25))/(LN(2)/25)*Calculateur!AQ96*Calculateur!AS96*VLOOKUP('Données projet'!$B$10,Paramètres!$A$1:$I$89,3,0)*0.475*44/12</f>
        <v>4.2924808766270841</v>
      </c>
      <c r="AW96" s="21">
        <f>EXP(-LN(2)/2)*AW95+(1-EXP(-LN(2)/2))/(LN(2)/2)*AQ96*AT96*VLOOKUP('Données projet'!$B$10,Paramètres!$A$1:$I$89,3,0)*0.475*44/12</f>
        <v>3.0465031411741491E-9</v>
      </c>
      <c r="AX96" s="21">
        <f t="shared" si="60"/>
        <v>5.5574287176920558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6.7984728957526396E-14</v>
      </c>
      <c r="P97" s="13">
        <f t="shared" si="87"/>
        <v>1.0682447123141398E-12</v>
      </c>
      <c r="Q97" s="20">
        <f t="shared" si="54"/>
        <v>1.978932943548152E-12</v>
      </c>
      <c r="R97" s="59">
        <f t="shared" si="55"/>
        <v>293.3333333333353</v>
      </c>
      <c r="S97" s="59">
        <f ca="1">AVERAGE(OFFSET($R$3,0,0,'Données projet'!$E$9+1,1))-AVERAGE(OFFSET($H$3,0,0,'Données projet'!$E$9+1,1))</f>
        <v>255.24521135682858</v>
      </c>
      <c r="T97" s="59">
        <f t="shared" si="88"/>
        <v>254.36590349790589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4.341087083151721</v>
      </c>
      <c r="AA97" s="21">
        <f>EXP(-LN(2)/25)*AA96+(1-EXP(-LN(2)/25))/(LN(2)/25)*Calculateur!V97*Calculateur!X97*VLOOKUP('Données projet'!$B$9,Paramètres!$A$1:$I$89,3,0)*0.475*44/12</f>
        <v>2.1862239038489126</v>
      </c>
      <c r="AB97" s="21">
        <f>EXP(-LN(2)/2)*AB96+(1-EXP(-LN(2)/2))/(LN(2)/2)*V97*Y97*VLOOKUP('Données projet'!$B$9,Paramètres!$A$1:$I$89,3,0)*0.475*44/12</f>
        <v>1.2924327432638517E-9</v>
      </c>
      <c r="AC97" s="22">
        <f t="shared" si="57"/>
        <v>6.5273109882930669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-1.2710188457276673E-13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378.17323480030268</v>
      </c>
      <c r="AO97" s="59">
        <f t="shared" si="90"/>
        <v>471.89239871617241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1.2401429824569237</v>
      </c>
      <c r="AV97" s="21">
        <f>EXP(-LN(2)/25)*AV96+(1-EXP(-LN(2)/25))/(LN(2)/25)*Calculateur!AQ97*Calculateur!AS97*VLOOKUP('Données projet'!$B$10,Paramètres!$A$1:$I$89,3,0)*0.475*44/12</f>
        <v>4.1751027613239575</v>
      </c>
      <c r="AW97" s="21">
        <f>EXP(-LN(2)/2)*AW96+(1-EXP(-LN(2)/2))/(LN(2)/2)*AQ97*AT97*VLOOKUP('Données projet'!$B$10,Paramètres!$A$1:$I$89,3,0)*0.475*44/12</f>
        <v>2.1542030300303587E-9</v>
      </c>
      <c r="AX97" s="21">
        <f t="shared" si="60"/>
        <v>5.415245745935084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6.7984728957526396E-14</v>
      </c>
      <c r="P98" s="13">
        <f t="shared" si="87"/>
        <v>1.0682447123141398E-12</v>
      </c>
      <c r="Q98" s="20">
        <f t="shared" si="54"/>
        <v>1.978932943548152E-12</v>
      </c>
      <c r="R98" s="59">
        <f t="shared" si="55"/>
        <v>293.3333333333353</v>
      </c>
      <c r="S98" s="59">
        <f ca="1">AVERAGE(OFFSET($R$3,0,0,'Données projet'!$E$9+1,1))-AVERAGE(OFFSET($H$3,0,0,'Données projet'!$E$9+1,1))</f>
        <v>255.24521135682858</v>
      </c>
      <c r="T98" s="59">
        <f t="shared" si="88"/>
        <v>254.36590349790589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4.2559610132527874</v>
      </c>
      <c r="AA98" s="21">
        <f>EXP(-LN(2)/25)*AA97+(1-EXP(-LN(2)/25))/(LN(2)/25)*Calculateur!V98*Calculateur!X98*VLOOKUP('Données projet'!$B$9,Paramètres!$A$1:$I$89,3,0)*0.475*44/12</f>
        <v>2.1264414962296456</v>
      </c>
      <c r="AB98" s="21">
        <f>EXP(-LN(2)/2)*AB97+(1-EXP(-LN(2)/2))/(LN(2)/2)*V98*Y98*VLOOKUP('Données projet'!$B$9,Paramètres!$A$1:$I$89,3,0)*0.475*44/12</f>
        <v>9.1388795698940176E-10</v>
      </c>
      <c r="AC98" s="22">
        <f t="shared" si="57"/>
        <v>6.3824025103963207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-1.2710188457276673E-13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378.17323480030268</v>
      </c>
      <c r="AO98" s="59">
        <f t="shared" si="90"/>
        <v>471.89239871617241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1.2158245349834731</v>
      </c>
      <c r="AV98" s="21">
        <f>EXP(-LN(2)/25)*AV97+(1-EXP(-LN(2)/25))/(LN(2)/25)*Calculateur!AQ98*Calculateur!AS98*VLOOKUP('Données projet'!$B$10,Paramètres!$A$1:$I$89,3,0)*0.475*44/12</f>
        <v>4.0609343567564418</v>
      </c>
      <c r="AW98" s="21">
        <f>EXP(-LN(2)/2)*AW97+(1-EXP(-LN(2)/2))/(LN(2)/2)*AQ98*AT98*VLOOKUP('Données projet'!$B$10,Paramètres!$A$1:$I$89,3,0)*0.475*44/12</f>
        <v>1.5232515705870745E-9</v>
      </c>
      <c r="AX98" s="21">
        <f t="shared" si="60"/>
        <v>5.2767588932631666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6.7984728957526396E-14</v>
      </c>
      <c r="P99" s="13">
        <f t="shared" si="87"/>
        <v>1.0682447123141398E-12</v>
      </c>
      <c r="Q99" s="20">
        <f t="shared" ref="Q99:Q130" si="107">(O99+P99)*0.475*44/12</f>
        <v>1.978932943548152E-12</v>
      </c>
      <c r="R99" s="59">
        <f t="shared" si="55"/>
        <v>293.3333333333353</v>
      </c>
      <c r="S99" s="59">
        <f ca="1">AVERAGE(OFFSET($R$3,0,0,'Données projet'!$E$9+1,1))-AVERAGE(OFFSET($H$3,0,0,'Données projet'!$E$9+1,1))</f>
        <v>255.24521135682858</v>
      </c>
      <c r="T99" s="59">
        <f t="shared" si="88"/>
        <v>254.36590349790589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4.1725042136627968</v>
      </c>
      <c r="AA99" s="21">
        <f>EXP(-LN(2)/25)*AA98+(1-EXP(-LN(2)/25))/(LN(2)/25)*Calculateur!V99*Calculateur!X99*VLOOKUP('Données projet'!$B$9,Paramètres!$A$1:$I$89,3,0)*0.475*44/12</f>
        <v>2.0682938416905476</v>
      </c>
      <c r="AB99" s="21">
        <f>EXP(-LN(2)/2)*AB98+(1-EXP(-LN(2)/2))/(LN(2)/2)*V99*Y99*VLOOKUP('Données projet'!$B$9,Paramètres!$A$1:$I$89,3,0)*0.475*44/12</f>
        <v>6.4621637163192595E-10</v>
      </c>
      <c r="AC99" s="22">
        <f t="shared" si="57"/>
        <v>6.2407980559995613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-1.2710188457276673E-13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378.17323480030268</v>
      </c>
      <c r="AO99" s="59">
        <f t="shared" si="90"/>
        <v>471.89239871617241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1.1919829574321885</v>
      </c>
      <c r="AV99" s="21">
        <f>EXP(-LN(2)/25)*AV98+(1-EXP(-LN(2)/25))/(LN(2)/25)*Calculateur!AQ99*Calculateur!AS99*VLOOKUP('Données projet'!$B$10,Paramètres!$A$1:$I$89,3,0)*0.475*44/12</f>
        <v>3.9498878932156805</v>
      </c>
      <c r="AW99" s="21">
        <f>EXP(-LN(2)/2)*AW98+(1-EXP(-LN(2)/2))/(LN(2)/2)*AQ99*AT99*VLOOKUP('Données projet'!$B$10,Paramètres!$A$1:$I$89,3,0)*0.475*44/12</f>
        <v>1.0771015150151793E-9</v>
      </c>
      <c r="AX99" s="21">
        <f t="shared" si="60"/>
        <v>5.1418708517249705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6.7984728957526396E-14</v>
      </c>
      <c r="P100" s="13">
        <f t="shared" si="87"/>
        <v>1.0682447123141398E-12</v>
      </c>
      <c r="Q100" s="20">
        <f t="shared" si="107"/>
        <v>1.978932943548152E-12</v>
      </c>
      <c r="R100" s="59">
        <f t="shared" si="55"/>
        <v>293.3333333333353</v>
      </c>
      <c r="S100" s="59">
        <f ca="1">AVERAGE(OFFSET($R$3,0,0,'Données projet'!$E$9+1,1))-AVERAGE(OFFSET($H$3,0,0,'Données projet'!$E$9+1,1))</f>
        <v>255.24521135682858</v>
      </c>
      <c r="T100" s="59">
        <f t="shared" si="88"/>
        <v>254.36590349790589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4.0906839510091437</v>
      </c>
      <c r="AA100" s="21">
        <f>EXP(-LN(2)/25)*AA99+(1-EXP(-LN(2)/25))/(LN(2)/25)*Calculateur!V100*Calculateur!X100*VLOOKUP('Données projet'!$B$9,Paramètres!$A$1:$I$89,3,0)*0.475*44/12</f>
        <v>2.0117362378226735</v>
      </c>
      <c r="AB100" s="21">
        <f>EXP(-LN(2)/2)*AB99+(1-EXP(-LN(2)/2))/(LN(2)/2)*V100*Y100*VLOOKUP('Données projet'!$B$9,Paramètres!$A$1:$I$89,3,0)*0.475*44/12</f>
        <v>4.5694397849470098E-10</v>
      </c>
      <c r="AC100" s="22">
        <f t="shared" si="57"/>
        <v>6.1024201892887611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-1.2710188457276673E-13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378.17323480030268</v>
      </c>
      <c r="AO100" s="59">
        <f t="shared" si="90"/>
        <v>471.89239871617241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1.1686088986747583</v>
      </c>
      <c r="AV100" s="21">
        <f>EXP(-LN(2)/25)*AV99+(1-EXP(-LN(2)/25))/(LN(2)/25)*Calculateur!AQ100*Calculateur!AS100*VLOOKUP('Données projet'!$B$10,Paramètres!$A$1:$I$89,3,0)*0.475*44/12</f>
        <v>3.8418780010601208</v>
      </c>
      <c r="AW100" s="21">
        <f>EXP(-LN(2)/2)*AW99+(1-EXP(-LN(2)/2))/(LN(2)/2)*AQ100*AT100*VLOOKUP('Données projet'!$B$10,Paramètres!$A$1:$I$89,3,0)*0.475*44/12</f>
        <v>7.6162578529353727E-10</v>
      </c>
      <c r="AX100" s="21">
        <f t="shared" si="60"/>
        <v>5.0104869004965042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6.7984728957526396E-14</v>
      </c>
      <c r="P101" s="13">
        <f t="shared" si="87"/>
        <v>1.0682447123141398E-12</v>
      </c>
      <c r="Q101" s="20">
        <f t="shared" si="107"/>
        <v>1.978932943548152E-12</v>
      </c>
      <c r="R101" s="59">
        <f t="shared" si="55"/>
        <v>293.3333333333353</v>
      </c>
      <c r="S101" s="59">
        <f ca="1">AVERAGE(OFFSET($R$3,0,0,'Données projet'!$E$9+1,1))-AVERAGE(OFFSET($H$3,0,0,'Données projet'!$E$9+1,1))</f>
        <v>255.24521135682858</v>
      </c>
      <c r="T101" s="59">
        <f t="shared" si="88"/>
        <v>254.36590349790589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4.0104681338006971</v>
      </c>
      <c r="AA101" s="21">
        <f>EXP(-LN(2)/25)*AA100+(1-EXP(-LN(2)/25))/(LN(2)/25)*Calculateur!V101*Calculateur!X101*VLOOKUP('Données projet'!$B$9,Paramètres!$A$1:$I$89,3,0)*0.475*44/12</f>
        <v>1.9567252046068015</v>
      </c>
      <c r="AB101" s="21">
        <f>EXP(-LN(2)/2)*AB100+(1-EXP(-LN(2)/2))/(LN(2)/2)*V101*Y101*VLOOKUP('Données projet'!$B$9,Paramètres!$A$1:$I$89,3,0)*0.475*44/12</f>
        <v>3.2310818581596302E-10</v>
      </c>
      <c r="AC101" s="22">
        <f t="shared" si="57"/>
        <v>5.9671933387306062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-1.2710188457276673E-13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378.17323480030268</v>
      </c>
      <c r="AO101" s="59">
        <f t="shared" si="90"/>
        <v>471.89239871617241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1.1456931909527932</v>
      </c>
      <c r="AV101" s="21">
        <f>EXP(-LN(2)/25)*AV100+(1-EXP(-LN(2)/25))/(LN(2)/25)*Calculateur!AQ101*Calculateur!AS101*VLOOKUP('Données projet'!$B$10,Paramètres!$A$1:$I$89,3,0)*0.475*44/12</f>
        <v>3.7368216450855485</v>
      </c>
      <c r="AW101" s="21">
        <f>EXP(-LN(2)/2)*AW100+(1-EXP(-LN(2)/2))/(LN(2)/2)*AQ101*AT101*VLOOKUP('Données projet'!$B$10,Paramètres!$A$1:$I$89,3,0)*0.475*44/12</f>
        <v>5.3855075750758967E-10</v>
      </c>
      <c r="AX101" s="21">
        <f t="shared" si="60"/>
        <v>4.8825148365768918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6.7984728957526396E-14</v>
      </c>
      <c r="P102" s="13">
        <f t="shared" si="87"/>
        <v>1.0682447123141398E-12</v>
      </c>
      <c r="Q102" s="20">
        <f t="shared" si="107"/>
        <v>1.978932943548152E-12</v>
      </c>
      <c r="R102" s="59">
        <f t="shared" si="55"/>
        <v>293.3333333333353</v>
      </c>
      <c r="S102" s="59">
        <f ca="1">AVERAGE(OFFSET($R$3,0,0,'Données projet'!$E$9+1,1))-AVERAGE(OFFSET($H$3,0,0,'Données projet'!$E$9+1,1))</f>
        <v>255.24521135682858</v>
      </c>
      <c r="T102" s="59">
        <f t="shared" si="88"/>
        <v>254.36590349790589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3.9318252998408902</v>
      </c>
      <c r="AA102" s="21">
        <f>EXP(-LN(2)/25)*AA101+(1-EXP(-LN(2)/25))/(LN(2)/25)*Calculateur!V102*Calculateur!X102*VLOOKUP('Données projet'!$B$9,Paramètres!$A$1:$I$89,3,0)*0.475*44/12</f>
        <v>1.9032184509871222</v>
      </c>
      <c r="AB102" s="21">
        <f>EXP(-LN(2)/2)*AB101+(1-EXP(-LN(2)/2))/(LN(2)/2)*V102*Y102*VLOOKUP('Données projet'!$B$9,Paramètres!$A$1:$I$89,3,0)*0.475*44/12</f>
        <v>2.2847198924735052E-10</v>
      </c>
      <c r="AC102" s="22">
        <f t="shared" si="57"/>
        <v>5.8350437510564843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-1.2710188457276673E-13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378.17323480030268</v>
      </c>
      <c r="AO102" s="59">
        <f t="shared" si="90"/>
        <v>471.89239871617241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1.1232268462820543</v>
      </c>
      <c r="AV102" s="21">
        <f>EXP(-LN(2)/25)*AV101+(1-EXP(-LN(2)/25))/(LN(2)/25)*Calculateur!AQ102*Calculateur!AS102*VLOOKUP('Données projet'!$B$10,Paramètres!$A$1:$I$89,3,0)*0.475*44/12</f>
        <v>3.6346380606897744</v>
      </c>
      <c r="AW102" s="21">
        <f>EXP(-LN(2)/2)*AW101+(1-EXP(-LN(2)/2))/(LN(2)/2)*AQ102*AT102*VLOOKUP('Données projet'!$B$10,Paramètres!$A$1:$I$89,3,0)*0.475*44/12</f>
        <v>3.8081289264676863E-10</v>
      </c>
      <c r="AX102" s="21">
        <f t="shared" si="60"/>
        <v>4.7578649073526416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6.7984728957526396E-14</v>
      </c>
      <c r="P103" s="13">
        <f t="shared" si="87"/>
        <v>1.0682447123141398E-12</v>
      </c>
      <c r="Q103" s="20">
        <f t="shared" si="107"/>
        <v>1.978932943548152E-12</v>
      </c>
      <c r="R103" s="59">
        <f t="shared" si="55"/>
        <v>293.3333333333353</v>
      </c>
      <c r="S103" s="59">
        <f ca="1">AVERAGE(OFFSET($R$3,0,0,'Données projet'!$E$9+1,1))-AVERAGE(OFFSET($H$3,0,0,'Données projet'!$E$9+1,1))</f>
        <v>255.24521135682858</v>
      </c>
      <c r="T103" s="59">
        <f t="shared" si="88"/>
        <v>254.36590349790589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3.854724603887643</v>
      </c>
      <c r="AA103" s="21">
        <f>EXP(-LN(2)/25)*AA102+(1-EXP(-LN(2)/25))/(LN(2)/25)*Calculateur!V103*Calculateur!X103*VLOOKUP('Données projet'!$B$9,Paramètres!$A$1:$I$89,3,0)*0.475*44/12</f>
        <v>1.8511748423589709</v>
      </c>
      <c r="AB103" s="21">
        <f>EXP(-LN(2)/2)*AB102+(1-EXP(-LN(2)/2))/(LN(2)/2)*V103*Y103*VLOOKUP('Données projet'!$B$9,Paramètres!$A$1:$I$89,3,0)*0.475*44/12</f>
        <v>1.6155409290798154E-10</v>
      </c>
      <c r="AC103" s="22">
        <f t="shared" si="57"/>
        <v>5.7058994464081678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-1.2710188457276673E-13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378.17323480030268</v>
      </c>
      <c r="AO103" s="59">
        <f t="shared" si="90"/>
        <v>471.89239871617241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1.1012010529271914</v>
      </c>
      <c r="AV103" s="21">
        <f>EXP(-LN(2)/25)*AV102+(1-EXP(-LN(2)/25))/(LN(2)/25)*Calculateur!AQ103*Calculateur!AS103*VLOOKUP('Données projet'!$B$10,Paramètres!$A$1:$I$89,3,0)*0.475*44/12</f>
        <v>3.535248691782904</v>
      </c>
      <c r="AW103" s="21">
        <f>EXP(-LN(2)/2)*AW102+(1-EXP(-LN(2)/2))/(LN(2)/2)*AQ103*AT103*VLOOKUP('Données projet'!$B$10,Paramètres!$A$1:$I$89,3,0)*0.475*44/12</f>
        <v>2.6927537875379484E-10</v>
      </c>
      <c r="AX103" s="21">
        <f t="shared" si="60"/>
        <v>4.6364497449793705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6.7984728957526396E-14</v>
      </c>
      <c r="P104" s="13">
        <f t="shared" si="87"/>
        <v>1.0682447123141398E-12</v>
      </c>
      <c r="Q104" s="20">
        <f t="shared" si="107"/>
        <v>1.978932943548152E-12</v>
      </c>
      <c r="R104" s="59">
        <f t="shared" si="55"/>
        <v>293.3333333333353</v>
      </c>
      <c r="S104" s="59">
        <f ca="1">AVERAGE(OFFSET($R$3,0,0,'Données projet'!$E$9+1,1))-AVERAGE(OFFSET($H$3,0,0,'Données projet'!$E$9+1,1))</f>
        <v>255.24521135682858</v>
      </c>
      <c r="T104" s="59">
        <f t="shared" si="88"/>
        <v>254.36590349790589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3.7791358055552582</v>
      </c>
      <c r="AA104" s="21">
        <f>EXP(-LN(2)/25)*AA103+(1-EXP(-LN(2)/25))/(LN(2)/25)*Calculateur!V104*Calculateur!X104*VLOOKUP('Données projet'!$B$9,Paramètres!$A$1:$I$89,3,0)*0.475*44/12</f>
        <v>1.8005543689456107</v>
      </c>
      <c r="AB104" s="21">
        <f>EXP(-LN(2)/2)*AB103+(1-EXP(-LN(2)/2))/(LN(2)/2)*V104*Y104*VLOOKUP('Données projet'!$B$9,Paramètres!$A$1:$I$89,3,0)*0.475*44/12</f>
        <v>1.1423599462367528E-10</v>
      </c>
      <c r="AC104" s="22">
        <f t="shared" si="57"/>
        <v>5.5796901746151049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-1.2710188457276673E-13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378.17323480030268</v>
      </c>
      <c r="AO104" s="59">
        <f t="shared" si="90"/>
        <v>471.89239871617241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1.07960717194561</v>
      </c>
      <c r="AV104" s="21">
        <f>EXP(-LN(2)/25)*AV103+(1-EXP(-LN(2)/25))/(LN(2)/25)*Calculateur!AQ104*Calculateur!AS104*VLOOKUP('Données projet'!$B$10,Paramètres!$A$1:$I$89,3,0)*0.475*44/12</f>
        <v>3.4385771303954518</v>
      </c>
      <c r="AW104" s="21">
        <f>EXP(-LN(2)/2)*AW103+(1-EXP(-LN(2)/2))/(LN(2)/2)*AQ104*AT104*VLOOKUP('Données projet'!$B$10,Paramètres!$A$1:$I$89,3,0)*0.475*44/12</f>
        <v>1.9040644632338432E-10</v>
      </c>
      <c r="AX104" s="21">
        <f t="shared" si="60"/>
        <v>4.518184302531469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6.7984728957526396E-14</v>
      </c>
      <c r="P105" s="13">
        <f t="shared" si="87"/>
        <v>1.0682447123141398E-12</v>
      </c>
      <c r="Q105" s="20">
        <f t="shared" si="107"/>
        <v>1.978932943548152E-12</v>
      </c>
      <c r="R105" s="59">
        <f t="shared" si="55"/>
        <v>293.3333333333353</v>
      </c>
      <c r="S105" s="59">
        <f ca="1">AVERAGE(OFFSET($R$3,0,0,'Données projet'!$E$9+1,1))-AVERAGE(OFFSET($H$3,0,0,'Données projet'!$E$9+1,1))</f>
        <v>255.24521135682858</v>
      </c>
      <c r="T105" s="59">
        <f t="shared" si="88"/>
        <v>254.36590349790589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3.7050292574535568</v>
      </c>
      <c r="AA105" s="21">
        <f>EXP(-LN(2)/25)*AA104+(1-EXP(-LN(2)/25))/(LN(2)/25)*Calculateur!V105*Calculateur!X105*VLOOKUP('Données projet'!$B$9,Paramètres!$A$1:$I$89,3,0)*0.475*44/12</f>
        <v>1.7513181150397539</v>
      </c>
      <c r="AB105" s="21">
        <f>EXP(-LN(2)/2)*AB104+(1-EXP(-LN(2)/2))/(LN(2)/2)*V105*Y105*VLOOKUP('Données projet'!$B$9,Paramètres!$A$1:$I$89,3,0)*0.475*44/12</f>
        <v>8.0777046453990782E-11</v>
      </c>
      <c r="AC105" s="22">
        <f t="shared" si="57"/>
        <v>5.4563473725740881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-1.2710188457276673E-13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378.17323480030268</v>
      </c>
      <c r="AO105" s="59">
        <f t="shared" si="90"/>
        <v>471.89239871617241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1.0584367337991105</v>
      </c>
      <c r="AV105" s="21">
        <f>EXP(-LN(2)/25)*AV104+(1-EXP(-LN(2)/25))/(LN(2)/25)*Calculateur!AQ105*Calculateur!AS105*VLOOKUP('Données projet'!$B$10,Paramètres!$A$1:$I$89,3,0)*0.475*44/12</f>
        <v>3.3445490579378756</v>
      </c>
      <c r="AW105" s="21">
        <f>EXP(-LN(2)/2)*AW104+(1-EXP(-LN(2)/2))/(LN(2)/2)*AQ105*AT105*VLOOKUP('Données projet'!$B$10,Paramètres!$A$1:$I$89,3,0)*0.475*44/12</f>
        <v>1.3463768937689742E-10</v>
      </c>
      <c r="AX105" s="21">
        <f t="shared" si="60"/>
        <v>4.4029857918716244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6.7984728957526396E-14</v>
      </c>
      <c r="P106" s="13">
        <f t="shared" si="87"/>
        <v>1.0682447123141398E-12</v>
      </c>
      <c r="Q106" s="20">
        <f t="shared" si="107"/>
        <v>1.978932943548152E-12</v>
      </c>
      <c r="R106" s="59">
        <f t="shared" si="55"/>
        <v>293.3333333333353</v>
      </c>
      <c r="S106" s="59">
        <f ca="1">AVERAGE(OFFSET($R$3,0,0,'Données projet'!$E$9+1,1))-AVERAGE(OFFSET($H$3,0,0,'Données projet'!$E$9+1,1))</f>
        <v>255.24521135682858</v>
      </c>
      <c r="T106" s="59">
        <f t="shared" si="88"/>
        <v>254.36590349790589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3.6323758935595984</v>
      </c>
      <c r="AA106" s="21">
        <f>EXP(-LN(2)/25)*AA105+(1-EXP(-LN(2)/25))/(LN(2)/25)*Calculateur!V106*Calculateur!X106*VLOOKUP('Données projet'!$B$9,Paramètres!$A$1:$I$89,3,0)*0.475*44/12</f>
        <v>1.7034282290861749</v>
      </c>
      <c r="AB106" s="21">
        <f>EXP(-LN(2)/2)*AB105+(1-EXP(-LN(2)/2))/(LN(2)/2)*V106*Y106*VLOOKUP('Données projet'!$B$9,Paramètres!$A$1:$I$89,3,0)*0.475*44/12</f>
        <v>5.7117997311837649E-11</v>
      </c>
      <c r="AC106" s="22">
        <f t="shared" si="57"/>
        <v>5.335804122702891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-1.2710188457276673E-13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378.17323480030268</v>
      </c>
      <c r="AO106" s="59">
        <f t="shared" si="90"/>
        <v>471.89239871617241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1.0376814350319716</v>
      </c>
      <c r="AV106" s="21">
        <f>EXP(-LN(2)/25)*AV105+(1-EXP(-LN(2)/25))/(LN(2)/25)*Calculateur!AQ106*Calculateur!AS106*VLOOKUP('Données projet'!$B$10,Paramètres!$A$1:$I$89,3,0)*0.475*44/12</f>
        <v>3.2530921880663737</v>
      </c>
      <c r="AW106" s="21">
        <f>EXP(-LN(2)/2)*AW105+(1-EXP(-LN(2)/2))/(LN(2)/2)*AQ106*AT106*VLOOKUP('Données projet'!$B$10,Paramètres!$A$1:$I$89,3,0)*0.475*44/12</f>
        <v>9.5203223161692159E-11</v>
      </c>
      <c r="AX106" s="21">
        <f t="shared" si="60"/>
        <v>4.290773623193548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6.7984728957526396E-14</v>
      </c>
      <c r="P107" s="13">
        <f t="shared" si="87"/>
        <v>1.0682447123141398E-12</v>
      </c>
      <c r="Q107" s="20">
        <f t="shared" si="107"/>
        <v>1.978932943548152E-12</v>
      </c>
      <c r="R107" s="59">
        <f t="shared" si="55"/>
        <v>293.3333333333353</v>
      </c>
      <c r="S107" s="59">
        <f ca="1">AVERAGE(OFFSET($R$3,0,0,'Données projet'!$E$9+1,1))-AVERAGE(OFFSET($H$3,0,0,'Données projet'!$E$9+1,1))</f>
        <v>255.24521135682858</v>
      </c>
      <c r="T107" s="59">
        <f t="shared" si="88"/>
        <v>254.36590349790589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3.5611472178174242</v>
      </c>
      <c r="AA107" s="21">
        <f>EXP(-LN(2)/25)*AA106+(1-EXP(-LN(2)/25))/(LN(2)/25)*Calculateur!V107*Calculateur!X107*VLOOKUP('Données projet'!$B$9,Paramètres!$A$1:$I$89,3,0)*0.475*44/12</f>
        <v>1.6568478945824161</v>
      </c>
      <c r="AB107" s="21">
        <f>EXP(-LN(2)/2)*AB106+(1-EXP(-LN(2)/2))/(LN(2)/2)*V107*Y107*VLOOKUP('Données projet'!$B$9,Paramètres!$A$1:$I$89,3,0)*0.475*44/12</f>
        <v>4.0388523226995397E-11</v>
      </c>
      <c r="AC107" s="22">
        <f t="shared" si="57"/>
        <v>5.2179951124402288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-1.2710188457276673E-13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378.17323480030268</v>
      </c>
      <c r="AO107" s="59">
        <f t="shared" si="90"/>
        <v>471.89239871617241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1.0173331350141741</v>
      </c>
      <c r="AV107" s="21">
        <f>EXP(-LN(2)/25)*AV106+(1-EXP(-LN(2)/25))/(LN(2)/25)*Calculateur!AQ107*Calculateur!AS107*VLOOKUP('Données projet'!$B$10,Paramètres!$A$1:$I$89,3,0)*0.475*44/12</f>
        <v>3.1641362111110154</v>
      </c>
      <c r="AW107" s="21">
        <f>EXP(-LN(2)/2)*AW106+(1-EXP(-LN(2)/2))/(LN(2)/2)*AQ107*AT107*VLOOKUP('Données projet'!$B$10,Paramètres!$A$1:$I$89,3,0)*0.475*44/12</f>
        <v>6.7318844688448709E-11</v>
      </c>
      <c r="AX107" s="21">
        <f t="shared" si="60"/>
        <v>4.1814693461925083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6.7984728957526396E-14</v>
      </c>
      <c r="P108" s="13">
        <f t="shared" si="87"/>
        <v>1.0682447123141398E-12</v>
      </c>
      <c r="Q108" s="20">
        <f t="shared" si="107"/>
        <v>1.978932943548152E-12</v>
      </c>
      <c r="R108" s="59">
        <f t="shared" si="55"/>
        <v>293.3333333333353</v>
      </c>
      <c r="S108" s="59">
        <f ca="1">AVERAGE(OFFSET($R$3,0,0,'Données projet'!$E$9+1,1))-AVERAGE(OFFSET($H$3,0,0,'Données projet'!$E$9+1,1))</f>
        <v>255.24521135682858</v>
      </c>
      <c r="T108" s="59">
        <f t="shared" si="88"/>
        <v>254.36590349790589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3.4913152929613518</v>
      </c>
      <c r="AA108" s="21">
        <f>EXP(-LN(2)/25)*AA107+(1-EXP(-LN(2)/25))/(LN(2)/25)*Calculateur!V108*Calculateur!X108*VLOOKUP('Données projet'!$B$9,Paramètres!$A$1:$I$89,3,0)*0.475*44/12</f>
        <v>1.611541301775216</v>
      </c>
      <c r="AB108" s="21">
        <f>EXP(-LN(2)/2)*AB107+(1-EXP(-LN(2)/2))/(LN(2)/2)*V108*Y108*VLOOKUP('Données projet'!$B$9,Paramètres!$A$1:$I$89,3,0)*0.475*44/12</f>
        <v>2.8558998655918828E-11</v>
      </c>
      <c r="AC108" s="22">
        <f t="shared" si="57"/>
        <v>5.102856594765127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-1.2710188457276673E-13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378.17323480030268</v>
      </c>
      <c r="AO108" s="59">
        <f t="shared" si="90"/>
        <v>471.89239871617241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0.99738385274848806</v>
      </c>
      <c r="AV108" s="21">
        <f>EXP(-LN(2)/25)*AV107+(1-EXP(-LN(2)/25))/(LN(2)/25)*Calculateur!AQ108*Calculateur!AS108*VLOOKUP('Données projet'!$B$10,Paramètres!$A$1:$I$89,3,0)*0.475*44/12</f>
        <v>3.0776127400234929</v>
      </c>
      <c r="AW108" s="21">
        <f>EXP(-LN(2)/2)*AW107+(1-EXP(-LN(2)/2))/(LN(2)/2)*AQ108*AT108*VLOOKUP('Données projet'!$B$10,Paramètres!$A$1:$I$89,3,0)*0.475*44/12</f>
        <v>4.7601611580846079E-11</v>
      </c>
      <c r="AX108" s="21">
        <f t="shared" si="60"/>
        <v>4.0749965928195833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6.7984728957526396E-14</v>
      </c>
      <c r="P109" s="13">
        <f t="shared" si="87"/>
        <v>1.0682447123141398E-12</v>
      </c>
      <c r="Q109" s="20">
        <f t="shared" si="107"/>
        <v>1.978932943548152E-12</v>
      </c>
      <c r="R109" s="59">
        <f t="shared" si="55"/>
        <v>293.3333333333353</v>
      </c>
      <c r="S109" s="59">
        <f ca="1">AVERAGE(OFFSET($R$3,0,0,'Données projet'!$E$9+1,1))-AVERAGE(OFFSET($H$3,0,0,'Données projet'!$E$9+1,1))</f>
        <v>255.24521135682858</v>
      </c>
      <c r="T109" s="59">
        <f t="shared" si="88"/>
        <v>254.36590349790589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3.4228527295584383</v>
      </c>
      <c r="AA109" s="21">
        <f>EXP(-LN(2)/25)*AA108+(1-EXP(-LN(2)/25))/(LN(2)/25)*Calculateur!V109*Calculateur!X109*VLOOKUP('Données projet'!$B$9,Paramètres!$A$1:$I$89,3,0)*0.475*44/12</f>
        <v>1.567473620130899</v>
      </c>
      <c r="AB109" s="21">
        <f>EXP(-LN(2)/2)*AB108+(1-EXP(-LN(2)/2))/(LN(2)/2)*V109*Y109*VLOOKUP('Données projet'!$B$9,Paramètres!$A$1:$I$89,3,0)*0.475*44/12</f>
        <v>2.0194261613497702E-11</v>
      </c>
      <c r="AC109" s="22">
        <f t="shared" si="57"/>
        <v>4.990326349709532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-1.2710188457276673E-13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378.17323480030268</v>
      </c>
      <c r="AO109" s="59">
        <f t="shared" si="90"/>
        <v>471.89239871617241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0.97782576374017138</v>
      </c>
      <c r="AV109" s="21">
        <f>EXP(-LN(2)/25)*AV108+(1-EXP(-LN(2)/25))/(LN(2)/25)*Calculateur!AQ109*Calculateur!AS109*VLOOKUP('Données projet'!$B$10,Paramètres!$A$1:$I$89,3,0)*0.475*44/12</f>
        <v>2.9934552578029305</v>
      </c>
      <c r="AW109" s="21">
        <f>EXP(-LN(2)/2)*AW108+(1-EXP(-LN(2)/2))/(LN(2)/2)*AQ109*AT109*VLOOKUP('Données projet'!$B$10,Paramètres!$A$1:$I$89,3,0)*0.475*44/12</f>
        <v>3.3659422344224354E-11</v>
      </c>
      <c r="AX109" s="21">
        <f t="shared" si="60"/>
        <v>3.9712810215767611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6.7984728957526396E-14</v>
      </c>
      <c r="P110" s="13">
        <f t="shared" si="87"/>
        <v>1.0682447123141398E-12</v>
      </c>
      <c r="Q110" s="20">
        <f t="shared" si="107"/>
        <v>1.978932943548152E-12</v>
      </c>
      <c r="R110" s="59">
        <f t="shared" si="55"/>
        <v>293.3333333333353</v>
      </c>
      <c r="S110" s="59">
        <f ca="1">AVERAGE(OFFSET($R$3,0,0,'Données projet'!$E$9+1,1))-AVERAGE(OFFSET($H$3,0,0,'Données projet'!$E$9+1,1))</f>
        <v>255.24521135682858</v>
      </c>
      <c r="T110" s="59">
        <f t="shared" si="88"/>
        <v>254.36590349790589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3.3557326752658159</v>
      </c>
      <c r="AA110" s="21">
        <f>EXP(-LN(2)/25)*AA109+(1-EXP(-LN(2)/25))/(LN(2)/25)*Calculateur!V110*Calculateur!X110*VLOOKUP('Données projet'!$B$9,Paramètres!$A$1:$I$89,3,0)*0.475*44/12</f>
        <v>1.5246109715585643</v>
      </c>
      <c r="AB110" s="21">
        <f>EXP(-LN(2)/2)*AB109+(1-EXP(-LN(2)/2))/(LN(2)/2)*V110*Y110*VLOOKUP('Données projet'!$B$9,Paramètres!$A$1:$I$89,3,0)*0.475*44/12</f>
        <v>1.4279499327959417E-11</v>
      </c>
      <c r="AC110" s="22">
        <f t="shared" si="57"/>
        <v>4.8803436468386598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-1.2710188457276673E-13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378.17323480030268</v>
      </c>
      <c r="AO110" s="59">
        <f t="shared" si="90"/>
        <v>471.89239871617241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0.95865119692805145</v>
      </c>
      <c r="AV110" s="21">
        <f>EXP(-LN(2)/25)*AV109+(1-EXP(-LN(2)/25))/(LN(2)/25)*Calculateur!AQ110*Calculateur!AS110*VLOOKUP('Données projet'!$B$10,Paramètres!$A$1:$I$89,3,0)*0.475*44/12</f>
        <v>2.9115990663593392</v>
      </c>
      <c r="AW110" s="21">
        <f>EXP(-LN(2)/2)*AW109+(1-EXP(-LN(2)/2))/(LN(2)/2)*AQ110*AT110*VLOOKUP('Données projet'!$B$10,Paramètres!$A$1:$I$89,3,0)*0.475*44/12</f>
        <v>2.380080579042304E-11</v>
      </c>
      <c r="AX110" s="21">
        <f t="shared" si="60"/>
        <v>3.8702502633111915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6.7984728957526396E-14</v>
      </c>
      <c r="P111" s="13">
        <f t="shared" si="87"/>
        <v>1.0682447123141398E-12</v>
      </c>
      <c r="Q111" s="20">
        <f t="shared" si="107"/>
        <v>1.978932943548152E-12</v>
      </c>
      <c r="R111" s="59">
        <f t="shared" si="55"/>
        <v>293.3333333333353</v>
      </c>
      <c r="S111" s="59">
        <f ca="1">AVERAGE(OFFSET($R$3,0,0,'Données projet'!$E$9+1,1))-AVERAGE(OFFSET($H$3,0,0,'Données projet'!$E$9+1,1))</f>
        <v>255.24521135682858</v>
      </c>
      <c r="T111" s="59">
        <f t="shared" si="88"/>
        <v>254.36590349790589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3.2899288042986807</v>
      </c>
      <c r="AA111" s="21">
        <f>EXP(-LN(2)/25)*AA110+(1-EXP(-LN(2)/25))/(LN(2)/25)*Calculateur!V111*Calculateur!X111*VLOOKUP('Données projet'!$B$9,Paramètres!$A$1:$I$89,3,0)*0.475*44/12</f>
        <v>1.4829204043654889</v>
      </c>
      <c r="AB111" s="21">
        <f>EXP(-LN(2)/2)*AB110+(1-EXP(-LN(2)/2))/(LN(2)/2)*V111*Y111*VLOOKUP('Données projet'!$B$9,Paramètres!$A$1:$I$89,3,0)*0.475*44/12</f>
        <v>1.0097130806748853E-11</v>
      </c>
      <c r="AC111" s="22">
        <f t="shared" si="57"/>
        <v>4.7728492086742662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-1.2710188457276673E-13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378.17323480030268</v>
      </c>
      <c r="AO111" s="59">
        <f t="shared" si="90"/>
        <v>471.89239871617241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0.93985263167578625</v>
      </c>
      <c r="AV111" s="21">
        <f>EXP(-LN(2)/25)*AV110+(1-EXP(-LN(2)/25))/(LN(2)/25)*Calculateur!AQ111*Calculateur!AS111*VLOOKUP('Données projet'!$B$10,Paramètres!$A$1:$I$89,3,0)*0.475*44/12</f>
        <v>2.8319812367754027</v>
      </c>
      <c r="AW111" s="21">
        <f>EXP(-LN(2)/2)*AW110+(1-EXP(-LN(2)/2))/(LN(2)/2)*AQ111*AT111*VLOOKUP('Données projet'!$B$10,Paramètres!$A$1:$I$89,3,0)*0.475*44/12</f>
        <v>1.6829711172112177E-11</v>
      </c>
      <c r="AX111" s="21">
        <f t="shared" si="60"/>
        <v>3.7718338684680188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6.7984728957526396E-14</v>
      </c>
      <c r="P112" s="13">
        <f t="shared" si="87"/>
        <v>1.0682447123141398E-12</v>
      </c>
      <c r="Q112" s="20">
        <f t="shared" si="107"/>
        <v>1.978932943548152E-12</v>
      </c>
      <c r="R112" s="59">
        <f t="shared" si="55"/>
        <v>293.3333333333353</v>
      </c>
      <c r="S112" s="59">
        <f ca="1">AVERAGE(OFFSET($R$3,0,0,'Données projet'!$E$9+1,1))-AVERAGE(OFFSET($H$3,0,0,'Données projet'!$E$9+1,1))</f>
        <v>255.24521135682858</v>
      </c>
      <c r="T112" s="59">
        <f t="shared" si="88"/>
        <v>254.36590349790589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3.2254153071048131</v>
      </c>
      <c r="AA112" s="21">
        <f>EXP(-LN(2)/25)*AA111+(1-EXP(-LN(2)/25))/(LN(2)/25)*Calculateur!V112*Calculateur!X112*VLOOKUP('Données projet'!$B$9,Paramètres!$A$1:$I$89,3,0)*0.475*44/12</f>
        <v>1.4423698679247199</v>
      </c>
      <c r="AB112" s="21">
        <f>EXP(-LN(2)/2)*AB111+(1-EXP(-LN(2)/2))/(LN(2)/2)*V112*Y112*VLOOKUP('Données projet'!$B$9,Paramètres!$A$1:$I$89,3,0)*0.475*44/12</f>
        <v>7.1397496639797093E-12</v>
      </c>
      <c r="AC112" s="22">
        <f t="shared" si="57"/>
        <v>4.6677851750366726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-1.2710188457276673E-13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378.17323480030268</v>
      </c>
      <c r="AO112" s="59">
        <f t="shared" si="90"/>
        <v>471.89239871617241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0.92142269482212535</v>
      </c>
      <c r="AV112" s="21">
        <f>EXP(-LN(2)/25)*AV111+(1-EXP(-LN(2)/25))/(LN(2)/25)*Calculateur!AQ112*Calculateur!AS112*VLOOKUP('Données projet'!$B$10,Paramètres!$A$1:$I$89,3,0)*0.475*44/12</f>
        <v>2.7545405609283589</v>
      </c>
      <c r="AW112" s="21">
        <f>EXP(-LN(2)/2)*AW111+(1-EXP(-LN(2)/2))/(LN(2)/2)*AQ112*AT112*VLOOKUP('Données projet'!$B$10,Paramètres!$A$1:$I$89,3,0)*0.475*44/12</f>
        <v>1.190040289521152E-11</v>
      </c>
      <c r="AX112" s="21">
        <f t="shared" si="60"/>
        <v>3.6759632557623845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6.7984728957526396E-14</v>
      </c>
      <c r="P113" s="13">
        <f t="shared" si="87"/>
        <v>1.0682447123141398E-12</v>
      </c>
      <c r="Q113" s="20">
        <f t="shared" si="107"/>
        <v>1.978932943548152E-12</v>
      </c>
      <c r="R113" s="59">
        <f t="shared" si="55"/>
        <v>293.3333333333353</v>
      </c>
      <c r="S113" s="59">
        <f ca="1">AVERAGE(OFFSET($R$3,0,0,'Données projet'!$E$9+1,1))-AVERAGE(OFFSET($H$3,0,0,'Données projet'!$E$9+1,1))</f>
        <v>255.24521135682858</v>
      </c>
      <c r="T113" s="59">
        <f t="shared" si="88"/>
        <v>254.36590349790589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3.1621668802415694</v>
      </c>
      <c r="AA113" s="21">
        <f>EXP(-LN(2)/25)*AA112+(1-EXP(-LN(2)/25))/(LN(2)/25)*Calculateur!V113*Calculateur!X113*VLOOKUP('Données projet'!$B$9,Paramètres!$A$1:$I$89,3,0)*0.475*44/12</f>
        <v>1.4029281880353837</v>
      </c>
      <c r="AB113" s="21">
        <f>EXP(-LN(2)/2)*AB112+(1-EXP(-LN(2)/2))/(LN(2)/2)*V113*Y113*VLOOKUP('Données projet'!$B$9,Paramètres!$A$1:$I$89,3,0)*0.475*44/12</f>
        <v>5.0485654033744271E-12</v>
      </c>
      <c r="AC113" s="22">
        <f t="shared" si="57"/>
        <v>4.5650950682820017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-1.2710188457276673E-13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378.17323480030268</v>
      </c>
      <c r="AO113" s="59">
        <f t="shared" si="90"/>
        <v>471.89239871617241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0.90335415778901318</v>
      </c>
      <c r="AV113" s="21">
        <f>EXP(-LN(2)/25)*AV112+(1-EXP(-LN(2)/25))/(LN(2)/25)*Calculateur!AQ113*Calculateur!AS113*VLOOKUP('Données projet'!$B$10,Paramètres!$A$1:$I$89,3,0)*0.475*44/12</f>
        <v>2.6792175044347806</v>
      </c>
      <c r="AW113" s="21">
        <f>EXP(-LN(2)/2)*AW112+(1-EXP(-LN(2)/2))/(LN(2)/2)*AQ113*AT113*VLOOKUP('Données projet'!$B$10,Paramètres!$A$1:$I$89,3,0)*0.475*44/12</f>
        <v>8.4148555860560886E-12</v>
      </c>
      <c r="AX113" s="21">
        <f t="shared" si="60"/>
        <v>3.5825716622322088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6.7984728957526396E-14</v>
      </c>
      <c r="P114" s="13">
        <f t="shared" si="87"/>
        <v>1.0682447123141398E-12</v>
      </c>
      <c r="Q114" s="20">
        <f t="shared" si="107"/>
        <v>1.978932943548152E-12</v>
      </c>
      <c r="R114" s="59">
        <f t="shared" si="55"/>
        <v>293.3333333333353</v>
      </c>
      <c r="S114" s="59">
        <f ca="1">AVERAGE(OFFSET($R$3,0,0,'Données projet'!$E$9+1,1))-AVERAGE(OFFSET($H$3,0,0,'Données projet'!$E$9+1,1))</f>
        <v>255.24521135682858</v>
      </c>
      <c r="T114" s="59">
        <f t="shared" si="88"/>
        <v>254.36590349790589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3.1001587164513826</v>
      </c>
      <c r="AA114" s="21">
        <f>EXP(-LN(2)/25)*AA113+(1-EXP(-LN(2)/25))/(LN(2)/25)*Calculateur!V114*Calculateur!X114*VLOOKUP('Données projet'!$B$9,Paramètres!$A$1:$I$89,3,0)*0.475*44/12</f>
        <v>1.3645650429567691</v>
      </c>
      <c r="AB114" s="21">
        <f>EXP(-LN(2)/2)*AB113+(1-EXP(-LN(2)/2))/(LN(2)/2)*V114*Y114*VLOOKUP('Données projet'!$B$9,Paramètres!$A$1:$I$89,3,0)*0.475*44/12</f>
        <v>3.5698748319898555E-12</v>
      </c>
      <c r="AC114" s="22">
        <f t="shared" si="57"/>
        <v>4.4647237594117213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-1.2710188457276673E-13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378.17323480030268</v>
      </c>
      <c r="AO114" s="59">
        <f t="shared" si="90"/>
        <v>471.89239871617241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0.88563993374640093</v>
      </c>
      <c r="AV114" s="21">
        <f>EXP(-LN(2)/25)*AV113+(1-EXP(-LN(2)/25))/(LN(2)/25)*Calculateur!AQ114*Calculateur!AS114*VLOOKUP('Données projet'!$B$10,Paramètres!$A$1:$I$89,3,0)*0.475*44/12</f>
        <v>2.6059541608820864</v>
      </c>
      <c r="AW114" s="21">
        <f>EXP(-LN(2)/2)*AW113+(1-EXP(-LN(2)/2))/(LN(2)/2)*AQ114*AT114*VLOOKUP('Données projet'!$B$10,Paramètres!$A$1:$I$89,3,0)*0.475*44/12</f>
        <v>5.9502014476057599E-12</v>
      </c>
      <c r="AX114" s="21">
        <f t="shared" si="60"/>
        <v>3.4915940946344377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6.7984728957526396E-14</v>
      </c>
      <c r="P115" s="13">
        <f t="shared" si="87"/>
        <v>1.0682447123141398E-12</v>
      </c>
      <c r="Q115" s="20">
        <f t="shared" si="107"/>
        <v>1.978932943548152E-12</v>
      </c>
      <c r="R115" s="59">
        <f t="shared" si="55"/>
        <v>293.3333333333353</v>
      </c>
      <c r="S115" s="59">
        <f ca="1">AVERAGE(OFFSET($R$3,0,0,'Données projet'!$E$9+1,1))-AVERAGE(OFFSET($H$3,0,0,'Données projet'!$E$9+1,1))</f>
        <v>255.24521135682858</v>
      </c>
      <c r="T115" s="59">
        <f t="shared" si="88"/>
        <v>254.36590349790589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3.0393664949318762</v>
      </c>
      <c r="AA115" s="21">
        <f>EXP(-LN(2)/25)*AA114+(1-EXP(-LN(2)/25))/(LN(2)/25)*Calculateur!V115*Calculateur!X115*VLOOKUP('Données projet'!$B$9,Paramètres!$A$1:$I$89,3,0)*0.475*44/12</f>
        <v>1.3272509400977595</v>
      </c>
      <c r="AB115" s="21">
        <f>EXP(-LN(2)/2)*AB114+(1-EXP(-LN(2)/2))/(LN(2)/2)*V115*Y115*VLOOKUP('Données projet'!$B$9,Paramètres!$A$1:$I$89,3,0)*0.475*44/12</f>
        <v>2.524282701687214E-12</v>
      </c>
      <c r="AC115" s="22">
        <f t="shared" si="57"/>
        <v>4.3666174350321594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-1.2710188457276673E-13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378.17323480030268</v>
      </c>
      <c r="AO115" s="59">
        <f t="shared" si="90"/>
        <v>471.89239871617241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0.86827307483265459</v>
      </c>
      <c r="AV115" s="21">
        <f>EXP(-LN(2)/25)*AV114+(1-EXP(-LN(2)/25))/(LN(2)/25)*Calculateur!AQ115*Calculateur!AS115*VLOOKUP('Données projet'!$B$10,Paramètres!$A$1:$I$89,3,0)*0.475*44/12</f>
        <v>2.5346942073115923</v>
      </c>
      <c r="AW115" s="21">
        <f>EXP(-LN(2)/2)*AW114+(1-EXP(-LN(2)/2))/(LN(2)/2)*AQ115*AT115*VLOOKUP('Données projet'!$B$10,Paramètres!$A$1:$I$89,3,0)*0.475*44/12</f>
        <v>4.2074277930280443E-12</v>
      </c>
      <c r="AX115" s="21">
        <f t="shared" si="60"/>
        <v>3.4029672821484542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6.7984728957526396E-14</v>
      </c>
      <c r="P116" s="13">
        <f t="shared" si="87"/>
        <v>1.0682447123141398E-12</v>
      </c>
      <c r="Q116" s="20">
        <f t="shared" si="107"/>
        <v>1.978932943548152E-12</v>
      </c>
      <c r="R116" s="59">
        <f t="shared" si="55"/>
        <v>293.3333333333353</v>
      </c>
      <c r="S116" s="59">
        <f ca="1">AVERAGE(OFFSET($R$3,0,0,'Données projet'!$E$9+1,1))-AVERAGE(OFFSET($H$3,0,0,'Données projet'!$E$9+1,1))</f>
        <v>255.24521135682858</v>
      </c>
      <c r="T116" s="59">
        <f t="shared" si="88"/>
        <v>254.36590349790589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2.9797663717967735</v>
      </c>
      <c r="AA116" s="21">
        <f>EXP(-LN(2)/25)*AA115+(1-EXP(-LN(2)/25))/(LN(2)/25)*Calculateur!V116*Calculateur!X116*VLOOKUP('Données projet'!$B$9,Paramètres!$A$1:$I$89,3,0)*0.475*44/12</f>
        <v>1.2909571933436927</v>
      </c>
      <c r="AB116" s="21">
        <f>EXP(-LN(2)/2)*AB115+(1-EXP(-LN(2)/2))/(LN(2)/2)*V116*Y116*VLOOKUP('Données projet'!$B$9,Paramètres!$A$1:$I$89,3,0)*0.475*44/12</f>
        <v>1.7849374159949279E-12</v>
      </c>
      <c r="AC116" s="22">
        <f t="shared" si="57"/>
        <v>4.2707235651422515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-1.2710188457276673E-13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378.17323480030268</v>
      </c>
      <c r="AO116" s="59">
        <f t="shared" si="90"/>
        <v>471.89239871617241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0.85124676942946875</v>
      </c>
      <c r="AV116" s="21">
        <f>EXP(-LN(2)/25)*AV115+(1-EXP(-LN(2)/25))/(LN(2)/25)*Calculateur!AQ116*Calculateur!AS116*VLOOKUP('Données projet'!$B$10,Paramètres!$A$1:$I$89,3,0)*0.475*44/12</f>
        <v>2.4653828609188815</v>
      </c>
      <c r="AW116" s="21">
        <f>EXP(-LN(2)/2)*AW115+(1-EXP(-LN(2)/2))/(LN(2)/2)*AQ116*AT116*VLOOKUP('Données projet'!$B$10,Paramètres!$A$1:$I$89,3,0)*0.475*44/12</f>
        <v>2.97510072380288E-12</v>
      </c>
      <c r="AX116" s="21">
        <f t="shared" si="60"/>
        <v>3.3166296303513252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6.7984728957526396E-14</v>
      </c>
      <c r="P117" s="13">
        <f t="shared" si="87"/>
        <v>1.0682447123141398E-12</v>
      </c>
      <c r="Q117" s="20">
        <f t="shared" si="107"/>
        <v>1.978932943548152E-12</v>
      </c>
      <c r="R117" s="59">
        <f t="shared" si="55"/>
        <v>293.3333333333353</v>
      </c>
      <c r="S117" s="59">
        <f ca="1">AVERAGE(OFFSET($R$3,0,0,'Données projet'!$E$9+1,1))-AVERAGE(OFFSET($H$3,0,0,'Données projet'!$E$9+1,1))</f>
        <v>255.24521135682858</v>
      </c>
      <c r="T117" s="59">
        <f t="shared" si="88"/>
        <v>254.36590349790589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2.9213349707238647</v>
      </c>
      <c r="AA117" s="21">
        <f>EXP(-LN(2)/25)*AA116+(1-EXP(-LN(2)/25))/(LN(2)/25)*Calculateur!V117*Calculateur!X117*VLOOKUP('Données projet'!$B$9,Paramètres!$A$1:$I$89,3,0)*0.475*44/12</f>
        <v>1.2556559010032211</v>
      </c>
      <c r="AB117" s="21">
        <f>EXP(-LN(2)/2)*AB116+(1-EXP(-LN(2)/2))/(LN(2)/2)*V117*Y117*VLOOKUP('Données projet'!$B$9,Paramètres!$A$1:$I$89,3,0)*0.475*44/12</f>
        <v>1.2621413508436072E-12</v>
      </c>
      <c r="AC117" s="22">
        <f t="shared" si="57"/>
        <v>4.1769908717283482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-1.2710188457276673E-13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378.17323480030268</v>
      </c>
      <c r="AO117" s="59">
        <f t="shared" si="90"/>
        <v>471.89239871617241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0.83455433949021851</v>
      </c>
      <c r="AV117" s="21">
        <f>EXP(-LN(2)/25)*AV116+(1-EXP(-LN(2)/25))/(LN(2)/25)*Calculateur!AQ117*Calculateur!AS117*VLOOKUP('Données projet'!$B$10,Paramètres!$A$1:$I$89,3,0)*0.475*44/12</f>
        <v>2.3979668369382048</v>
      </c>
      <c r="AW117" s="21">
        <f>EXP(-LN(2)/2)*AW116+(1-EXP(-LN(2)/2))/(LN(2)/2)*AQ117*AT117*VLOOKUP('Données projet'!$B$10,Paramètres!$A$1:$I$89,3,0)*0.475*44/12</f>
        <v>2.1037138965140222E-12</v>
      </c>
      <c r="AX117" s="21">
        <f t="shared" si="60"/>
        <v>3.2325211764305268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6.7984728957526396E-14</v>
      </c>
      <c r="P118" s="13">
        <f t="shared" si="87"/>
        <v>1.0682447123141398E-12</v>
      </c>
      <c r="Q118" s="20">
        <f t="shared" si="107"/>
        <v>1.978932943548152E-12</v>
      </c>
      <c r="R118" s="59">
        <f t="shared" si="55"/>
        <v>293.3333333333353</v>
      </c>
      <c r="S118" s="59">
        <f ca="1">AVERAGE(OFFSET($R$3,0,0,'Données projet'!$E$9+1,1))-AVERAGE(OFFSET($H$3,0,0,'Données projet'!$E$9+1,1))</f>
        <v>255.24521135682858</v>
      </c>
      <c r="T118" s="59">
        <f t="shared" si="88"/>
        <v>254.36590349790589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2.8640493737863602</v>
      </c>
      <c r="AA118" s="21">
        <f>EXP(-LN(2)/25)*AA117+(1-EXP(-LN(2)/25))/(LN(2)/25)*Calculateur!V118*Calculateur!X118*VLOOKUP('Données projet'!$B$9,Paramètres!$A$1:$I$89,3,0)*0.475*44/12</f>
        <v>1.221319924358214</v>
      </c>
      <c r="AB118" s="21">
        <f>EXP(-LN(2)/2)*AB117+(1-EXP(-LN(2)/2))/(LN(2)/2)*V118*Y118*VLOOKUP('Données projet'!$B$9,Paramètres!$A$1:$I$89,3,0)*0.475*44/12</f>
        <v>8.9246870799746407E-13</v>
      </c>
      <c r="AC118" s="22">
        <f t="shared" si="57"/>
        <v>4.0853692981454666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-1.2710188457276673E-13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378.17323480030268</v>
      </c>
      <c r="AO118" s="59">
        <f t="shared" si="90"/>
        <v>471.89239871617241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0.81818923792070009</v>
      </c>
      <c r="AV118" s="21">
        <f>EXP(-LN(2)/25)*AV117+(1-EXP(-LN(2)/25))/(LN(2)/25)*Calculateur!AQ118*Calculateur!AS118*VLOOKUP('Données projet'!$B$10,Paramètres!$A$1:$I$89,3,0)*0.475*44/12</f>
        <v>2.3323943076785341</v>
      </c>
      <c r="AW118" s="21">
        <f>EXP(-LN(2)/2)*AW117+(1-EXP(-LN(2)/2))/(LN(2)/2)*AQ118*AT118*VLOOKUP('Données projet'!$B$10,Paramètres!$A$1:$I$89,3,0)*0.475*44/12</f>
        <v>1.48755036190144E-12</v>
      </c>
      <c r="AX118" s="21">
        <f t="shared" si="60"/>
        <v>3.1505835456007221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6.7984728957526396E-14</v>
      </c>
      <c r="P119" s="13">
        <f t="shared" si="87"/>
        <v>1.0682447123141398E-12</v>
      </c>
      <c r="Q119" s="20">
        <f t="shared" si="107"/>
        <v>1.978932943548152E-12</v>
      </c>
      <c r="R119" s="59">
        <f t="shared" si="55"/>
        <v>293.3333333333353</v>
      </c>
      <c r="S119" s="59">
        <f ca="1">AVERAGE(OFFSET($R$3,0,0,'Données projet'!$E$9+1,1))-AVERAGE(OFFSET($H$3,0,0,'Données projet'!$E$9+1,1))</f>
        <v>255.24521135682858</v>
      </c>
      <c r="T119" s="59">
        <f t="shared" si="88"/>
        <v>254.36590349790589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2.8078871124640359</v>
      </c>
      <c r="AA119" s="21">
        <f>EXP(-LN(2)/25)*AA118+(1-EXP(-LN(2)/25))/(LN(2)/25)*Calculateur!V119*Calculateur!X119*VLOOKUP('Données projet'!$B$9,Paramètres!$A$1:$I$89,3,0)*0.475*44/12</f>
        <v>1.1879228668002153</v>
      </c>
      <c r="AB119" s="21">
        <f>EXP(-LN(2)/2)*AB118+(1-EXP(-LN(2)/2))/(LN(2)/2)*V119*Y119*VLOOKUP('Données projet'!$B$9,Paramètres!$A$1:$I$89,3,0)*0.475*44/12</f>
        <v>6.3107067542180369E-13</v>
      </c>
      <c r="AC119" s="22">
        <f t="shared" si="57"/>
        <v>3.9958099792648825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-1.2710188457276673E-13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378.17323480030268</v>
      </c>
      <c r="AO119" s="59">
        <f t="shared" si="90"/>
        <v>471.89239871617241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0.8021450460112336</v>
      </c>
      <c r="AV119" s="21">
        <f>EXP(-LN(2)/25)*AV118+(1-EXP(-LN(2)/25))/(LN(2)/25)*Calculateur!AQ119*Calculateur!AS119*VLOOKUP('Données projet'!$B$10,Paramètres!$A$1:$I$89,3,0)*0.475*44/12</f>
        <v>2.2686148626797786</v>
      </c>
      <c r="AW119" s="21">
        <f>EXP(-LN(2)/2)*AW118+(1-EXP(-LN(2)/2))/(LN(2)/2)*AQ119*AT119*VLOOKUP('Données projet'!$B$10,Paramètres!$A$1:$I$89,3,0)*0.475*44/12</f>
        <v>1.0518569482570111E-12</v>
      </c>
      <c r="AX119" s="21">
        <f t="shared" si="60"/>
        <v>3.0707599086920641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6.7984728957526396E-14</v>
      </c>
      <c r="P120" s="13">
        <f t="shared" si="87"/>
        <v>1.0682447123141398E-12</v>
      </c>
      <c r="Q120" s="20">
        <f t="shared" si="107"/>
        <v>1.978932943548152E-12</v>
      </c>
      <c r="R120" s="59">
        <f t="shared" si="55"/>
        <v>293.3333333333353</v>
      </c>
      <c r="S120" s="59">
        <f ca="1">AVERAGE(OFFSET($R$3,0,0,'Données projet'!$E$9+1,1))-AVERAGE(OFFSET($H$3,0,0,'Données projet'!$E$9+1,1))</f>
        <v>255.24521135682858</v>
      </c>
      <c r="T120" s="59">
        <f t="shared" si="88"/>
        <v>254.36590349790589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2.7528261588306453</v>
      </c>
      <c r="AA120" s="21">
        <f>EXP(-LN(2)/25)*AA119+(1-EXP(-LN(2)/25))/(LN(2)/25)*Calculateur!V120*Calculateur!X120*VLOOKUP('Données projet'!$B$9,Paramètres!$A$1:$I$89,3,0)*0.475*44/12</f>
        <v>1.1554390535374148</v>
      </c>
      <c r="AB120" s="21">
        <f>EXP(-LN(2)/2)*AB119+(1-EXP(-LN(2)/2))/(LN(2)/2)*V120*Y120*VLOOKUP('Données projet'!$B$9,Paramètres!$A$1:$I$89,3,0)*0.475*44/12</f>
        <v>4.4623435399873214E-13</v>
      </c>
      <c r="AC120" s="22">
        <f t="shared" si="57"/>
        <v>3.9082652123685064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-1.2710188457276673E-13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378.17323480030268</v>
      </c>
      <c r="AO120" s="59">
        <f t="shared" si="90"/>
        <v>471.89239871617241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0.7864154709191209</v>
      </c>
      <c r="AV120" s="21">
        <f>EXP(-LN(2)/25)*AV119+(1-EXP(-LN(2)/25))/(LN(2)/25)*Calculateur!AQ120*Calculateur!AS120*VLOOKUP('Données projet'!$B$10,Paramètres!$A$1:$I$89,3,0)*0.475*44/12</f>
        <v>2.2065794699585295</v>
      </c>
      <c r="AW120" s="21">
        <f>EXP(-LN(2)/2)*AW119+(1-EXP(-LN(2)/2))/(LN(2)/2)*AQ120*AT120*VLOOKUP('Données projet'!$B$10,Paramètres!$A$1:$I$89,3,0)*0.475*44/12</f>
        <v>7.4377518095071999E-13</v>
      </c>
      <c r="AX120" s="21">
        <f t="shared" si="60"/>
        <v>2.9929949408783942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6.7984728957526396E-14</v>
      </c>
      <c r="P121" s="13">
        <f t="shared" si="87"/>
        <v>1.0682447123141398E-12</v>
      </c>
      <c r="Q121" s="20">
        <f t="shared" si="107"/>
        <v>1.978932943548152E-12</v>
      </c>
      <c r="R121" s="59">
        <f t="shared" si="55"/>
        <v>293.3333333333353</v>
      </c>
      <c r="S121" s="59">
        <f ca="1">AVERAGE(OFFSET($R$3,0,0,'Données projet'!$E$9+1,1))-AVERAGE(OFFSET($H$3,0,0,'Données projet'!$E$9+1,1))</f>
        <v>255.24521135682858</v>
      </c>
      <c r="T121" s="59">
        <f t="shared" si="88"/>
        <v>254.36590349790589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2.69884491691414</v>
      </c>
      <c r="AA121" s="21">
        <f>EXP(-LN(2)/25)*AA120+(1-EXP(-LN(2)/25))/(LN(2)/25)*Calculateur!V121*Calculateur!X121*VLOOKUP('Données projet'!$B$9,Paramètres!$A$1:$I$89,3,0)*0.475*44/12</f>
        <v>1.1238435118565351</v>
      </c>
      <c r="AB121" s="21">
        <f>EXP(-LN(2)/2)*AB120+(1-EXP(-LN(2)/2))/(LN(2)/2)*V121*Y121*VLOOKUP('Données projet'!$B$9,Paramètres!$A$1:$I$89,3,0)*0.475*44/12</f>
        <v>3.155353377109019E-13</v>
      </c>
      <c r="AC121" s="22">
        <f t="shared" si="57"/>
        <v>3.822688428770991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-1.2710188457276673E-13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378.17323480030268</v>
      </c>
      <c r="AO121" s="59">
        <f t="shared" si="90"/>
        <v>471.89239871617241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0.77099434320047111</v>
      </c>
      <c r="AV121" s="21">
        <f>EXP(-LN(2)/25)*AV120+(1-EXP(-LN(2)/25))/(LN(2)/25)*Calculateur!AQ121*Calculateur!AS121*VLOOKUP('Données projet'!$B$10,Paramètres!$A$1:$I$89,3,0)*0.475*44/12</f>
        <v>2.1462404383135425</v>
      </c>
      <c r="AW121" s="21">
        <f>EXP(-LN(2)/2)*AW120+(1-EXP(-LN(2)/2))/(LN(2)/2)*AQ121*AT121*VLOOKUP('Données projet'!$B$10,Paramètres!$A$1:$I$89,3,0)*0.475*44/12</f>
        <v>5.2592847412850554E-13</v>
      </c>
      <c r="AX121" s="21">
        <f t="shared" si="60"/>
        <v>2.9172347815145394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6.7984728957526396E-14</v>
      </c>
      <c r="P122" s="13">
        <f t="shared" si="87"/>
        <v>1.0682447123141398E-12</v>
      </c>
      <c r="Q122" s="20">
        <f t="shared" si="107"/>
        <v>1.978932943548152E-12</v>
      </c>
      <c r="R122" s="59">
        <f t="shared" si="55"/>
        <v>293.3333333333353</v>
      </c>
      <c r="S122" s="59">
        <f ca="1">AVERAGE(OFFSET($R$3,0,0,'Données projet'!$E$9+1,1))-AVERAGE(OFFSET($H$3,0,0,'Données projet'!$E$9+1,1))</f>
        <v>255.24521135682858</v>
      </c>
      <c r="T122" s="59">
        <f t="shared" si="88"/>
        <v>254.36590349790589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2.645922214226311</v>
      </c>
      <c r="AA122" s="21">
        <f>EXP(-LN(2)/25)*AA121+(1-EXP(-LN(2)/25))/(LN(2)/25)*Calculateur!V122*Calculateur!X122*VLOOKUP('Données projet'!$B$9,Paramètres!$A$1:$I$89,3,0)*0.475*44/12</f>
        <v>1.0931119519244563</v>
      </c>
      <c r="AB122" s="21">
        <f>EXP(-LN(2)/2)*AB121+(1-EXP(-LN(2)/2))/(LN(2)/2)*V122*Y122*VLOOKUP('Données projet'!$B$9,Paramètres!$A$1:$I$89,3,0)*0.475*44/12</f>
        <v>2.2311717699936609E-13</v>
      </c>
      <c r="AC122" s="22">
        <f t="shared" si="57"/>
        <v>3.73903416615099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-1.2710188457276673E-13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378.17323480030268</v>
      </c>
      <c r="AO122" s="59">
        <f t="shared" si="90"/>
        <v>471.89239871617241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0.75587561439042494</v>
      </c>
      <c r="AV122" s="21">
        <f>EXP(-LN(2)/25)*AV121+(1-EXP(-LN(2)/25))/(LN(2)/25)*Calculateur!AQ122*Calculateur!AS122*VLOOKUP('Données projet'!$B$10,Paramètres!$A$1:$I$89,3,0)*0.475*44/12</f>
        <v>2.0875513806619792</v>
      </c>
      <c r="AW122" s="21">
        <f>EXP(-LN(2)/2)*AW121+(1-EXP(-LN(2)/2))/(LN(2)/2)*AQ122*AT122*VLOOKUP('Données projet'!$B$10,Paramètres!$A$1:$I$89,3,0)*0.475*44/12</f>
        <v>3.7188759047535999E-13</v>
      </c>
      <c r="AX122" s="21">
        <f t="shared" si="60"/>
        <v>2.8434269950527757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6.7984728957526396E-14</v>
      </c>
      <c r="P123" s="13">
        <f t="shared" si="87"/>
        <v>1.0682447123141398E-12</v>
      </c>
      <c r="Q123" s="20">
        <f t="shared" si="107"/>
        <v>1.978932943548152E-12</v>
      </c>
      <c r="R123" s="59">
        <f t="shared" si="55"/>
        <v>293.3333333333353</v>
      </c>
      <c r="S123" s="59">
        <f ca="1">AVERAGE(OFFSET($R$3,0,0,'Données projet'!$E$9+1,1))-AVERAGE(OFFSET($H$3,0,0,'Données projet'!$E$9+1,1))</f>
        <v>255.24521135682858</v>
      </c>
      <c r="T123" s="59">
        <f t="shared" si="88"/>
        <v>254.36590349790589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2.5940372934585292</v>
      </c>
      <c r="AA123" s="21">
        <f>EXP(-LN(2)/25)*AA122+(1-EXP(-LN(2)/25))/(LN(2)/25)*Calculateur!V123*Calculateur!X123*VLOOKUP('Données projet'!$B$9,Paramètres!$A$1:$I$89,3,0)*0.475*44/12</f>
        <v>1.0632207481148228</v>
      </c>
      <c r="AB123" s="21">
        <f>EXP(-LN(2)/2)*AB122+(1-EXP(-LN(2)/2))/(LN(2)/2)*V123*Y123*VLOOKUP('Données projet'!$B$9,Paramètres!$A$1:$I$89,3,0)*0.475*44/12</f>
        <v>1.5776766885545097E-13</v>
      </c>
      <c r="AC123" s="22">
        <f t="shared" si="57"/>
        <v>3.6572580415735096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-1.2710188457276673E-13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378.17323480030268</v>
      </c>
      <c r="AO123" s="59">
        <f t="shared" si="90"/>
        <v>471.89239871617241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0.74105335463082966</v>
      </c>
      <c r="AV123" s="21">
        <f>EXP(-LN(2)/25)*AV122+(1-EXP(-LN(2)/25))/(LN(2)/25)*Calculateur!AQ123*Calculateur!AS123*VLOOKUP('Données projet'!$B$10,Paramètres!$A$1:$I$89,3,0)*0.475*44/12</f>
        <v>2.0304671783782213</v>
      </c>
      <c r="AW123" s="21">
        <f>EXP(-LN(2)/2)*AW122+(1-EXP(-LN(2)/2))/(LN(2)/2)*AQ123*AT123*VLOOKUP('Données projet'!$B$10,Paramètres!$A$1:$I$89,3,0)*0.475*44/12</f>
        <v>2.6296423706425277E-13</v>
      </c>
      <c r="AX123" s="21">
        <f t="shared" si="60"/>
        <v>2.7715205330093138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6.7984728957526396E-14</v>
      </c>
      <c r="P124" s="13">
        <f t="shared" si="87"/>
        <v>1.0682447123141398E-12</v>
      </c>
      <c r="Q124" s="20">
        <f t="shared" si="107"/>
        <v>1.978932943548152E-12</v>
      </c>
      <c r="R124" s="59">
        <f t="shared" si="55"/>
        <v>293.3333333333353</v>
      </c>
      <c r="S124" s="59">
        <f ca="1">AVERAGE(OFFSET($R$3,0,0,'Données projet'!$E$9+1,1))-AVERAGE(OFFSET($H$3,0,0,'Données projet'!$E$9+1,1))</f>
        <v>255.24521135682858</v>
      </c>
      <c r="T124" s="59">
        <f t="shared" si="88"/>
        <v>254.36590349790589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2.5431698043403266</v>
      </c>
      <c r="AA124" s="21">
        <f>EXP(-LN(2)/25)*AA123+(1-EXP(-LN(2)/25))/(LN(2)/25)*Calculateur!V124*Calculateur!X124*VLOOKUP('Données projet'!$B$9,Paramètres!$A$1:$I$89,3,0)*0.475*44/12</f>
        <v>1.0341469208452738</v>
      </c>
      <c r="AB124" s="21">
        <f>EXP(-LN(2)/2)*AB123+(1-EXP(-LN(2)/2))/(LN(2)/2)*V124*Y124*VLOOKUP('Données projet'!$B$9,Paramètres!$A$1:$I$89,3,0)*0.475*44/12</f>
        <v>1.1155858849968307E-13</v>
      </c>
      <c r="AC124" s="22">
        <f t="shared" si="57"/>
        <v>3.5773167251857116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-1.2710188457276673E-13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378.17323480030268</v>
      </c>
      <c r="AO124" s="59">
        <f t="shared" si="90"/>
        <v>471.89239871617241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0.72652175034443434</v>
      </c>
      <c r="AV124" s="21">
        <f>EXP(-LN(2)/25)*AV123+(1-EXP(-LN(2)/25))/(LN(2)/25)*Calculateur!AQ124*Calculateur!AS124*VLOOKUP('Données projet'!$B$10,Paramètres!$A$1:$I$89,3,0)*0.475*44/12</f>
        <v>1.9749439466078407</v>
      </c>
      <c r="AW124" s="21">
        <f>EXP(-LN(2)/2)*AW123+(1-EXP(-LN(2)/2))/(LN(2)/2)*AQ124*AT124*VLOOKUP('Données projet'!$B$10,Paramètres!$A$1:$I$89,3,0)*0.475*44/12</f>
        <v>1.8594379523768E-13</v>
      </c>
      <c r="AX124" s="21">
        <f t="shared" si="60"/>
        <v>2.7014656969524613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6.7984728957526396E-14</v>
      </c>
      <c r="P125" s="13">
        <f t="shared" si="87"/>
        <v>1.0682447123141398E-12</v>
      </c>
      <c r="Q125" s="20">
        <f t="shared" si="107"/>
        <v>1.978932943548152E-12</v>
      </c>
      <c r="R125" s="59">
        <f t="shared" si="55"/>
        <v>293.3333333333353</v>
      </c>
      <c r="S125" s="59">
        <f ca="1">AVERAGE(OFFSET($R$3,0,0,'Données projet'!$E$9+1,1))-AVERAGE(OFFSET($H$3,0,0,'Données projet'!$E$9+1,1))</f>
        <v>255.24521135682858</v>
      </c>
      <c r="T125" s="59">
        <f t="shared" si="88"/>
        <v>254.36590349790589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2.4932997956576273</v>
      </c>
      <c r="AA125" s="21">
        <f>EXP(-LN(2)/25)*AA124+(1-EXP(-LN(2)/25))/(LN(2)/25)*Calculateur!V125*Calculateur!X125*VLOOKUP('Données projet'!$B$9,Paramètres!$A$1:$I$89,3,0)*0.475*44/12</f>
        <v>1.0058681189113368</v>
      </c>
      <c r="AB125" s="21">
        <f>EXP(-LN(2)/2)*AB124+(1-EXP(-LN(2)/2))/(LN(2)/2)*V125*Y125*VLOOKUP('Données projet'!$B$9,Paramètres!$A$1:$I$89,3,0)*0.475*44/12</f>
        <v>7.8883834427725499E-14</v>
      </c>
      <c r="AC125" s="22">
        <f t="shared" si="57"/>
        <v>3.4991679145690431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-1.2710188457276673E-13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378.17323480030268</v>
      </c>
      <c r="AO125" s="59">
        <f t="shared" si="90"/>
        <v>471.89239871617241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0.71227510195469179</v>
      </c>
      <c r="AV125" s="21">
        <f>EXP(-LN(2)/25)*AV124+(1-EXP(-LN(2)/25))/(LN(2)/25)*Calculateur!AQ125*Calculateur!AS125*VLOOKUP('Données projet'!$B$10,Paramètres!$A$1:$I$89,3,0)*0.475*44/12</f>
        <v>1.9209390005300608</v>
      </c>
      <c r="AW125" s="21">
        <f>EXP(-LN(2)/2)*AW124+(1-EXP(-LN(2)/2))/(LN(2)/2)*AQ125*AT125*VLOOKUP('Données projet'!$B$10,Paramètres!$A$1:$I$89,3,0)*0.475*44/12</f>
        <v>1.3148211853212638E-13</v>
      </c>
      <c r="AX125" s="21">
        <f t="shared" si="60"/>
        <v>2.6332141024848843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6.7984728957526396E-14</v>
      </c>
      <c r="P126" s="13">
        <f t="shared" si="87"/>
        <v>1.0682447123141398E-12</v>
      </c>
      <c r="Q126" s="20">
        <f t="shared" si="107"/>
        <v>1.978932943548152E-12</v>
      </c>
      <c r="R126" s="59">
        <f t="shared" si="55"/>
        <v>293.3333333333353</v>
      </c>
      <c r="S126" s="59">
        <f ca="1">AVERAGE(OFFSET($R$3,0,0,'Données projet'!$E$9+1,1))-AVERAGE(OFFSET($H$3,0,0,'Données projet'!$E$9+1,1))</f>
        <v>255.24521135682858</v>
      </c>
      <c r="T126" s="59">
        <f t="shared" si="88"/>
        <v>254.36590349790589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2.4444077074274939</v>
      </c>
      <c r="AA126" s="21">
        <f>EXP(-LN(2)/25)*AA125+(1-EXP(-LN(2)/25))/(LN(2)/25)*Calculateur!V126*Calculateur!X126*VLOOKUP('Données projet'!$B$9,Paramètres!$A$1:$I$89,3,0)*0.475*44/12</f>
        <v>0.97836260230340077</v>
      </c>
      <c r="AB126" s="21">
        <f>EXP(-LN(2)/2)*AB125+(1-EXP(-LN(2)/2))/(LN(2)/2)*V126*Y126*VLOOKUP('Données projet'!$B$9,Paramètres!$A$1:$I$89,3,0)*0.475*44/12</f>
        <v>5.5779294249841542E-14</v>
      </c>
      <c r="AC126" s="22">
        <f t="shared" si="57"/>
        <v>3.4227703097309505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-1.2710188457276673E-13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378.17323480030268</v>
      </c>
      <c r="AO126" s="59">
        <f t="shared" si="90"/>
        <v>471.89239871617241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0.69830782165027461</v>
      </c>
      <c r="AV126" s="21">
        <f>EXP(-LN(2)/25)*AV125+(1-EXP(-LN(2)/25))/(LN(2)/25)*Calculateur!AQ126*Calculateur!AS126*VLOOKUP('Données projet'!$B$10,Paramètres!$A$1:$I$89,3,0)*0.475*44/12</f>
        <v>1.8684108225427747</v>
      </c>
      <c r="AW126" s="21">
        <f>EXP(-LN(2)/2)*AW125+(1-EXP(-LN(2)/2))/(LN(2)/2)*AQ126*AT126*VLOOKUP('Données projet'!$B$10,Paramètres!$A$1:$I$89,3,0)*0.475*44/12</f>
        <v>9.2971897618839999E-14</v>
      </c>
      <c r="AX126" s="21">
        <f t="shared" si="60"/>
        <v>2.5667186441931422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6.7984728957526396E-14</v>
      </c>
      <c r="P127" s="13">
        <f t="shared" si="87"/>
        <v>1.0682447123141398E-12</v>
      </c>
      <c r="Q127" s="20">
        <f t="shared" si="107"/>
        <v>1.978932943548152E-12</v>
      </c>
      <c r="R127" s="59">
        <f t="shared" si="55"/>
        <v>293.3333333333353</v>
      </c>
      <c r="S127" s="59">
        <f ca="1">AVERAGE(OFFSET($R$3,0,0,'Données projet'!$E$9+1,1))-AVERAGE(OFFSET($H$3,0,0,'Données projet'!$E$9+1,1))</f>
        <v>255.24521135682858</v>
      </c>
      <c r="T127" s="59">
        <f t="shared" si="88"/>
        <v>254.36590349790589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2.3964743632263241</v>
      </c>
      <c r="AA127" s="21">
        <f>EXP(-LN(2)/25)*AA126+(1-EXP(-LN(2)/25))/(LN(2)/25)*Calculateur!V127*Calculateur!X127*VLOOKUP('Données projet'!$B$9,Paramètres!$A$1:$I$89,3,0)*0.475*44/12</f>
        <v>0.95160922549356108</v>
      </c>
      <c r="AB127" s="21">
        <f>EXP(-LN(2)/2)*AB126+(1-EXP(-LN(2)/2))/(LN(2)/2)*V127*Y127*VLOOKUP('Données projet'!$B$9,Paramètres!$A$1:$I$89,3,0)*0.475*44/12</f>
        <v>3.9441917213862756E-14</v>
      </c>
      <c r="AC127" s="22">
        <f t="shared" si="57"/>
        <v>3.3480835887199247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-1.2710188457276673E-13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378.17323480030268</v>
      </c>
      <c r="AO127" s="59">
        <f t="shared" si="90"/>
        <v>471.89239871617241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0.68461443119342724</v>
      </c>
      <c r="AV127" s="21">
        <f>EXP(-LN(2)/25)*AV126+(1-EXP(-LN(2)/25))/(LN(2)/25)*Calculateur!AQ127*Calculateur!AS127*VLOOKUP('Données projet'!$B$10,Paramètres!$A$1:$I$89,3,0)*0.475*44/12</f>
        <v>1.8173190303448876</v>
      </c>
      <c r="AW127" s="21">
        <f>EXP(-LN(2)/2)*AW126+(1-EXP(-LN(2)/2))/(LN(2)/2)*AQ127*AT127*VLOOKUP('Données projet'!$B$10,Paramètres!$A$1:$I$89,3,0)*0.475*44/12</f>
        <v>6.5741059266063192E-14</v>
      </c>
      <c r="AX127" s="21">
        <f t="shared" si="60"/>
        <v>2.5019334615383806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6.7984728957526396E-14</v>
      </c>
      <c r="P128" s="13">
        <f t="shared" si="87"/>
        <v>1.0682447123141398E-12</v>
      </c>
      <c r="Q128" s="20">
        <f t="shared" si="107"/>
        <v>1.978932943548152E-12</v>
      </c>
      <c r="R128" s="59">
        <f t="shared" si="55"/>
        <v>293.3333333333353</v>
      </c>
      <c r="S128" s="59">
        <f ca="1">AVERAGE(OFFSET($R$3,0,0,'Données projet'!$E$9+1,1))-AVERAGE(OFFSET($H$3,0,0,'Données projet'!$E$9+1,1))</f>
        <v>255.24521135682858</v>
      </c>
      <c r="T128" s="59">
        <f t="shared" si="88"/>
        <v>254.36590349790589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2.3494809626684861</v>
      </c>
      <c r="AA128" s="21">
        <f>EXP(-LN(2)/25)*AA127+(1-EXP(-LN(2)/25))/(LN(2)/25)*Calculateur!V128*Calculateur!X128*VLOOKUP('Données projet'!$B$9,Paramètres!$A$1:$I$89,3,0)*0.475*44/12</f>
        <v>0.92558742117948545</v>
      </c>
      <c r="AB128" s="21">
        <f>EXP(-LN(2)/2)*AB127+(1-EXP(-LN(2)/2))/(LN(2)/2)*V128*Y128*VLOOKUP('Données projet'!$B$9,Paramètres!$A$1:$I$89,3,0)*0.475*44/12</f>
        <v>2.7889647124920774E-14</v>
      </c>
      <c r="AC128" s="22">
        <f t="shared" si="57"/>
        <v>3.2750683838479993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-1.2710188457276673E-13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378.17323480030268</v>
      </c>
      <c r="AO128" s="59">
        <f t="shared" si="90"/>
        <v>471.89239871617241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0.67118955977129524</v>
      </c>
      <c r="AV128" s="21">
        <f>EXP(-LN(2)/25)*AV127+(1-EXP(-LN(2)/25))/(LN(2)/25)*Calculateur!AQ128*Calculateur!AS128*VLOOKUP('Données projet'!$B$10,Paramètres!$A$1:$I$89,3,0)*0.475*44/12</f>
        <v>1.7676243458914525</v>
      </c>
      <c r="AW128" s="21">
        <f>EXP(-LN(2)/2)*AW127+(1-EXP(-LN(2)/2))/(LN(2)/2)*AQ128*AT128*VLOOKUP('Données projet'!$B$10,Paramètres!$A$1:$I$89,3,0)*0.475*44/12</f>
        <v>4.6485948809419999E-14</v>
      </c>
      <c r="AX128" s="21">
        <f t="shared" si="60"/>
        <v>2.4388139056627942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6.7984728957526396E-14</v>
      </c>
      <c r="P129" s="13">
        <f t="shared" si="87"/>
        <v>1.0682447123141398E-12</v>
      </c>
      <c r="Q129" s="20">
        <f t="shared" si="107"/>
        <v>1.978932943548152E-12</v>
      </c>
      <c r="R129" s="59">
        <f t="shared" si="55"/>
        <v>293.3333333333353</v>
      </c>
      <c r="S129" s="59">
        <f ca="1">AVERAGE(OFFSET($R$3,0,0,'Données projet'!$E$9+1,1))-AVERAGE(OFFSET($H$3,0,0,'Données projet'!$E$9+1,1))</f>
        <v>255.24521135682858</v>
      </c>
      <c r="T129" s="59">
        <f t="shared" si="88"/>
        <v>254.36590349790589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2.3034090740324431</v>
      </c>
      <c r="AA129" s="21">
        <f>EXP(-LN(2)/25)*AA128+(1-EXP(-LN(2)/25))/(LN(2)/25)*Calculateur!V129*Calculateur!X129*VLOOKUP('Données projet'!$B$9,Paramètres!$A$1:$I$89,3,0)*0.475*44/12</f>
        <v>0.90027718447280536</v>
      </c>
      <c r="AB129" s="21">
        <f>EXP(-LN(2)/2)*AB128+(1-EXP(-LN(2)/2))/(LN(2)/2)*V129*Y129*VLOOKUP('Données projet'!$B$9,Paramètres!$A$1:$I$89,3,0)*0.475*44/12</f>
        <v>1.9720958606931381E-14</v>
      </c>
      <c r="AC129" s="22">
        <f t="shared" si="57"/>
        <v>3.2036862585052681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-1.2710188457276673E-13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378.17323480030268</v>
      </c>
      <c r="AO129" s="59">
        <f t="shared" si="90"/>
        <v>471.89239871617241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0.65802794188938818</v>
      </c>
      <c r="AV129" s="21">
        <f>EXP(-LN(2)/25)*AV128+(1-EXP(-LN(2)/25))/(LN(2)/25)*Calculateur!AQ129*Calculateur!AS129*VLOOKUP('Données projet'!$B$10,Paramètres!$A$1:$I$89,3,0)*0.475*44/12</f>
        <v>1.7192885651977263</v>
      </c>
      <c r="AW129" s="21">
        <f>EXP(-LN(2)/2)*AW128+(1-EXP(-LN(2)/2))/(LN(2)/2)*AQ129*AT129*VLOOKUP('Données projet'!$B$10,Paramètres!$A$1:$I$89,3,0)*0.475*44/12</f>
        <v>3.2870529633031596E-14</v>
      </c>
      <c r="AX129" s="21">
        <f t="shared" si="60"/>
        <v>2.3773165070871474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6.7984728957526396E-14</v>
      </c>
      <c r="P130" s="13">
        <f t="shared" si="87"/>
        <v>1.0682447123141398E-12</v>
      </c>
      <c r="Q130" s="20">
        <f t="shared" si="107"/>
        <v>1.978932943548152E-12</v>
      </c>
      <c r="R130" s="59">
        <f t="shared" si="55"/>
        <v>293.3333333333353</v>
      </c>
      <c r="S130" s="59">
        <f ca="1">AVERAGE(OFFSET($R$3,0,0,'Données projet'!$E$9+1,1))-AVERAGE(OFFSET($H$3,0,0,'Données projet'!$E$9+1,1))</f>
        <v>255.24521135682858</v>
      </c>
      <c r="T130" s="59">
        <f t="shared" si="88"/>
        <v>254.36590349790589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2.2582406270314759</v>
      </c>
      <c r="AA130" s="21">
        <f>EXP(-LN(2)/25)*AA129+(1-EXP(-LN(2)/25))/(LN(2)/25)*Calculateur!V130*Calculateur!X130*VLOOKUP('Données projet'!$B$9,Paramètres!$A$1:$I$89,3,0)*0.475*44/12</f>
        <v>0.87565905751987694</v>
      </c>
      <c r="AB130" s="21">
        <f>EXP(-LN(2)/2)*AB129+(1-EXP(-LN(2)/2))/(LN(2)/2)*V130*Y130*VLOOKUP('Données projet'!$B$9,Paramètres!$A$1:$I$89,3,0)*0.475*44/12</f>
        <v>1.394482356246039E-14</v>
      </c>
      <c r="AC130" s="22">
        <f t="shared" si="57"/>
        <v>3.1338996845513667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-1.2710188457276673E-13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378.17323480030268</v>
      </c>
      <c r="AO130" s="59">
        <f t="shared" si="90"/>
        <v>471.89239871617241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0.64512441530635112</v>
      </c>
      <c r="AV130" s="21">
        <f>EXP(-LN(2)/25)*AV129+(1-EXP(-LN(2)/25))/(LN(2)/25)*Calculateur!AQ130*Calculateur!AS130*VLOOKUP('Données projet'!$B$10,Paramètres!$A$1:$I$89,3,0)*0.475*44/12</f>
        <v>1.6722745289689382</v>
      </c>
      <c r="AW130" s="21">
        <f>EXP(-LN(2)/2)*AW129+(1-EXP(-LN(2)/2))/(LN(2)/2)*AQ130*AT130*VLOOKUP('Données projet'!$B$10,Paramètres!$A$1:$I$89,3,0)*0.475*44/12</f>
        <v>2.324297440471E-14</v>
      </c>
      <c r="AX130" s="21">
        <f t="shared" si="60"/>
        <v>2.3173989442753125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6.7984728957526396E-14</v>
      </c>
      <c r="P131" s="13">
        <f t="shared" si="87"/>
        <v>1.0682447123141398E-12</v>
      </c>
      <c r="Q131" s="20">
        <f t="shared" ref="Q131:Q153" si="108">(O131+P131)*0.475*44/12</f>
        <v>1.978932943548152E-12</v>
      </c>
      <c r="R131" s="59">
        <f t="shared" ref="R131:R194" si="109">Q131+(I131+J131)*44/12</f>
        <v>293.3333333333353</v>
      </c>
      <c r="S131" s="59">
        <f ca="1">AVERAGE(OFFSET($R$3,0,0,'Données projet'!$E$9+1,1))-AVERAGE(OFFSET($H$3,0,0,'Données projet'!$E$9+1,1))</f>
        <v>255.24521135682858</v>
      </c>
      <c r="T131" s="59">
        <f t="shared" si="88"/>
        <v>254.36590349790589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2.2139579057261649</v>
      </c>
      <c r="AA131" s="21">
        <f>EXP(-LN(2)/25)*AA130+(1-EXP(-LN(2)/25))/(LN(2)/25)*Calculateur!V131*Calculateur!X131*VLOOKUP('Données projet'!$B$9,Paramètres!$A$1:$I$89,3,0)*0.475*44/12</f>
        <v>0.85171411454308743</v>
      </c>
      <c r="AB131" s="21">
        <f>EXP(-LN(2)/2)*AB130+(1-EXP(-LN(2)/2))/(LN(2)/2)*V131*Y131*VLOOKUP('Données projet'!$B$9,Paramètres!$A$1:$I$89,3,0)*0.475*44/12</f>
        <v>9.8604793034656921E-15</v>
      </c>
      <c r="AC131" s="22">
        <f t="shared" si="57"/>
        <v>3.065672020269262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-1.2710188457276673E-13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378.17323480030268</v>
      </c>
      <c r="AO131" s="59">
        <f t="shared" si="90"/>
        <v>471.89239871617241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0.63247391900923333</v>
      </c>
      <c r="AV131" s="21">
        <f>EXP(-LN(2)/25)*AV130+(1-EXP(-LN(2)/25))/(LN(2)/25)*Calculateur!AQ131*Calculateur!AS131*VLOOKUP('Données projet'!$B$10,Paramètres!$A$1:$I$89,3,0)*0.475*44/12</f>
        <v>1.6265460940331873</v>
      </c>
      <c r="AW131" s="21">
        <f>EXP(-LN(2)/2)*AW130+(1-EXP(-LN(2)/2))/(LN(2)/2)*AQ131*AT131*VLOOKUP('Données projet'!$B$10,Paramètres!$A$1:$I$89,3,0)*0.475*44/12</f>
        <v>1.6435264816515798E-14</v>
      </c>
      <c r="AX131" s="21">
        <f t="shared" si="60"/>
        <v>2.2590200130424369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6.7984728957526396E-14</v>
      </c>
      <c r="P132" s="13">
        <f t="shared" si="87"/>
        <v>1.0682447123141398E-12</v>
      </c>
      <c r="Q132" s="20">
        <f t="shared" si="108"/>
        <v>1.978932943548152E-12</v>
      </c>
      <c r="R132" s="59">
        <f t="shared" si="109"/>
        <v>293.3333333333353</v>
      </c>
      <c r="S132" s="59">
        <f ca="1">AVERAGE(OFFSET($R$3,0,0,'Données projet'!$E$9+1,1))-AVERAGE(OFFSET($H$3,0,0,'Données projet'!$E$9+1,1))</f>
        <v>255.24521135682858</v>
      </c>
      <c r="T132" s="59">
        <f t="shared" si="88"/>
        <v>254.36590349790589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2.1705435415758583</v>
      </c>
      <c r="AA132" s="21">
        <f>EXP(-LN(2)/25)*AA131+(1-EXP(-LN(2)/25))/(LN(2)/25)*Calculateur!V132*Calculateur!X132*VLOOKUP('Données projet'!$B$9,Paramètres!$A$1:$I$89,3,0)*0.475*44/12</f>
        <v>0.82842394729120805</v>
      </c>
      <c r="AB132" s="21">
        <f>EXP(-LN(2)/2)*AB131+(1-EXP(-LN(2)/2))/(LN(2)/2)*V132*Y132*VLOOKUP('Données projet'!$B$9,Paramètres!$A$1:$I$89,3,0)*0.475*44/12</f>
        <v>6.9724117812301959E-15</v>
      </c>
      <c r="AC132" s="22">
        <f t="shared" ref="AC132:AC153" si="111">SUM(Z132:AB132)</f>
        <v>2.9989674888670734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-1.2710188457276673E-13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378.17323480030268</v>
      </c>
      <c r="AO132" s="59">
        <f t="shared" si="90"/>
        <v>471.89239871617241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0.62007149122846117</v>
      </c>
      <c r="AV132" s="21">
        <f>EXP(-LN(2)/25)*AV131+(1-EXP(-LN(2)/25))/(LN(2)/25)*Calculateur!AQ132*Calculateur!AS132*VLOOKUP('Données projet'!$B$10,Paramètres!$A$1:$I$89,3,0)*0.475*44/12</f>
        <v>1.5820681055555081</v>
      </c>
      <c r="AW132" s="21">
        <f>EXP(-LN(2)/2)*AW131+(1-EXP(-LN(2)/2))/(LN(2)/2)*AQ132*AT132*VLOOKUP('Données projet'!$B$10,Paramètres!$A$1:$I$89,3,0)*0.475*44/12</f>
        <v>1.1621487202355E-14</v>
      </c>
      <c r="AX132" s="21">
        <f t="shared" ref="AX132:AX153" si="114">SUM(AU132:AW132)</f>
        <v>2.2021395967839807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6.7984728957526396E-14</v>
      </c>
      <c r="P133" s="13">
        <f t="shared" ref="P133:P196" si="141">EXP(-1.0587+0.8836*LN(O133)+0.284)</f>
        <v>1.0682447123141398E-12</v>
      </c>
      <c r="Q133" s="20">
        <f t="shared" si="108"/>
        <v>1.978932943548152E-12</v>
      </c>
      <c r="R133" s="59">
        <f t="shared" si="109"/>
        <v>293.3333333333353</v>
      </c>
      <c r="S133" s="59">
        <f ca="1">AVERAGE(OFFSET($R$3,0,0,'Données projet'!$E$9+1,1))-AVERAGE(OFFSET($H$3,0,0,'Données projet'!$E$9+1,1))</f>
        <v>255.24521135682858</v>
      </c>
      <c r="T133" s="59">
        <f t="shared" ref="T133:T196" si="142">$T$3</f>
        <v>254.36590349790589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2.1279805066263915</v>
      </c>
      <c r="AA133" s="21">
        <f>EXP(-LN(2)/25)*AA132+(1-EXP(-LN(2)/25))/(LN(2)/25)*Calculateur!V133*Calculateur!X133*VLOOKUP('Données projet'!$B$9,Paramètres!$A$1:$I$89,3,0)*0.475*44/12</f>
        <v>0.80577065088760802</v>
      </c>
      <c r="AB133" s="21">
        <f>EXP(-LN(2)/2)*AB132+(1-EXP(-LN(2)/2))/(LN(2)/2)*V133*Y133*VLOOKUP('Données projet'!$B$9,Paramètres!$A$1:$I$89,3,0)*0.475*44/12</f>
        <v>4.9302396517328469E-15</v>
      </c>
      <c r="AC133" s="22">
        <f t="shared" si="111"/>
        <v>2.9337511575140045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-1.2710188457276673E-13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378.17323480030268</v>
      </c>
      <c r="AO133" s="59">
        <f t="shared" ref="AO133:AO196" si="144">$AO$3</f>
        <v>471.89239871617241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0.60791226749173588</v>
      </c>
      <c r="AV133" s="21">
        <f>EXP(-LN(2)/25)*AV132+(1-EXP(-LN(2)/25))/(LN(2)/25)*Calculateur!AQ133*Calculateur!AS133*VLOOKUP('Données projet'!$B$10,Paramètres!$A$1:$I$89,3,0)*0.475*44/12</f>
        <v>1.5388063700117469</v>
      </c>
      <c r="AW133" s="21">
        <f>EXP(-LN(2)/2)*AW132+(1-EXP(-LN(2)/2))/(LN(2)/2)*AQ133*AT133*VLOOKUP('Données projet'!$B$10,Paramètres!$A$1:$I$89,3,0)*0.475*44/12</f>
        <v>8.217632408257899E-15</v>
      </c>
      <c r="AX133" s="21">
        <f t="shared" si="114"/>
        <v>2.1467186375034912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6.7984728957526396E-14</v>
      </c>
      <c r="P134" s="13">
        <f t="shared" si="141"/>
        <v>1.0682447123141398E-12</v>
      </c>
      <c r="Q134" s="20">
        <f t="shared" si="108"/>
        <v>1.978932943548152E-12</v>
      </c>
      <c r="R134" s="59">
        <f t="shared" si="109"/>
        <v>293.3333333333353</v>
      </c>
      <c r="S134" s="59">
        <f ca="1">AVERAGE(OFFSET($R$3,0,0,'Données projet'!$E$9+1,1))-AVERAGE(OFFSET($H$3,0,0,'Données projet'!$E$9+1,1))</f>
        <v>255.24521135682858</v>
      </c>
      <c r="T134" s="59">
        <f t="shared" si="142"/>
        <v>254.36590349790589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2.0862521068313962</v>
      </c>
      <c r="AA134" s="21">
        <f>EXP(-LN(2)/25)*AA133+(1-EXP(-LN(2)/25))/(LN(2)/25)*Calculateur!V134*Calculateur!X134*VLOOKUP('Données projet'!$B$9,Paramètres!$A$1:$I$89,3,0)*0.475*44/12</f>
        <v>0.78373681006544949</v>
      </c>
      <c r="AB134" s="21">
        <f>EXP(-LN(2)/2)*AB133+(1-EXP(-LN(2)/2))/(LN(2)/2)*V134*Y134*VLOOKUP('Données projet'!$B$9,Paramètres!$A$1:$I$89,3,0)*0.475*44/12</f>
        <v>3.4862058906150988E-15</v>
      </c>
      <c r="AC134" s="22">
        <f t="shared" si="111"/>
        <v>2.8699889168968493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-1.2710188457276673E-13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378.17323480030268</v>
      </c>
      <c r="AO134" s="59">
        <f t="shared" si="144"/>
        <v>471.89239871617241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0.5959914787160937</v>
      </c>
      <c r="AV134" s="21">
        <f>EXP(-LN(2)/25)*AV133+(1-EXP(-LN(2)/25))/(LN(2)/25)*Calculateur!AQ134*Calculateur!AS134*VLOOKUP('Données projet'!$B$10,Paramètres!$A$1:$I$89,3,0)*0.475*44/12</f>
        <v>1.4967276289014657</v>
      </c>
      <c r="AW134" s="21">
        <f>EXP(-LN(2)/2)*AW133+(1-EXP(-LN(2)/2))/(LN(2)/2)*AQ134*AT134*VLOOKUP('Données projet'!$B$10,Paramètres!$A$1:$I$89,3,0)*0.475*44/12</f>
        <v>5.8107436011774999E-15</v>
      </c>
      <c r="AX134" s="21">
        <f t="shared" si="114"/>
        <v>2.0927191076175653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6.7984728957526396E-14</v>
      </c>
      <c r="P135" s="13">
        <f t="shared" si="141"/>
        <v>1.0682447123141398E-12</v>
      </c>
      <c r="Q135" s="20">
        <f t="shared" si="108"/>
        <v>1.978932943548152E-12</v>
      </c>
      <c r="R135" s="59">
        <f t="shared" si="109"/>
        <v>293.3333333333353</v>
      </c>
      <c r="S135" s="59">
        <f ca="1">AVERAGE(OFFSET($R$3,0,0,'Données projet'!$E$9+1,1))-AVERAGE(OFFSET($H$3,0,0,'Données projet'!$E$9+1,1))</f>
        <v>255.24521135682858</v>
      </c>
      <c r="T135" s="59">
        <f t="shared" si="142"/>
        <v>254.36590349790589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2.0453419755045701</v>
      </c>
      <c r="AA135" s="21">
        <f>EXP(-LN(2)/25)*AA134+(1-EXP(-LN(2)/25))/(LN(2)/25)*Calculateur!V135*Calculateur!X135*VLOOKUP('Données projet'!$B$9,Paramètres!$A$1:$I$89,3,0)*0.475*44/12</f>
        <v>0.76230548577928214</v>
      </c>
      <c r="AB135" s="21">
        <f>EXP(-LN(2)/2)*AB134+(1-EXP(-LN(2)/2))/(LN(2)/2)*V135*Y135*VLOOKUP('Données projet'!$B$9,Paramètres!$A$1:$I$89,3,0)*0.475*44/12</f>
        <v>2.4651198258664238E-15</v>
      </c>
      <c r="AC135" s="22">
        <f t="shared" si="111"/>
        <v>2.8076474612838549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-1.2710188457276673E-13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378.17323480030268</v>
      </c>
      <c r="AO135" s="59">
        <f t="shared" si="144"/>
        <v>471.89239871617241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0.58430444933737857</v>
      </c>
      <c r="AV135" s="21">
        <f>EXP(-LN(2)/25)*AV134+(1-EXP(-LN(2)/25))/(LN(2)/25)*Calculateur!AQ135*Calculateur!AS135*VLOOKUP('Données projet'!$B$10,Paramètres!$A$1:$I$89,3,0)*0.475*44/12</f>
        <v>1.45579953317967</v>
      </c>
      <c r="AW135" s="21">
        <f>EXP(-LN(2)/2)*AW134+(1-EXP(-LN(2)/2))/(LN(2)/2)*AQ135*AT135*VLOOKUP('Données projet'!$B$10,Paramètres!$A$1:$I$89,3,0)*0.475*44/12</f>
        <v>4.1088162041289495E-15</v>
      </c>
      <c r="AX135" s="21">
        <f t="shared" si="114"/>
        <v>2.0401039825170524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6.7984728957526396E-14</v>
      </c>
      <c r="P136" s="13">
        <f t="shared" si="141"/>
        <v>1.0682447123141398E-12</v>
      </c>
      <c r="Q136" s="20">
        <f t="shared" si="108"/>
        <v>1.978932943548152E-12</v>
      </c>
      <c r="R136" s="59">
        <f t="shared" si="109"/>
        <v>293.3333333333353</v>
      </c>
      <c r="S136" s="59">
        <f ca="1">AVERAGE(OFFSET($R$3,0,0,'Données projet'!$E$9+1,1))-AVERAGE(OFFSET($H$3,0,0,'Données projet'!$E$9+1,1))</f>
        <v>255.24521135682858</v>
      </c>
      <c r="T136" s="59">
        <f t="shared" si="142"/>
        <v>254.36590349790589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2.0052340669003468</v>
      </c>
      <c r="AA136" s="21">
        <f>EXP(-LN(2)/25)*AA135+(1-EXP(-LN(2)/25))/(LN(2)/25)*Calculateur!V136*Calculateur!X136*VLOOKUP('Données projet'!$B$9,Paramètres!$A$1:$I$89,3,0)*0.475*44/12</f>
        <v>0.74146020218274444</v>
      </c>
      <c r="AB136" s="21">
        <f>EXP(-LN(2)/2)*AB135+(1-EXP(-LN(2)/2))/(LN(2)/2)*V136*Y136*VLOOKUP('Données projet'!$B$9,Paramètres!$A$1:$I$89,3,0)*0.475*44/12</f>
        <v>1.7431029453075496E-15</v>
      </c>
      <c r="AC136" s="22">
        <f t="shared" si="111"/>
        <v>2.7466942690830929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-1.2710188457276673E-13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378.17323480030268</v>
      </c>
      <c r="AO136" s="59">
        <f t="shared" si="144"/>
        <v>471.89239871617241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0.57284659547639605</v>
      </c>
      <c r="AV136" s="21">
        <f>EXP(-LN(2)/25)*AV135+(1-EXP(-LN(2)/25))/(LN(2)/25)*Calculateur!AQ136*Calculateur!AS136*VLOOKUP('Données projet'!$B$10,Paramètres!$A$1:$I$89,3,0)*0.475*44/12</f>
        <v>1.4159906183877018</v>
      </c>
      <c r="AW136" s="21">
        <f>EXP(-LN(2)/2)*AW135+(1-EXP(-LN(2)/2))/(LN(2)/2)*AQ136*AT136*VLOOKUP('Données projet'!$B$10,Paramètres!$A$1:$I$89,3,0)*0.475*44/12</f>
        <v>2.90537180058875E-15</v>
      </c>
      <c r="AX136" s="21">
        <f t="shared" si="114"/>
        <v>1.9888372138641006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6.7984728957526396E-14</v>
      </c>
      <c r="P137" s="13">
        <f t="shared" si="141"/>
        <v>1.0682447123141398E-12</v>
      </c>
      <c r="Q137" s="20">
        <f t="shared" si="108"/>
        <v>1.978932943548152E-12</v>
      </c>
      <c r="R137" s="59">
        <f t="shared" si="109"/>
        <v>293.3333333333353</v>
      </c>
      <c r="S137" s="59">
        <f ca="1">AVERAGE(OFFSET($R$3,0,0,'Données projet'!$E$9+1,1))-AVERAGE(OFFSET($H$3,0,0,'Données projet'!$E$9+1,1))</f>
        <v>255.24521135682858</v>
      </c>
      <c r="T137" s="59">
        <f t="shared" si="142"/>
        <v>254.36590349790589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1.9659126499204436</v>
      </c>
      <c r="AA137" s="21">
        <f>EXP(-LN(2)/25)*AA136+(1-EXP(-LN(2)/25))/(LN(2)/25)*Calculateur!V137*Calculateur!X137*VLOOKUP('Données projet'!$B$9,Paramètres!$A$1:$I$89,3,0)*0.475*44/12</f>
        <v>0.72118493396235994</v>
      </c>
      <c r="AB137" s="21">
        <f>EXP(-LN(2)/2)*AB136+(1-EXP(-LN(2)/2))/(LN(2)/2)*V137*Y137*VLOOKUP('Données projet'!$B$9,Paramètres!$A$1:$I$89,3,0)*0.475*44/12</f>
        <v>1.2325599129332121E-15</v>
      </c>
      <c r="AC137" s="22">
        <f t="shared" si="111"/>
        <v>2.6870975838828048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-1.2710188457276673E-13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378.17323480030268</v>
      </c>
      <c r="AO137" s="59">
        <f t="shared" si="144"/>
        <v>471.89239871617241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0.56161342314102658</v>
      </c>
      <c r="AV137" s="21">
        <f>EXP(-LN(2)/25)*AV136+(1-EXP(-LN(2)/25))/(LN(2)/25)*Calculateur!AQ137*Calculateur!AS137*VLOOKUP('Données projet'!$B$10,Paramètres!$A$1:$I$89,3,0)*0.475*44/12</f>
        <v>1.3772702804641797</v>
      </c>
      <c r="AW137" s="21">
        <f>EXP(-LN(2)/2)*AW136+(1-EXP(-LN(2)/2))/(LN(2)/2)*AQ137*AT137*VLOOKUP('Données projet'!$B$10,Paramètres!$A$1:$I$89,3,0)*0.475*44/12</f>
        <v>2.0544081020644748E-15</v>
      </c>
      <c r="AX137" s="21">
        <f t="shared" si="114"/>
        <v>1.9388837036052082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6.7984728957526396E-14</v>
      </c>
      <c r="P138" s="13">
        <f t="shared" si="141"/>
        <v>1.0682447123141398E-12</v>
      </c>
      <c r="Q138" s="20">
        <f t="shared" si="108"/>
        <v>1.978932943548152E-12</v>
      </c>
      <c r="R138" s="59">
        <f t="shared" si="109"/>
        <v>293.3333333333353</v>
      </c>
      <c r="S138" s="59">
        <f ca="1">AVERAGE(OFFSET($R$3,0,0,'Données projet'!$E$9+1,1))-AVERAGE(OFFSET($H$3,0,0,'Données projet'!$E$9+1,1))</f>
        <v>255.24521135682858</v>
      </c>
      <c r="T138" s="59">
        <f t="shared" si="142"/>
        <v>254.36590349790589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1.92736230194382</v>
      </c>
      <c r="AA138" s="21">
        <f>EXP(-LN(2)/25)*AA137+(1-EXP(-LN(2)/25))/(LN(2)/25)*Calculateur!V138*Calculateur!X138*VLOOKUP('Données projet'!$B$9,Paramètres!$A$1:$I$89,3,0)*0.475*44/12</f>
        <v>0.70146409401769183</v>
      </c>
      <c r="AB138" s="21">
        <f>EXP(-LN(2)/2)*AB137+(1-EXP(-LN(2)/2))/(LN(2)/2)*V138*Y138*VLOOKUP('Données projet'!$B$9,Paramètres!$A$1:$I$89,3,0)*0.475*44/12</f>
        <v>8.7155147265377499E-16</v>
      </c>
      <c r="AC138" s="22">
        <f t="shared" si="111"/>
        <v>2.6288263959615126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-1.2710188457276673E-13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378.17323480030268</v>
      </c>
      <c r="AO138" s="59">
        <f t="shared" si="144"/>
        <v>471.89239871617241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0.55060052646359514</v>
      </c>
      <c r="AV138" s="21">
        <f>EXP(-LN(2)/25)*AV137+(1-EXP(-LN(2)/25))/(LN(2)/25)*Calculateur!AQ138*Calculateur!AS138*VLOOKUP('Données projet'!$B$10,Paramètres!$A$1:$I$89,3,0)*0.475*44/12</f>
        <v>1.3396087522173905</v>
      </c>
      <c r="AW138" s="21">
        <f>EXP(-LN(2)/2)*AW137+(1-EXP(-LN(2)/2))/(LN(2)/2)*AQ138*AT138*VLOOKUP('Données projet'!$B$10,Paramètres!$A$1:$I$89,3,0)*0.475*44/12</f>
        <v>1.452685900294375E-15</v>
      </c>
      <c r="AX138" s="21">
        <f t="shared" si="114"/>
        <v>1.8902092786809872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6.7984728957526396E-14</v>
      </c>
      <c r="P139" s="13">
        <f t="shared" si="141"/>
        <v>1.0682447123141398E-12</v>
      </c>
      <c r="Q139" s="20">
        <f t="shared" si="108"/>
        <v>1.978932943548152E-12</v>
      </c>
      <c r="R139" s="59">
        <f t="shared" si="109"/>
        <v>293.3333333333353</v>
      </c>
      <c r="S139" s="59">
        <f ca="1">AVERAGE(OFFSET($R$3,0,0,'Données projet'!$E$9+1,1))-AVERAGE(OFFSET($H$3,0,0,'Données projet'!$E$9+1,1))</f>
        <v>255.24521135682858</v>
      </c>
      <c r="T139" s="59">
        <f t="shared" si="142"/>
        <v>254.36590349790589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1.8895679027776275</v>
      </c>
      <c r="AA139" s="21">
        <f>EXP(-LN(2)/25)*AA138+(1-EXP(-LN(2)/25))/(LN(2)/25)*Calculateur!V139*Calculateur!X139*VLOOKUP('Données projet'!$B$9,Paramètres!$A$1:$I$89,3,0)*0.475*44/12</f>
        <v>0.68228252147838453</v>
      </c>
      <c r="AB139" s="21">
        <f>EXP(-LN(2)/2)*AB138+(1-EXP(-LN(2)/2))/(LN(2)/2)*V139*Y139*VLOOKUP('Données projet'!$B$9,Paramètres!$A$1:$I$89,3,0)*0.475*44/12</f>
        <v>6.1627995646660615E-16</v>
      </c>
      <c r="AC139" s="22">
        <f t="shared" si="111"/>
        <v>2.5718504242560125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-1.2710188457276673E-13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378.17323480030268</v>
      </c>
      <c r="AO139" s="59">
        <f t="shared" si="144"/>
        <v>471.89239871617241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0.53980358597280442</v>
      </c>
      <c r="AV139" s="21">
        <f>EXP(-LN(2)/25)*AV138+(1-EXP(-LN(2)/25))/(LN(2)/25)*Calculateur!AQ139*Calculateur!AS139*VLOOKUP('Données projet'!$B$10,Paramètres!$A$1:$I$89,3,0)*0.475*44/12</f>
        <v>1.3029770804410434</v>
      </c>
      <c r="AW139" s="21">
        <f>EXP(-LN(2)/2)*AW138+(1-EXP(-LN(2)/2))/(LN(2)/2)*AQ139*AT139*VLOOKUP('Données projet'!$B$10,Paramètres!$A$1:$I$89,3,0)*0.475*44/12</f>
        <v>1.0272040510322374E-15</v>
      </c>
      <c r="AX139" s="21">
        <f t="shared" si="114"/>
        <v>1.8427806664138491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6.7984728957526396E-14</v>
      </c>
      <c r="P140" s="13">
        <f t="shared" si="141"/>
        <v>1.0682447123141398E-12</v>
      </c>
      <c r="Q140" s="20">
        <f t="shared" si="108"/>
        <v>1.978932943548152E-12</v>
      </c>
      <c r="R140" s="59">
        <f t="shared" si="109"/>
        <v>293.3333333333353</v>
      </c>
      <c r="S140" s="59">
        <f ca="1">AVERAGE(OFFSET($R$3,0,0,'Données projet'!$E$9+1,1))-AVERAGE(OFFSET($H$3,0,0,'Données projet'!$E$9+1,1))</f>
        <v>255.24521135682858</v>
      </c>
      <c r="T140" s="59">
        <f t="shared" si="142"/>
        <v>254.36590349790589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1.8525146287267769</v>
      </c>
      <c r="AA140" s="21">
        <f>EXP(-LN(2)/25)*AA139+(1-EXP(-LN(2)/25))/(LN(2)/25)*Calculateur!V140*Calculateur!X140*VLOOKUP('Données projet'!$B$9,Paramètres!$A$1:$I$89,3,0)*0.475*44/12</f>
        <v>0.66362547004887973</v>
      </c>
      <c r="AB140" s="21">
        <f>EXP(-LN(2)/2)*AB139+(1-EXP(-LN(2)/2))/(LN(2)/2)*V140*Y140*VLOOKUP('Données projet'!$B$9,Paramètres!$A$1:$I$89,3,0)*0.475*44/12</f>
        <v>4.3577573632688754E-16</v>
      </c>
      <c r="AC140" s="22">
        <f t="shared" si="111"/>
        <v>2.516140098775657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-1.2710188457276673E-13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378.17323480030268</v>
      </c>
      <c r="AO140" s="59">
        <f t="shared" si="144"/>
        <v>471.89239871617241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0.5292183668995547</v>
      </c>
      <c r="AV140" s="21">
        <f>EXP(-LN(2)/25)*AV139+(1-EXP(-LN(2)/25))/(LN(2)/25)*Calculateur!AQ140*Calculateur!AS140*VLOOKUP('Données projet'!$B$10,Paramètres!$A$1:$I$89,3,0)*0.475*44/12</f>
        <v>1.2673471036557964</v>
      </c>
      <c r="AW140" s="21">
        <f>EXP(-LN(2)/2)*AW139+(1-EXP(-LN(2)/2))/(LN(2)/2)*AQ140*AT140*VLOOKUP('Données projet'!$B$10,Paramètres!$A$1:$I$89,3,0)*0.475*44/12</f>
        <v>7.2634295014718749E-16</v>
      </c>
      <c r="AX140" s="21">
        <f t="shared" si="114"/>
        <v>1.7965654705553518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6.7984728957526396E-14</v>
      </c>
      <c r="P141" s="13">
        <f t="shared" si="141"/>
        <v>1.0682447123141398E-12</v>
      </c>
      <c r="Q141" s="20">
        <f t="shared" si="108"/>
        <v>1.978932943548152E-12</v>
      </c>
      <c r="R141" s="59">
        <f t="shared" si="109"/>
        <v>293.3333333333353</v>
      </c>
      <c r="S141" s="59">
        <f ca="1">AVERAGE(OFFSET($R$3,0,0,'Données projet'!$E$9+1,1))-AVERAGE(OFFSET($H$3,0,0,'Données projet'!$E$9+1,1))</f>
        <v>255.24521135682858</v>
      </c>
      <c r="T141" s="59">
        <f t="shared" si="142"/>
        <v>254.36590349790589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1.8161879467797977</v>
      </c>
      <c r="AA141" s="21">
        <f>EXP(-LN(2)/25)*AA140+(1-EXP(-LN(2)/25))/(LN(2)/25)*Calculateur!V141*Calculateur!X141*VLOOKUP('Données projet'!$B$9,Paramètres!$A$1:$I$89,3,0)*0.475*44/12</f>
        <v>0.64547859667184637</v>
      </c>
      <c r="AB141" s="21">
        <f>EXP(-LN(2)/2)*AB140+(1-EXP(-LN(2)/2))/(LN(2)/2)*V141*Y141*VLOOKUP('Données projet'!$B$9,Paramètres!$A$1:$I$89,3,0)*0.475*44/12</f>
        <v>3.0813997823330313E-16</v>
      </c>
      <c r="AC141" s="22">
        <f t="shared" si="111"/>
        <v>2.4616665434516443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-1.2710188457276673E-13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378.17323480030268</v>
      </c>
      <c r="AO141" s="59">
        <f t="shared" si="144"/>
        <v>471.89239871617241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0.51884071751598526</v>
      </c>
      <c r="AV141" s="21">
        <f>EXP(-LN(2)/25)*AV140+(1-EXP(-LN(2)/25))/(LN(2)/25)*Calculateur!AQ141*Calculateur!AS141*VLOOKUP('Données projet'!$B$10,Paramètres!$A$1:$I$89,3,0)*0.475*44/12</f>
        <v>1.232691430459441</v>
      </c>
      <c r="AW141" s="21">
        <f>EXP(-LN(2)/2)*AW140+(1-EXP(-LN(2)/2))/(LN(2)/2)*AQ141*AT141*VLOOKUP('Données projet'!$B$10,Paramètres!$A$1:$I$89,3,0)*0.475*44/12</f>
        <v>5.1360202551611869E-16</v>
      </c>
      <c r="AX141" s="21">
        <f t="shared" si="114"/>
        <v>1.7515321479754267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6.7984728957526396E-14</v>
      </c>
      <c r="P142" s="13">
        <f t="shared" si="141"/>
        <v>1.0682447123141398E-12</v>
      </c>
      <c r="Q142" s="20">
        <f t="shared" si="108"/>
        <v>1.978932943548152E-12</v>
      </c>
      <c r="R142" s="59">
        <f t="shared" si="109"/>
        <v>293.3333333333353</v>
      </c>
      <c r="S142" s="59">
        <f ca="1">AVERAGE(OFFSET($R$3,0,0,'Données projet'!$E$9+1,1))-AVERAGE(OFFSET($H$3,0,0,'Données projet'!$E$9+1,1))</f>
        <v>255.24521135682858</v>
      </c>
      <c r="T142" s="59">
        <f t="shared" si="142"/>
        <v>254.36590349790589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1.7805736089087107</v>
      </c>
      <c r="AA142" s="21">
        <f>EXP(-LN(2)/25)*AA141+(1-EXP(-LN(2)/25))/(LN(2)/25)*Calculateur!V142*Calculateur!X142*VLOOKUP('Données projet'!$B$9,Paramètres!$A$1:$I$89,3,0)*0.475*44/12</f>
        <v>0.62782795050161055</v>
      </c>
      <c r="AB142" s="21">
        <f>EXP(-LN(2)/2)*AB141+(1-EXP(-LN(2)/2))/(LN(2)/2)*V142*Y142*VLOOKUP('Données projet'!$B$9,Paramètres!$A$1:$I$89,3,0)*0.475*44/12</f>
        <v>2.178878681634438E-16</v>
      </c>
      <c r="AC142" s="22">
        <f t="shared" si="111"/>
        <v>2.4084015594103212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-1.2710188457276673E-13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378.17323480030268</v>
      </c>
      <c r="AO142" s="59">
        <f t="shared" si="144"/>
        <v>471.89239871617241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0.5086665675070865</v>
      </c>
      <c r="AV142" s="21">
        <f>EXP(-LN(2)/25)*AV141+(1-EXP(-LN(2)/25))/(LN(2)/25)*Calculateur!AQ142*Calculateur!AS142*VLOOKUP('Données projet'!$B$10,Paramètres!$A$1:$I$89,3,0)*0.475*44/12</f>
        <v>1.1989834184691026</v>
      </c>
      <c r="AW142" s="21">
        <f>EXP(-LN(2)/2)*AW141+(1-EXP(-LN(2)/2))/(LN(2)/2)*AQ142*AT142*VLOOKUP('Données projet'!$B$10,Paramètres!$A$1:$I$89,3,0)*0.475*44/12</f>
        <v>3.6317147507359374E-16</v>
      </c>
      <c r="AX142" s="21">
        <f t="shared" si="114"/>
        <v>1.7076499859761896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6.7984728957526396E-14</v>
      </c>
      <c r="P143" s="13">
        <f t="shared" si="141"/>
        <v>1.0682447123141398E-12</v>
      </c>
      <c r="Q143" s="20">
        <f t="shared" si="108"/>
        <v>1.978932943548152E-12</v>
      </c>
      <c r="R143" s="59">
        <f t="shared" si="109"/>
        <v>293.3333333333353</v>
      </c>
      <c r="S143" s="59">
        <f ca="1">AVERAGE(OFFSET($R$3,0,0,'Données projet'!$E$9+1,1))-AVERAGE(OFFSET($H$3,0,0,'Données projet'!$E$9+1,1))</f>
        <v>255.24521135682858</v>
      </c>
      <c r="T143" s="59">
        <f t="shared" si="142"/>
        <v>254.36590349790589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1.7456576464806746</v>
      </c>
      <c r="AA143" s="21">
        <f>EXP(-LN(2)/25)*AA142+(1-EXP(-LN(2)/25))/(LN(2)/25)*Calculateur!V143*Calculateur!X143*VLOOKUP('Données projet'!$B$9,Paramètres!$A$1:$I$89,3,0)*0.475*44/12</f>
        <v>0.61065996217910701</v>
      </c>
      <c r="AB143" s="21">
        <f>EXP(-LN(2)/2)*AB142+(1-EXP(-LN(2)/2))/(LN(2)/2)*V143*Y143*VLOOKUP('Données projet'!$B$9,Paramètres!$A$1:$I$89,3,0)*0.475*44/12</f>
        <v>1.5406998911665159E-16</v>
      </c>
      <c r="AC143" s="22">
        <f t="shared" si="111"/>
        <v>2.3563176086597815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-1.2710188457276673E-13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378.17323480030268</v>
      </c>
      <c r="AO143" s="59">
        <f t="shared" si="144"/>
        <v>471.89239871617241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0.49869192637424348</v>
      </c>
      <c r="AV143" s="21">
        <f>EXP(-LN(2)/25)*AV142+(1-EXP(-LN(2)/25))/(LN(2)/25)*Calculateur!AQ143*Calculateur!AS143*VLOOKUP('Données projet'!$B$10,Paramètres!$A$1:$I$89,3,0)*0.475*44/12</f>
        <v>1.1661971538392673</v>
      </c>
      <c r="AW143" s="21">
        <f>EXP(-LN(2)/2)*AW142+(1-EXP(-LN(2)/2))/(LN(2)/2)*AQ143*AT143*VLOOKUP('Données projet'!$B$10,Paramètres!$A$1:$I$89,3,0)*0.475*44/12</f>
        <v>2.5680101275805935E-16</v>
      </c>
      <c r="AX143" s="21">
        <f t="shared" si="114"/>
        <v>1.664889080213511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6.7984728957526396E-14</v>
      </c>
      <c r="P144" s="13">
        <f t="shared" si="141"/>
        <v>1.0682447123141398E-12</v>
      </c>
      <c r="Q144" s="20">
        <f t="shared" si="108"/>
        <v>1.978932943548152E-12</v>
      </c>
      <c r="R144" s="59">
        <f t="shared" si="109"/>
        <v>293.3333333333353</v>
      </c>
      <c r="S144" s="59">
        <f ca="1">AVERAGE(OFFSET($R$3,0,0,'Données projet'!$E$9+1,1))-AVERAGE(OFFSET($H$3,0,0,'Données projet'!$E$9+1,1))</f>
        <v>255.24521135682858</v>
      </c>
      <c r="T144" s="59">
        <f t="shared" si="142"/>
        <v>254.36590349790589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1.7114263647792181</v>
      </c>
      <c r="AA144" s="21">
        <f>EXP(-LN(2)/25)*AA143+(1-EXP(-LN(2)/25))/(LN(2)/25)*Calculateur!V144*Calculateur!X144*VLOOKUP('Données projet'!$B$9,Paramètres!$A$1:$I$89,3,0)*0.475*44/12</f>
        <v>0.59396143340010765</v>
      </c>
      <c r="AB144" s="21">
        <f>EXP(-LN(2)/2)*AB143+(1-EXP(-LN(2)/2))/(LN(2)/2)*V144*Y144*VLOOKUP('Données projet'!$B$9,Paramètres!$A$1:$I$89,3,0)*0.475*44/12</f>
        <v>1.0894393408172192E-16</v>
      </c>
      <c r="AC144" s="22">
        <f t="shared" si="111"/>
        <v>2.3053877981793258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-1.2710188457276673E-13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378.17323480030268</v>
      </c>
      <c r="AO144" s="59">
        <f t="shared" si="144"/>
        <v>471.89239871617241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0.48891288187008514</v>
      </c>
      <c r="AV144" s="21">
        <f>EXP(-LN(2)/25)*AV143+(1-EXP(-LN(2)/25))/(LN(2)/25)*Calculateur!AQ144*Calculateur!AS144*VLOOKUP('Données projet'!$B$10,Paramètres!$A$1:$I$89,3,0)*0.475*44/12</f>
        <v>1.1343074313398895</v>
      </c>
      <c r="AW144" s="21">
        <f>EXP(-LN(2)/2)*AW143+(1-EXP(-LN(2)/2))/(LN(2)/2)*AQ144*AT144*VLOOKUP('Données projet'!$B$10,Paramètres!$A$1:$I$89,3,0)*0.475*44/12</f>
        <v>1.8158573753679687E-16</v>
      </c>
      <c r="AX144" s="21">
        <f t="shared" si="114"/>
        <v>1.623220313209975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6.7984728957526396E-14</v>
      </c>
      <c r="P145" s="13">
        <f t="shared" si="141"/>
        <v>1.0682447123141398E-12</v>
      </c>
      <c r="Q145" s="20">
        <f t="shared" si="108"/>
        <v>1.978932943548152E-12</v>
      </c>
      <c r="R145" s="59">
        <f t="shared" si="109"/>
        <v>293.3333333333353</v>
      </c>
      <c r="S145" s="59">
        <f ca="1">AVERAGE(OFFSET($R$3,0,0,'Données projet'!$E$9+1,1))-AVERAGE(OFFSET($H$3,0,0,'Données projet'!$E$9+1,1))</f>
        <v>255.24521135682858</v>
      </c>
      <c r="T145" s="59">
        <f t="shared" si="142"/>
        <v>254.36590349790589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1.6778663376329068</v>
      </c>
      <c r="AA145" s="21">
        <f>EXP(-LN(2)/25)*AA144+(1-EXP(-LN(2)/25))/(LN(2)/25)*Calculateur!V145*Calculateur!X145*VLOOKUP('Données projet'!$B$9,Paramètres!$A$1:$I$89,3,0)*0.475*44/12</f>
        <v>0.57771952676870741</v>
      </c>
      <c r="AB145" s="21">
        <f>EXP(-LN(2)/2)*AB144+(1-EXP(-LN(2)/2))/(LN(2)/2)*V145*Y145*VLOOKUP('Données projet'!$B$9,Paramètres!$A$1:$I$89,3,0)*0.475*44/12</f>
        <v>7.7034994558325806E-17</v>
      </c>
      <c r="AC145" s="22">
        <f t="shared" si="111"/>
        <v>2.2555858644016142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-1.2710188457276673E-13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378.17323480030268</v>
      </c>
      <c r="AO145" s="59">
        <f t="shared" si="144"/>
        <v>471.89239871617241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0.47932559846402517</v>
      </c>
      <c r="AV145" s="21">
        <f>EXP(-LN(2)/25)*AV144+(1-EXP(-LN(2)/25))/(LN(2)/25)*Calculateur!AQ145*Calculateur!AS145*VLOOKUP('Données projet'!$B$10,Paramètres!$A$1:$I$89,3,0)*0.475*44/12</f>
        <v>1.103289734979265</v>
      </c>
      <c r="AW145" s="21">
        <f>EXP(-LN(2)/2)*AW144+(1-EXP(-LN(2)/2))/(LN(2)/2)*AQ145*AT145*VLOOKUP('Données projet'!$B$10,Paramètres!$A$1:$I$89,3,0)*0.475*44/12</f>
        <v>1.2840050637902967E-16</v>
      </c>
      <c r="AX145" s="21">
        <f t="shared" si="114"/>
        <v>1.5826153334432904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6.7984728957526396E-14</v>
      </c>
      <c r="P146" s="13">
        <f t="shared" si="141"/>
        <v>1.0682447123141398E-12</v>
      </c>
      <c r="Q146" s="20">
        <f t="shared" si="108"/>
        <v>1.978932943548152E-12</v>
      </c>
      <c r="R146" s="59">
        <f t="shared" si="109"/>
        <v>293.3333333333353</v>
      </c>
      <c r="S146" s="59">
        <f ca="1">AVERAGE(OFFSET($R$3,0,0,'Données projet'!$E$9+1,1))-AVERAGE(OFFSET($H$3,0,0,'Données projet'!$E$9+1,1))</f>
        <v>255.24521135682858</v>
      </c>
      <c r="T146" s="59">
        <f t="shared" si="142"/>
        <v>254.36590349790589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1.6449644021493395</v>
      </c>
      <c r="AA146" s="21">
        <f>EXP(-LN(2)/25)*AA145+(1-EXP(-LN(2)/25))/(LN(2)/25)*Calculateur!V146*Calculateur!X146*VLOOKUP('Données projet'!$B$9,Paramètres!$A$1:$I$89,3,0)*0.475*44/12</f>
        <v>0.56192175592826754</v>
      </c>
      <c r="AB146" s="21">
        <f>EXP(-LN(2)/2)*AB145+(1-EXP(-LN(2)/2))/(LN(2)/2)*V146*Y146*VLOOKUP('Données projet'!$B$9,Paramètres!$A$1:$I$89,3,0)*0.475*44/12</f>
        <v>5.4471967040860967E-17</v>
      </c>
      <c r="AC146" s="22">
        <f t="shared" si="111"/>
        <v>2.2068861580776069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-1.2710188457276673E-13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378.17323480030268</v>
      </c>
      <c r="AO146" s="59">
        <f t="shared" si="144"/>
        <v>471.89239871617241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0.46992631583789257</v>
      </c>
      <c r="AV146" s="21">
        <f>EXP(-LN(2)/25)*AV145+(1-EXP(-LN(2)/25))/(LN(2)/25)*Calculateur!AQ146*Calculateur!AS146*VLOOKUP('Données projet'!$B$10,Paramètres!$A$1:$I$89,3,0)*0.475*44/12</f>
        <v>1.0731202191567715</v>
      </c>
      <c r="AW146" s="21">
        <f>EXP(-LN(2)/2)*AW145+(1-EXP(-LN(2)/2))/(LN(2)/2)*AQ146*AT146*VLOOKUP('Données projet'!$B$10,Paramètres!$A$1:$I$89,3,0)*0.475*44/12</f>
        <v>9.0792868768398436E-17</v>
      </c>
      <c r="AX146" s="21">
        <f t="shared" si="114"/>
        <v>1.543046534994664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6.7984728957526396E-14</v>
      </c>
      <c r="P147" s="13">
        <f t="shared" si="141"/>
        <v>1.0682447123141398E-12</v>
      </c>
      <c r="Q147" s="20">
        <f t="shared" si="108"/>
        <v>1.978932943548152E-12</v>
      </c>
      <c r="R147" s="59">
        <f t="shared" si="109"/>
        <v>293.3333333333353</v>
      </c>
      <c r="S147" s="59">
        <f ca="1">AVERAGE(OFFSET($R$3,0,0,'Données projet'!$E$9+1,1))-AVERAGE(OFFSET($H$3,0,0,'Données projet'!$E$9+1,1))</f>
        <v>255.24521135682858</v>
      </c>
      <c r="T147" s="59">
        <f t="shared" si="142"/>
        <v>254.36590349790589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1.6127076535524056</v>
      </c>
      <c r="AA147" s="21">
        <f>EXP(-LN(2)/25)*AA146+(1-EXP(-LN(2)/25))/(LN(2)/25)*Calculateur!V147*Calculateur!X147*VLOOKUP('Données projet'!$B$9,Paramètres!$A$1:$I$89,3,0)*0.475*44/12</f>
        <v>0.54655597596222816</v>
      </c>
      <c r="AB147" s="21">
        <f>EXP(-LN(2)/2)*AB146+(1-EXP(-LN(2)/2))/(LN(2)/2)*V147*Y147*VLOOKUP('Données projet'!$B$9,Paramètres!$A$1:$I$89,3,0)*0.475*44/12</f>
        <v>3.8517497279162909E-17</v>
      </c>
      <c r="AC147" s="22">
        <f t="shared" si="111"/>
        <v>2.1592636295146339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-1.2710188457276673E-13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378.17323480030268</v>
      </c>
      <c r="AO147" s="59">
        <f t="shared" si="144"/>
        <v>471.89239871617241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0.46071134741106212</v>
      </c>
      <c r="AV147" s="21">
        <f>EXP(-LN(2)/25)*AV146+(1-EXP(-LN(2)/25))/(LN(2)/25)*Calculateur!AQ147*Calculateur!AS147*VLOOKUP('Données projet'!$B$10,Paramètres!$A$1:$I$89,3,0)*0.475*44/12</f>
        <v>1.0437756903309898</v>
      </c>
      <c r="AW147" s="21">
        <f>EXP(-LN(2)/2)*AW146+(1-EXP(-LN(2)/2))/(LN(2)/2)*AQ147*AT147*VLOOKUP('Données projet'!$B$10,Paramètres!$A$1:$I$89,3,0)*0.475*44/12</f>
        <v>6.4200253189514836E-17</v>
      </c>
      <c r="AX147" s="21">
        <f t="shared" si="114"/>
        <v>1.5044870377420518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6.7984728957526396E-14</v>
      </c>
      <c r="P148" s="13">
        <f t="shared" si="141"/>
        <v>1.0682447123141398E-12</v>
      </c>
      <c r="Q148" s="20">
        <f t="shared" si="108"/>
        <v>1.978932943548152E-12</v>
      </c>
      <c r="R148" s="59">
        <f t="shared" si="109"/>
        <v>293.3333333333353</v>
      </c>
      <c r="S148" s="59">
        <f ca="1">AVERAGE(OFFSET($R$3,0,0,'Données projet'!$E$9+1,1))-AVERAGE(OFFSET($H$3,0,0,'Données projet'!$E$9+1,1))</f>
        <v>255.24521135682858</v>
      </c>
      <c r="T148" s="59">
        <f t="shared" si="142"/>
        <v>254.36590349790589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1.5810834401207838</v>
      </c>
      <c r="AA148" s="21">
        <f>EXP(-LN(2)/25)*AA147+(1-EXP(-LN(2)/25))/(LN(2)/25)*Calculateur!V148*Calculateur!X148*VLOOKUP('Données projet'!$B$9,Paramètres!$A$1:$I$89,3,0)*0.475*44/12</f>
        <v>0.53161037405741141</v>
      </c>
      <c r="AB148" s="21">
        <f>EXP(-LN(2)/2)*AB147+(1-EXP(-LN(2)/2))/(LN(2)/2)*V148*Y148*VLOOKUP('Données projet'!$B$9,Paramètres!$A$1:$I$89,3,0)*0.475*44/12</f>
        <v>2.723598352043049E-17</v>
      </c>
      <c r="AC148" s="22">
        <f t="shared" si="111"/>
        <v>2.1126938141781952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-1.2710188457276673E-13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378.17323480030268</v>
      </c>
      <c r="AO148" s="59">
        <f t="shared" si="144"/>
        <v>471.89239871617241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0.45167707889450603</v>
      </c>
      <c r="AV148" s="21">
        <f>EXP(-LN(2)/25)*AV147+(1-EXP(-LN(2)/25))/(LN(2)/25)*Calculateur!AQ148*Calculateur!AS148*VLOOKUP('Données projet'!$B$10,Paramètres!$A$1:$I$89,3,0)*0.475*44/12</f>
        <v>1.0152335891891109</v>
      </c>
      <c r="AW148" s="21">
        <f>EXP(-LN(2)/2)*AW147+(1-EXP(-LN(2)/2))/(LN(2)/2)*AQ148*AT148*VLOOKUP('Données projet'!$B$10,Paramètres!$A$1:$I$89,3,0)*0.475*44/12</f>
        <v>4.5396434384199218E-17</v>
      </c>
      <c r="AX148" s="21">
        <f t="shared" si="114"/>
        <v>1.4669106680836168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6.7984728957526396E-14</v>
      </c>
      <c r="P149" s="13">
        <f t="shared" si="141"/>
        <v>1.0682447123141398E-12</v>
      </c>
      <c r="Q149" s="20">
        <f t="shared" si="108"/>
        <v>1.978932943548152E-12</v>
      </c>
      <c r="R149" s="59">
        <f t="shared" si="109"/>
        <v>293.3333333333353</v>
      </c>
      <c r="S149" s="59">
        <f ca="1">AVERAGE(OFFSET($R$3,0,0,'Données projet'!$E$9+1,1))-AVERAGE(OFFSET($H$3,0,0,'Données projet'!$E$9+1,1))</f>
        <v>255.24521135682858</v>
      </c>
      <c r="T149" s="59">
        <f t="shared" si="142"/>
        <v>254.36590349790589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1.5500793582256904</v>
      </c>
      <c r="AA149" s="21">
        <f>EXP(-LN(2)/25)*AA148+(1-EXP(-LN(2)/25))/(LN(2)/25)*Calculateur!V149*Calculateur!X149*VLOOKUP('Données projet'!$B$9,Paramètres!$A$1:$I$89,3,0)*0.475*44/12</f>
        <v>0.51707346042263691</v>
      </c>
      <c r="AB149" s="21">
        <f>EXP(-LN(2)/2)*AB148+(1-EXP(-LN(2)/2))/(LN(2)/2)*V149*Y149*VLOOKUP('Données projet'!$B$9,Paramètres!$A$1:$I$89,3,0)*0.475*44/12</f>
        <v>1.9258748639581458E-17</v>
      </c>
      <c r="AC149" s="22">
        <f t="shared" si="111"/>
        <v>2.0671528186483275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-1.2710188457276673E-13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378.17323480030268</v>
      </c>
      <c r="AO149" s="59">
        <f t="shared" si="144"/>
        <v>471.89239871617241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0.44281996687319997</v>
      </c>
      <c r="AV149" s="21">
        <f>EXP(-LN(2)/25)*AV148+(1-EXP(-LN(2)/25))/(LN(2)/25)*Calculateur!AQ149*Calculateur!AS149*VLOOKUP('Données projet'!$B$10,Paramètres!$A$1:$I$89,3,0)*0.475*44/12</f>
        <v>0.98747197330392056</v>
      </c>
      <c r="AW149" s="21">
        <f>EXP(-LN(2)/2)*AW148+(1-EXP(-LN(2)/2))/(LN(2)/2)*AQ149*AT149*VLOOKUP('Données projet'!$B$10,Paramètres!$A$1:$I$89,3,0)*0.475*44/12</f>
        <v>3.2100126594757418E-17</v>
      </c>
      <c r="AX149" s="21">
        <f t="shared" si="114"/>
        <v>1.4302919401771206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6.7984728957526396E-14</v>
      </c>
      <c r="P150" s="13">
        <f t="shared" si="141"/>
        <v>1.0682447123141398E-12</v>
      </c>
      <c r="Q150" s="20">
        <f t="shared" si="108"/>
        <v>1.978932943548152E-12</v>
      </c>
      <c r="R150" s="59">
        <f t="shared" si="109"/>
        <v>293.3333333333353</v>
      </c>
      <c r="S150" s="59">
        <f ca="1">AVERAGE(OFFSET($R$3,0,0,'Données projet'!$E$9+1,1))-AVERAGE(OFFSET($H$3,0,0,'Données projet'!$E$9+1,1))</f>
        <v>255.24521135682858</v>
      </c>
      <c r="T150" s="59">
        <f t="shared" si="142"/>
        <v>254.36590349790589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1.5196832474659372</v>
      </c>
      <c r="AA150" s="21">
        <f>EXP(-LN(2)/25)*AA149+(1-EXP(-LN(2)/25))/(LN(2)/25)*Calculateur!V150*Calculateur!X150*VLOOKUP('Données projet'!$B$9,Paramètres!$A$1:$I$89,3,0)*0.475*44/12</f>
        <v>0.50293405945566838</v>
      </c>
      <c r="AB150" s="21">
        <f>EXP(-LN(2)/2)*AB149+(1-EXP(-LN(2)/2))/(LN(2)/2)*V150*Y150*VLOOKUP('Données projet'!$B$9,Paramètres!$A$1:$I$89,3,0)*0.475*44/12</f>
        <v>1.3617991760215246E-17</v>
      </c>
      <c r="AC150" s="22">
        <f t="shared" si="111"/>
        <v>2.0226173069216058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-1.2710188457276673E-13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378.17323480030268</v>
      </c>
      <c r="AO150" s="59">
        <f t="shared" si="144"/>
        <v>471.89239871617241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0.4341365374163268</v>
      </c>
      <c r="AV150" s="21">
        <f>EXP(-LN(2)/25)*AV149+(1-EXP(-LN(2)/25))/(LN(2)/25)*Calculateur!AQ150*Calculateur!AS150*VLOOKUP('Données projet'!$B$10,Paramètres!$A$1:$I$89,3,0)*0.475*44/12</f>
        <v>0.96046950026503064</v>
      </c>
      <c r="AW150" s="21">
        <f>EXP(-LN(2)/2)*AW149+(1-EXP(-LN(2)/2))/(LN(2)/2)*AQ150*AT150*VLOOKUP('Données projet'!$B$10,Paramètres!$A$1:$I$89,3,0)*0.475*44/12</f>
        <v>2.2698217192099609E-17</v>
      </c>
      <c r="AX150" s="21">
        <f t="shared" si="114"/>
        <v>1.3946060376813574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6.7984728957526396E-14</v>
      </c>
      <c r="P151" s="13">
        <f t="shared" si="141"/>
        <v>1.0682447123141398E-12</v>
      </c>
      <c r="Q151" s="20">
        <f t="shared" si="108"/>
        <v>1.978932943548152E-12</v>
      </c>
      <c r="R151" s="59">
        <f t="shared" si="109"/>
        <v>293.3333333333353</v>
      </c>
      <c r="S151" s="59">
        <f ca="1">AVERAGE(OFFSET($R$3,0,0,'Données projet'!$E$9+1,1))-AVERAGE(OFFSET($H$3,0,0,'Données projet'!$E$9+1,1))</f>
        <v>255.24521135682858</v>
      </c>
      <c r="T151" s="59">
        <f t="shared" si="142"/>
        <v>254.36590349790589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1.4898831858983859</v>
      </c>
      <c r="AA151" s="21">
        <f>EXP(-LN(2)/25)*AA150+(1-EXP(-LN(2)/25))/(LN(2)/25)*Calculateur!V151*Calculateur!X151*VLOOKUP('Données projet'!$B$9,Paramètres!$A$1:$I$89,3,0)*0.475*44/12</f>
        <v>0.48918130115170039</v>
      </c>
      <c r="AB151" s="21">
        <f>EXP(-LN(2)/2)*AB150+(1-EXP(-LN(2)/2))/(LN(2)/2)*V151*Y151*VLOOKUP('Données projet'!$B$9,Paramètres!$A$1:$I$89,3,0)*0.475*44/12</f>
        <v>9.6293743197907304E-18</v>
      </c>
      <c r="AC151" s="22">
        <f t="shared" si="111"/>
        <v>1.9790644870500862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-1.2710188457276673E-13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378.17323480030268</v>
      </c>
      <c r="AO151" s="59">
        <f t="shared" si="144"/>
        <v>471.89239871617241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0.42562338471473393</v>
      </c>
      <c r="AV151" s="21">
        <f>EXP(-LN(2)/25)*AV150+(1-EXP(-LN(2)/25))/(LN(2)/25)*Calculateur!AQ151*Calculateur!AS151*VLOOKUP('Données projet'!$B$10,Paramètres!$A$1:$I$89,3,0)*0.475*44/12</f>
        <v>0.93420541127138756</v>
      </c>
      <c r="AW151" s="21">
        <f>EXP(-LN(2)/2)*AW150+(1-EXP(-LN(2)/2))/(LN(2)/2)*AQ151*AT151*VLOOKUP('Données projet'!$B$10,Paramètres!$A$1:$I$89,3,0)*0.475*44/12</f>
        <v>1.6050063297378709E-17</v>
      </c>
      <c r="AX151" s="21">
        <f t="shared" si="114"/>
        <v>1.3598287959861215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6.7984728957526396E-14</v>
      </c>
      <c r="P152" s="13">
        <f t="shared" si="141"/>
        <v>1.0682447123141398E-12</v>
      </c>
      <c r="Q152" s="20">
        <f t="shared" si="108"/>
        <v>1.978932943548152E-12</v>
      </c>
      <c r="R152" s="59">
        <f t="shared" si="109"/>
        <v>293.3333333333353</v>
      </c>
      <c r="S152" s="59">
        <f ca="1">AVERAGE(OFFSET($R$3,0,0,'Données projet'!$E$9+1,1))-AVERAGE(OFFSET($H$3,0,0,'Données projet'!$E$9+1,1))</f>
        <v>255.24521135682858</v>
      </c>
      <c r="T152" s="59">
        <f t="shared" si="142"/>
        <v>254.36590349790589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1.4606674853619315</v>
      </c>
      <c r="AA152" s="21">
        <f>EXP(-LN(2)/25)*AA151+(1-EXP(-LN(2)/25))/(LN(2)/25)*Calculateur!V152*Calculateur!X152*VLOOKUP('Données projet'!$B$9,Paramètres!$A$1:$I$89,3,0)*0.475*44/12</f>
        <v>0.47580461274678054</v>
      </c>
      <c r="AB152" s="21">
        <f>EXP(-LN(2)/2)*AB151+(1-EXP(-LN(2)/2))/(LN(2)/2)*V152*Y152*VLOOKUP('Données projet'!$B$9,Paramètres!$A$1:$I$89,3,0)*0.475*44/12</f>
        <v>6.808995880107624E-18</v>
      </c>
      <c r="AC152" s="22">
        <f t="shared" si="111"/>
        <v>1.936472098108712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-1.2710188457276673E-13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378.17323480030268</v>
      </c>
      <c r="AO152" s="59">
        <f t="shared" si="144"/>
        <v>471.89239871617241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0.41727716974510887</v>
      </c>
      <c r="AV152" s="21">
        <f>EXP(-LN(2)/25)*AV151+(1-EXP(-LN(2)/25))/(LN(2)/25)*Calculateur!AQ152*Calculateur!AS152*VLOOKUP('Données projet'!$B$10,Paramètres!$A$1:$I$89,3,0)*0.475*44/12</f>
        <v>0.90865951517244403</v>
      </c>
      <c r="AW152" s="21">
        <f>EXP(-LN(2)/2)*AW151+(1-EXP(-LN(2)/2))/(LN(2)/2)*AQ152*AT152*VLOOKUP('Données projet'!$B$10,Paramètres!$A$1:$I$89,3,0)*0.475*44/12</f>
        <v>1.1349108596049805E-17</v>
      </c>
      <c r="AX152" s="21">
        <f t="shared" si="114"/>
        <v>1.3259366849175529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6.7984728957526396E-14</v>
      </c>
      <c r="P153" s="13">
        <f t="shared" si="141"/>
        <v>1.0682447123141398E-12</v>
      </c>
      <c r="Q153" s="20">
        <f t="shared" si="108"/>
        <v>1.978932943548152E-12</v>
      </c>
      <c r="R153" s="59">
        <f t="shared" si="109"/>
        <v>293.3333333333353</v>
      </c>
      <c r="S153" s="59">
        <f ca="1">AVERAGE(OFFSET($R$3,0,0,'Données projet'!$E$9+1,1))-AVERAGE(OFFSET($H$3,0,0,'Données projet'!$E$9+1,1))</f>
        <v>255.24521135682858</v>
      </c>
      <c r="T153" s="59">
        <f t="shared" si="142"/>
        <v>254.36590349790589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1.4320246868931792</v>
      </c>
      <c r="AA153" s="21">
        <f>EXP(-LN(2)/25)*AA152+(1-EXP(-LN(2)/25))/(LN(2)/25)*Calculateur!V153*Calculateur!X153*VLOOKUP('Données projet'!$B$9,Paramètres!$A$1:$I$89,3,0)*0.475*44/12</f>
        <v>0.46279371058974272</v>
      </c>
      <c r="AB153" s="21">
        <f>EXP(-LN(2)/2)*AB152+(1-EXP(-LN(2)/2))/(LN(2)/2)*V153*Y153*VLOOKUP('Données projet'!$B$9,Paramètres!$A$1:$I$89,3,0)*0.475*44/12</f>
        <v>4.814687159895366E-18</v>
      </c>
      <c r="AC153" s="22">
        <f t="shared" si="111"/>
        <v>1.894818397482922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-1.2710188457276673E-13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378.17323480030268</v>
      </c>
      <c r="AO153" s="59">
        <f t="shared" si="144"/>
        <v>471.89239871617241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0.40909461896034965</v>
      </c>
      <c r="AV153" s="21">
        <f>EXP(-LN(2)/25)*AV152+(1-EXP(-LN(2)/25))/(LN(2)/25)*Calculateur!AQ153*Calculateur!AS153*VLOOKUP('Données projet'!$B$10,Paramètres!$A$1:$I$89,3,0)*0.475*44/12</f>
        <v>0.88381217294572645</v>
      </c>
      <c r="AW153" s="21">
        <f>EXP(-LN(2)/2)*AW152+(1-EXP(-LN(2)/2))/(LN(2)/2)*AQ153*AT153*VLOOKUP('Données projet'!$B$10,Paramètres!$A$1:$I$89,3,0)*0.475*44/12</f>
        <v>8.0250316486893545E-18</v>
      </c>
      <c r="AX153" s="21">
        <f t="shared" si="114"/>
        <v>1.2929067919060762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6.7984728957526396E-14</v>
      </c>
      <c r="P154" s="13">
        <f t="shared" si="141"/>
        <v>1.0682447123141398E-12</v>
      </c>
      <c r="Q154" s="20">
        <f t="shared" ref="Q154:Q203" si="162">(O154+P154)*0.475*44/12</f>
        <v>1.978932943548152E-12</v>
      </c>
      <c r="R154" s="59">
        <f t="shared" si="109"/>
        <v>293.3333333333353</v>
      </c>
      <c r="S154" s="59">
        <f ca="1">AVERAGE(OFFSET($R$3,0,0,'Données projet'!$E$9+1,1))-AVERAGE(OFFSET($H$3,0,0,'Données projet'!$E$9+1,1))</f>
        <v>255.24521135682858</v>
      </c>
      <c r="T154" s="59">
        <f t="shared" si="142"/>
        <v>254.36590349790589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1.4039435562320171</v>
      </c>
      <c r="AA154" s="21">
        <f>EXP(-LN(2)/25)*AA153+(1-EXP(-LN(2)/25))/(LN(2)/25)*Calculateur!V154*Calculateur!X154*VLOOKUP('Données projet'!$B$9,Paramètres!$A$1:$I$89,3,0)*0.475*44/12</f>
        <v>0.45013859223640268</v>
      </c>
      <c r="AB154" s="21">
        <f>EXP(-LN(2)/2)*AB153+(1-EXP(-LN(2)/2))/(LN(2)/2)*V154*Y154*VLOOKUP('Données projet'!$B$9,Paramètres!$A$1:$I$89,3,0)*0.475*44/12</f>
        <v>3.4044979400538128E-18</v>
      </c>
      <c r="AC154" s="22">
        <f t="shared" ref="AC154:AC203" si="163">SUM(Z154:AB154)</f>
        <v>1.8540821484684198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-1.2710188457276673E-13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378.17323480030268</v>
      </c>
      <c r="AO154" s="59">
        <f t="shared" si="144"/>
        <v>471.89239871617241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0.40107252300561641</v>
      </c>
      <c r="AV154" s="21">
        <f>EXP(-LN(2)/25)*AV153+(1-EXP(-LN(2)/25))/(LN(2)/25)*Calculateur!AQ154*Calculateur!AS154*VLOOKUP('Données projet'!$B$10,Paramètres!$A$1:$I$89,3,0)*0.475*44/12</f>
        <v>0.85964428259886339</v>
      </c>
      <c r="AW154" s="21">
        <f>EXP(-LN(2)/2)*AW153+(1-EXP(-LN(2)/2))/(LN(2)/2)*AQ154*AT154*VLOOKUP('Données projet'!$B$10,Paramètres!$A$1:$I$89,3,0)*0.475*44/12</f>
        <v>5.6745542980249023E-18</v>
      </c>
      <c r="AX154" s="21">
        <f t="shared" ref="AX154:AX203" si="166">SUM(AU154:AW154)</f>
        <v>1.2607168056044797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6.7984728957526396E-14</v>
      </c>
      <c r="P155" s="13">
        <f t="shared" si="141"/>
        <v>1.0682447123141398E-12</v>
      </c>
      <c r="Q155" s="20">
        <f t="shared" si="162"/>
        <v>1.978932943548152E-12</v>
      </c>
      <c r="R155" s="59">
        <f t="shared" si="109"/>
        <v>293.3333333333353</v>
      </c>
      <c r="S155" s="59">
        <f ca="1">AVERAGE(OFFSET($R$3,0,0,'Données projet'!$E$9+1,1))-AVERAGE(OFFSET($H$3,0,0,'Données projet'!$E$9+1,1))</f>
        <v>255.24521135682858</v>
      </c>
      <c r="T155" s="59">
        <f t="shared" si="142"/>
        <v>254.36590349790589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1.3764130794153218</v>
      </c>
      <c r="AA155" s="21">
        <f>EXP(-LN(2)/25)*AA154+(1-EXP(-LN(2)/25))/(LN(2)/25)*Calculateur!V155*Calculateur!X155*VLOOKUP('Données projet'!$B$9,Paramètres!$A$1:$I$89,3,0)*0.475*44/12</f>
        <v>0.43782952875993847</v>
      </c>
      <c r="AB155" s="21">
        <f>EXP(-LN(2)/2)*AB154+(1-EXP(-LN(2)/2))/(LN(2)/2)*V155*Y155*VLOOKUP('Données projet'!$B$9,Paramètres!$A$1:$I$89,3,0)*0.475*44/12</f>
        <v>2.4073435799476834E-18</v>
      </c>
      <c r="AC155" s="22">
        <f t="shared" si="163"/>
        <v>1.8142426081752603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-1.2710188457276673E-13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378.17323480030268</v>
      </c>
      <c r="AO155" s="59">
        <f t="shared" si="144"/>
        <v>471.89239871617241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0.39320773545956011</v>
      </c>
      <c r="AV155" s="21">
        <f>EXP(-LN(2)/25)*AV154+(1-EXP(-LN(2)/25))/(LN(2)/25)*Calculateur!AQ155*Calculateur!AS155*VLOOKUP('Données projet'!$B$10,Paramètres!$A$1:$I$89,3,0)*0.475*44/12</f>
        <v>0.83613726448446934</v>
      </c>
      <c r="AW155" s="21">
        <f>EXP(-LN(2)/2)*AW154+(1-EXP(-LN(2)/2))/(LN(2)/2)*AQ155*AT155*VLOOKUP('Données projet'!$B$10,Paramètres!$A$1:$I$89,3,0)*0.475*44/12</f>
        <v>4.0125158243446773E-18</v>
      </c>
      <c r="AX155" s="21">
        <f t="shared" si="166"/>
        <v>1.2293449999440296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6.7984728957526396E-14</v>
      </c>
      <c r="P156" s="13">
        <f t="shared" si="141"/>
        <v>1.0682447123141398E-12</v>
      </c>
      <c r="Q156" s="20">
        <f t="shared" si="162"/>
        <v>1.978932943548152E-12</v>
      </c>
      <c r="R156" s="59">
        <f t="shared" si="109"/>
        <v>293.3333333333353</v>
      </c>
      <c r="S156" s="59">
        <f ca="1">AVERAGE(OFFSET($R$3,0,0,'Données projet'!$E$9+1,1))-AVERAGE(OFFSET($H$3,0,0,'Données projet'!$E$9+1,1))</f>
        <v>255.24521135682858</v>
      </c>
      <c r="T156" s="59">
        <f t="shared" si="142"/>
        <v>254.36590349790589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1.3494224584570691</v>
      </c>
      <c r="AA156" s="21">
        <f>EXP(-LN(2)/25)*AA155+(1-EXP(-LN(2)/25))/(LN(2)/25)*Calculateur!V156*Calculateur!X156*VLOOKUP('Données projet'!$B$9,Paramètres!$A$1:$I$89,3,0)*0.475*44/12</f>
        <v>0.42585705727154372</v>
      </c>
      <c r="AB156" s="21">
        <f>EXP(-LN(2)/2)*AB155+(1-EXP(-LN(2)/2))/(LN(2)/2)*V156*Y156*VLOOKUP('Données projet'!$B$9,Paramètres!$A$1:$I$89,3,0)*0.475*44/12</f>
        <v>1.7022489700269066E-18</v>
      </c>
      <c r="AC156" s="22">
        <f t="shared" si="163"/>
        <v>1.7752795157286128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-1.2710188457276673E-13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378.17323480030268</v>
      </c>
      <c r="AO156" s="59">
        <f t="shared" si="144"/>
        <v>471.89239871617241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0.38549717160023522</v>
      </c>
      <c r="AV156" s="21">
        <f>EXP(-LN(2)/25)*AV155+(1-EXP(-LN(2)/25))/(LN(2)/25)*Calculateur!AQ156*Calculateur!AS156*VLOOKUP('Données projet'!$B$10,Paramètres!$A$1:$I$89,3,0)*0.475*44/12</f>
        <v>0.81327304701659386</v>
      </c>
      <c r="AW156" s="21">
        <f>EXP(-LN(2)/2)*AW155+(1-EXP(-LN(2)/2))/(LN(2)/2)*AQ156*AT156*VLOOKUP('Données projet'!$B$10,Paramètres!$A$1:$I$89,3,0)*0.475*44/12</f>
        <v>2.8372771490124511E-18</v>
      </c>
      <c r="AX156" s="21">
        <f t="shared" si="166"/>
        <v>1.1987702186168292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6.7984728957526396E-14</v>
      </c>
      <c r="P157" s="13">
        <f t="shared" si="141"/>
        <v>1.0682447123141398E-12</v>
      </c>
      <c r="Q157" s="20">
        <f t="shared" si="162"/>
        <v>1.978932943548152E-12</v>
      </c>
      <c r="R157" s="59">
        <f t="shared" si="109"/>
        <v>293.3333333333353</v>
      </c>
      <c r="S157" s="59">
        <f ca="1">AVERAGE(OFFSET($R$3,0,0,'Données projet'!$E$9+1,1))-AVERAGE(OFFSET($H$3,0,0,'Données projet'!$E$9+1,1))</f>
        <v>255.24521135682858</v>
      </c>
      <c r="T157" s="59">
        <f t="shared" si="142"/>
        <v>254.36590349790589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1.3229611071131546</v>
      </c>
      <c r="AA157" s="21">
        <f>EXP(-LN(2)/25)*AA156+(1-EXP(-LN(2)/25))/(LN(2)/25)*Calculateur!V157*Calculateur!X157*VLOOKUP('Données projet'!$B$9,Paramètres!$A$1:$I$89,3,0)*0.475*44/12</f>
        <v>0.41421197364560403</v>
      </c>
      <c r="AB157" s="21">
        <f>EXP(-LN(2)/2)*AB156+(1-EXP(-LN(2)/2))/(LN(2)/2)*V157*Y157*VLOOKUP('Données projet'!$B$9,Paramètres!$A$1:$I$89,3,0)*0.475*44/12</f>
        <v>1.2036717899738419E-18</v>
      </c>
      <c r="AC157" s="22">
        <f t="shared" si="163"/>
        <v>1.7371730807587586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-1.2710188457276673E-13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378.17323480030268</v>
      </c>
      <c r="AO157" s="59">
        <f t="shared" si="144"/>
        <v>471.89239871617241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0.37793780719521214</v>
      </c>
      <c r="AV157" s="21">
        <f>EXP(-LN(2)/25)*AV156+(1-EXP(-LN(2)/25))/(LN(2)/25)*Calculateur!AQ157*Calculateur!AS157*VLOOKUP('Données projet'!$B$10,Paramètres!$A$1:$I$89,3,0)*0.475*44/12</f>
        <v>0.79103405277775429</v>
      </c>
      <c r="AW157" s="21">
        <f>EXP(-LN(2)/2)*AW156+(1-EXP(-LN(2)/2))/(LN(2)/2)*AQ157*AT157*VLOOKUP('Données projet'!$B$10,Paramètres!$A$1:$I$89,3,0)*0.475*44/12</f>
        <v>2.0062579121723386E-18</v>
      </c>
      <c r="AX157" s="21">
        <f t="shared" si="166"/>
        <v>1.1689718599729664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6.7984728957526396E-14</v>
      </c>
      <c r="P158" s="13">
        <f t="shared" si="141"/>
        <v>1.0682447123141398E-12</v>
      </c>
      <c r="Q158" s="20">
        <f t="shared" si="162"/>
        <v>1.978932943548152E-12</v>
      </c>
      <c r="R158" s="59">
        <f t="shared" si="109"/>
        <v>293.3333333333353</v>
      </c>
      <c r="S158" s="59">
        <f ca="1">AVERAGE(OFFSET($R$3,0,0,'Données projet'!$E$9+1,1))-AVERAGE(OFFSET($H$3,0,0,'Données projet'!$E$9+1,1))</f>
        <v>255.24521135682858</v>
      </c>
      <c r="T158" s="59">
        <f t="shared" si="142"/>
        <v>254.36590349790589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1.2970186467292637</v>
      </c>
      <c r="AA158" s="21">
        <f>EXP(-LN(2)/25)*AA157+(1-EXP(-LN(2)/25))/(LN(2)/25)*Calculateur!V158*Calculateur!X158*VLOOKUP('Données projet'!$B$9,Paramètres!$A$1:$I$89,3,0)*0.475*44/12</f>
        <v>0.40288532544380401</v>
      </c>
      <c r="AB158" s="21">
        <f>EXP(-LN(2)/2)*AB157+(1-EXP(-LN(2)/2))/(LN(2)/2)*V158*Y158*VLOOKUP('Données projet'!$B$9,Paramètres!$A$1:$I$89,3,0)*0.475*44/12</f>
        <v>8.5112448501345348E-19</v>
      </c>
      <c r="AC158" s="22">
        <f t="shared" si="163"/>
        <v>1.6999039721730678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-1.2710188457276673E-13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378.17323480030268</v>
      </c>
      <c r="AO158" s="59">
        <f t="shared" si="144"/>
        <v>471.89239871617241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0.37052667731541455</v>
      </c>
      <c r="AV158" s="21">
        <f>EXP(-LN(2)/25)*AV157+(1-EXP(-LN(2)/25))/(LN(2)/25)*Calculateur!AQ158*Calculateur!AS158*VLOOKUP('Données projet'!$B$10,Paramètres!$A$1:$I$89,3,0)*0.475*44/12</f>
        <v>0.76940318500587368</v>
      </c>
      <c r="AW158" s="21">
        <f>EXP(-LN(2)/2)*AW157+(1-EXP(-LN(2)/2))/(LN(2)/2)*AQ158*AT158*VLOOKUP('Données projet'!$B$10,Paramètres!$A$1:$I$89,3,0)*0.475*44/12</f>
        <v>1.4186385745062256E-18</v>
      </c>
      <c r="AX158" s="21">
        <f t="shared" si="166"/>
        <v>1.1399298623212881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6.7984728957526396E-14</v>
      </c>
      <c r="P159" s="13">
        <f t="shared" si="141"/>
        <v>1.0682447123141398E-12</v>
      </c>
      <c r="Q159" s="20">
        <f t="shared" si="162"/>
        <v>1.978932943548152E-12</v>
      </c>
      <c r="R159" s="59">
        <f t="shared" si="109"/>
        <v>293.3333333333353</v>
      </c>
      <c r="S159" s="59">
        <f ca="1">AVERAGE(OFFSET($R$3,0,0,'Données projet'!$E$9+1,1))-AVERAGE(OFFSET($H$3,0,0,'Données projet'!$E$9+1,1))</f>
        <v>255.24521135682858</v>
      </c>
      <c r="T159" s="59">
        <f t="shared" si="142"/>
        <v>254.36590349790589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1.2715849021701624</v>
      </c>
      <c r="AA159" s="21">
        <f>EXP(-LN(2)/25)*AA158+(1-EXP(-LN(2)/25))/(LN(2)/25)*Calculateur!V159*Calculateur!X159*VLOOKUP('Données projet'!$B$9,Paramètres!$A$1:$I$89,3,0)*0.475*44/12</f>
        <v>0.39186840503272474</v>
      </c>
      <c r="AB159" s="21">
        <f>EXP(-LN(2)/2)*AB158+(1-EXP(-LN(2)/2))/(LN(2)/2)*V159*Y159*VLOOKUP('Données projet'!$B$9,Paramètres!$A$1:$I$89,3,0)*0.475*44/12</f>
        <v>6.0183589498692103E-19</v>
      </c>
      <c r="AC159" s="22">
        <f t="shared" si="163"/>
        <v>1.6634533072028872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-1.2710188457276673E-13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378.17323480030268</v>
      </c>
      <c r="AO159" s="59">
        <f t="shared" si="144"/>
        <v>471.89239871617241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0.36326087517221689</v>
      </c>
      <c r="AV159" s="21">
        <f>EXP(-LN(2)/25)*AV158+(1-EXP(-LN(2)/25))/(LN(2)/25)*Calculateur!AQ159*Calculateur!AS159*VLOOKUP('Données projet'!$B$10,Paramètres!$A$1:$I$89,3,0)*0.475*44/12</f>
        <v>0.74836381445073308</v>
      </c>
      <c r="AW159" s="21">
        <f>EXP(-LN(2)/2)*AW158+(1-EXP(-LN(2)/2))/(LN(2)/2)*AQ159*AT159*VLOOKUP('Données projet'!$B$10,Paramètres!$A$1:$I$89,3,0)*0.475*44/12</f>
        <v>1.0031289560861693E-18</v>
      </c>
      <c r="AX159" s="21">
        <f t="shared" si="166"/>
        <v>1.11162468962295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6.7984728957526396E-14</v>
      </c>
      <c r="P160" s="13">
        <f t="shared" si="141"/>
        <v>1.0682447123141398E-12</v>
      </c>
      <c r="Q160" s="20">
        <f t="shared" si="162"/>
        <v>1.978932943548152E-12</v>
      </c>
      <c r="R160" s="59">
        <f t="shared" si="109"/>
        <v>293.3333333333353</v>
      </c>
      <c r="S160" s="59">
        <f ca="1">AVERAGE(OFFSET($R$3,0,0,'Données projet'!$E$9+1,1))-AVERAGE(OFFSET($H$3,0,0,'Données projet'!$E$9+1,1))</f>
        <v>255.24521135682858</v>
      </c>
      <c r="T160" s="59">
        <f t="shared" si="142"/>
        <v>254.36590349790589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1.2466498978288127</v>
      </c>
      <c r="AA160" s="21">
        <f>EXP(-LN(2)/25)*AA159+(1-EXP(-LN(2)/25))/(LN(2)/25)*Calculateur!V160*Calculateur!X160*VLOOKUP('Données projet'!$B$9,Paramètres!$A$1:$I$89,3,0)*0.475*44/12</f>
        <v>0.38115274288964107</v>
      </c>
      <c r="AB160" s="21">
        <f>EXP(-LN(2)/2)*AB159+(1-EXP(-LN(2)/2))/(LN(2)/2)*V160*Y160*VLOOKUP('Données projet'!$B$9,Paramètres!$A$1:$I$89,3,0)*0.475*44/12</f>
        <v>4.2556224250672679E-19</v>
      </c>
      <c r="AC160" s="22">
        <f t="shared" si="163"/>
        <v>1.6278026407184538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-1.2710188457276673E-13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378.17323480030268</v>
      </c>
      <c r="AO160" s="59">
        <f t="shared" si="144"/>
        <v>471.89239871617241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0.35613755097734562</v>
      </c>
      <c r="AV160" s="21">
        <f>EXP(-LN(2)/25)*AV159+(1-EXP(-LN(2)/25))/(LN(2)/25)*Calculateur!AQ160*Calculateur!AS160*VLOOKUP('Données projet'!$B$10,Paramètres!$A$1:$I$89,3,0)*0.475*44/12</f>
        <v>0.72789976658983524</v>
      </c>
      <c r="AW160" s="21">
        <f>EXP(-LN(2)/2)*AW159+(1-EXP(-LN(2)/2))/(LN(2)/2)*AQ160*AT160*VLOOKUP('Données projet'!$B$10,Paramètres!$A$1:$I$89,3,0)*0.475*44/12</f>
        <v>7.0931928725311278E-19</v>
      </c>
      <c r="AX160" s="21">
        <f t="shared" si="166"/>
        <v>1.0840373175671809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6.7984728957526396E-14</v>
      </c>
      <c r="P161" s="13">
        <f t="shared" si="141"/>
        <v>1.0682447123141398E-12</v>
      </c>
      <c r="Q161" s="20">
        <f t="shared" si="162"/>
        <v>1.978932943548152E-12</v>
      </c>
      <c r="R161" s="59">
        <f t="shared" si="109"/>
        <v>293.3333333333353</v>
      </c>
      <c r="S161" s="59">
        <f ca="1">AVERAGE(OFFSET($R$3,0,0,'Données projet'!$E$9+1,1))-AVERAGE(OFFSET($H$3,0,0,'Données projet'!$E$9+1,1))</f>
        <v>255.24521135682858</v>
      </c>
      <c r="T161" s="59">
        <f t="shared" si="142"/>
        <v>254.36590349790589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1.2222038537137461</v>
      </c>
      <c r="AA161" s="21">
        <f>EXP(-LN(2)/25)*AA160+(1-EXP(-LN(2)/25))/(LN(2)/25)*Calculateur!V161*Calculateur!X161*VLOOKUP('Données projet'!$B$9,Paramètres!$A$1:$I$89,3,0)*0.475*44/12</f>
        <v>0.37073010109137222</v>
      </c>
      <c r="AB161" s="21">
        <f>EXP(-LN(2)/2)*AB160+(1-EXP(-LN(2)/2))/(LN(2)/2)*V161*Y161*VLOOKUP('Données projet'!$B$9,Paramètres!$A$1:$I$89,3,0)*0.475*44/12</f>
        <v>3.0091794749346057E-19</v>
      </c>
      <c r="AC161" s="22">
        <f t="shared" si="163"/>
        <v>1.5929339548051182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-1.2710188457276673E-13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378.17323480030268</v>
      </c>
      <c r="AO161" s="59">
        <f t="shared" si="144"/>
        <v>471.89239871617241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0.34915391082513703</v>
      </c>
      <c r="AV161" s="21">
        <f>EXP(-LN(2)/25)*AV160+(1-EXP(-LN(2)/25))/(LN(2)/25)*Calculateur!AQ161*Calculateur!AS161*VLOOKUP('Données projet'!$B$10,Paramètres!$A$1:$I$89,3,0)*0.475*44/12</f>
        <v>0.70799530919385112</v>
      </c>
      <c r="AW161" s="21">
        <f>EXP(-LN(2)/2)*AW160+(1-EXP(-LN(2)/2))/(LN(2)/2)*AQ161*AT161*VLOOKUP('Données projet'!$B$10,Paramètres!$A$1:$I$89,3,0)*0.475*44/12</f>
        <v>5.0156447804308466E-19</v>
      </c>
      <c r="AX161" s="21">
        <f t="shared" si="166"/>
        <v>1.0571492200189883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6.7984728957526396E-14</v>
      </c>
      <c r="P162" s="13">
        <f t="shared" si="141"/>
        <v>1.0682447123141398E-12</v>
      </c>
      <c r="Q162" s="20">
        <f t="shared" si="162"/>
        <v>1.978932943548152E-12</v>
      </c>
      <c r="R162" s="59">
        <f t="shared" si="109"/>
        <v>293.3333333333353</v>
      </c>
      <c r="S162" s="59">
        <f ca="1">AVERAGE(OFFSET($R$3,0,0,'Données projet'!$E$9+1,1))-AVERAGE(OFFSET($H$3,0,0,'Données projet'!$E$9+1,1))</f>
        <v>255.24521135682858</v>
      </c>
      <c r="T162" s="59">
        <f t="shared" si="142"/>
        <v>254.36590349790589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1.1982371816131612</v>
      </c>
      <c r="AA162" s="21">
        <f>EXP(-LN(2)/25)*AA161+(1-EXP(-LN(2)/25))/(LN(2)/25)*Calculateur!V162*Calculateur!X162*VLOOKUP('Données projet'!$B$9,Paramètres!$A$1:$I$89,3,0)*0.475*44/12</f>
        <v>0.36059246698117997</v>
      </c>
      <c r="AB162" s="21">
        <f>EXP(-LN(2)/2)*AB161+(1-EXP(-LN(2)/2))/(LN(2)/2)*V162*Y162*VLOOKUP('Données projet'!$B$9,Paramètres!$A$1:$I$89,3,0)*0.475*44/12</f>
        <v>2.1278112125336344E-19</v>
      </c>
      <c r="AC162" s="22">
        <f t="shared" si="163"/>
        <v>1.5588296485943411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-1.2710188457276673E-13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378.17323480030268</v>
      </c>
      <c r="AO162" s="59">
        <f t="shared" si="144"/>
        <v>471.89239871617241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0.34230721559671334</v>
      </c>
      <c r="AV162" s="21">
        <f>EXP(-LN(2)/25)*AV161+(1-EXP(-LN(2)/25))/(LN(2)/25)*Calculateur!AQ162*Calculateur!AS162*VLOOKUP('Données projet'!$B$10,Paramètres!$A$1:$I$89,3,0)*0.475*44/12</f>
        <v>0.68863514023209005</v>
      </c>
      <c r="AW162" s="21">
        <f>EXP(-LN(2)/2)*AW161+(1-EXP(-LN(2)/2))/(LN(2)/2)*AQ162*AT162*VLOOKUP('Données projet'!$B$10,Paramètres!$A$1:$I$89,3,0)*0.475*44/12</f>
        <v>3.5465964362655639E-19</v>
      </c>
      <c r="AX162" s="21">
        <f t="shared" si="166"/>
        <v>1.0309423558288033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6.7984728957526396E-14</v>
      </c>
      <c r="P163" s="13">
        <f t="shared" si="141"/>
        <v>1.0682447123141398E-12</v>
      </c>
      <c r="Q163" s="20">
        <f t="shared" si="162"/>
        <v>1.978932943548152E-12</v>
      </c>
      <c r="R163" s="59">
        <f t="shared" si="109"/>
        <v>293.3333333333353</v>
      </c>
      <c r="S163" s="59">
        <f ca="1">AVERAGE(OFFSET($R$3,0,0,'Données projet'!$E$9+1,1))-AVERAGE(OFFSET($H$3,0,0,'Données projet'!$E$9+1,1))</f>
        <v>255.24521135682858</v>
      </c>
      <c r="T163" s="59">
        <f t="shared" si="142"/>
        <v>254.36590349790589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1.1747404813342421</v>
      </c>
      <c r="AA163" s="21">
        <f>EXP(-LN(2)/25)*AA162+(1-EXP(-LN(2)/25))/(LN(2)/25)*Calculateur!V163*Calculateur!X163*VLOOKUP('Données projet'!$B$9,Paramètres!$A$1:$I$89,3,0)*0.475*44/12</f>
        <v>0.35073204700884592</v>
      </c>
      <c r="AB163" s="21">
        <f>EXP(-LN(2)/2)*AB162+(1-EXP(-LN(2)/2))/(LN(2)/2)*V163*Y163*VLOOKUP('Données projet'!$B$9,Paramètres!$A$1:$I$89,3,0)*0.475*44/12</f>
        <v>1.5045897374673031E-19</v>
      </c>
      <c r="AC163" s="22">
        <f t="shared" si="163"/>
        <v>1.5254725283430881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-1.2710188457276673E-13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378.17323480030268</v>
      </c>
      <c r="AO163" s="59">
        <f t="shared" si="144"/>
        <v>471.89239871617241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0.33559477988564734</v>
      </c>
      <c r="AV163" s="21">
        <f>EXP(-LN(2)/25)*AV162+(1-EXP(-LN(2)/25))/(LN(2)/25)*Calculateur!AQ163*Calculateur!AS163*VLOOKUP('Données projet'!$B$10,Paramètres!$A$1:$I$89,3,0)*0.475*44/12</f>
        <v>0.66980437610869537</v>
      </c>
      <c r="AW163" s="21">
        <f>EXP(-LN(2)/2)*AW162+(1-EXP(-LN(2)/2))/(LN(2)/2)*AQ163*AT163*VLOOKUP('Données projet'!$B$10,Paramètres!$A$1:$I$89,3,0)*0.475*44/12</f>
        <v>2.5078223902154233E-19</v>
      </c>
      <c r="AX163" s="21">
        <f t="shared" si="166"/>
        <v>1.0053991559943427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6.7984728957526396E-14</v>
      </c>
      <c r="P164" s="13">
        <f t="shared" si="141"/>
        <v>1.0682447123141398E-12</v>
      </c>
      <c r="Q164" s="20">
        <f t="shared" si="162"/>
        <v>1.978932943548152E-12</v>
      </c>
      <c r="R164" s="59">
        <f t="shared" si="109"/>
        <v>293.3333333333353</v>
      </c>
      <c r="S164" s="59">
        <f ca="1">AVERAGE(OFFSET($R$3,0,0,'Données projet'!$E$9+1,1))-AVERAGE(OFFSET($H$3,0,0,'Données projet'!$E$9+1,1))</f>
        <v>255.24521135682858</v>
      </c>
      <c r="T164" s="59">
        <f t="shared" si="142"/>
        <v>254.36590349790589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1.1517045370162207</v>
      </c>
      <c r="AA164" s="21">
        <f>EXP(-LN(2)/25)*AA163+(1-EXP(-LN(2)/25))/(LN(2)/25)*Calculateur!V164*Calculateur!X164*VLOOKUP('Données projet'!$B$9,Paramètres!$A$1:$I$89,3,0)*0.475*44/12</f>
        <v>0.34114126073919226</v>
      </c>
      <c r="AB164" s="21">
        <f>EXP(-LN(2)/2)*AB163+(1-EXP(-LN(2)/2))/(LN(2)/2)*V164*Y164*VLOOKUP('Données projet'!$B$9,Paramètres!$A$1:$I$89,3,0)*0.475*44/12</f>
        <v>1.0639056062668173E-19</v>
      </c>
      <c r="AC164" s="22">
        <f t="shared" si="163"/>
        <v>1.4928457977554128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-1.2710188457276673E-13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378.17323480030268</v>
      </c>
      <c r="AO164" s="59">
        <f t="shared" si="144"/>
        <v>471.89239871617241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0.32901397094469381</v>
      </c>
      <c r="AV164" s="21">
        <f>EXP(-LN(2)/25)*AV163+(1-EXP(-LN(2)/25))/(LN(2)/25)*Calculateur!AQ164*Calculateur!AS164*VLOOKUP('Données projet'!$B$10,Paramètres!$A$1:$I$89,3,0)*0.475*44/12</f>
        <v>0.65148854022052183</v>
      </c>
      <c r="AW164" s="21">
        <f>EXP(-LN(2)/2)*AW163+(1-EXP(-LN(2)/2))/(LN(2)/2)*AQ164*AT164*VLOOKUP('Données projet'!$B$10,Paramètres!$A$1:$I$89,3,0)*0.475*44/12</f>
        <v>1.773298218132782E-19</v>
      </c>
      <c r="AX164" s="21">
        <f t="shared" si="166"/>
        <v>0.9805025111652157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6.7984728957526396E-14</v>
      </c>
      <c r="P165" s="13">
        <f t="shared" si="141"/>
        <v>1.0682447123141398E-12</v>
      </c>
      <c r="Q165" s="20">
        <f t="shared" si="162"/>
        <v>1.978932943548152E-12</v>
      </c>
      <c r="R165" s="59">
        <f t="shared" si="109"/>
        <v>293.3333333333353</v>
      </c>
      <c r="S165" s="59">
        <f ca="1">AVERAGE(OFFSET($R$3,0,0,'Données projet'!$E$9+1,1))-AVERAGE(OFFSET($H$3,0,0,'Données projet'!$E$9+1,1))</f>
        <v>255.24521135682858</v>
      </c>
      <c r="T165" s="59">
        <f t="shared" si="142"/>
        <v>254.36590349790589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1.1291203135157371</v>
      </c>
      <c r="AA165" s="21">
        <f>EXP(-LN(2)/25)*AA164+(1-EXP(-LN(2)/25))/(LN(2)/25)*Calculateur!V165*Calculateur!X165*VLOOKUP('Données projet'!$B$9,Paramètres!$A$1:$I$89,3,0)*0.475*44/12</f>
        <v>0.33181273502443986</v>
      </c>
      <c r="AB165" s="21">
        <f>EXP(-LN(2)/2)*AB164+(1-EXP(-LN(2)/2))/(LN(2)/2)*V165*Y165*VLOOKUP('Données projet'!$B$9,Paramètres!$A$1:$I$89,3,0)*0.475*44/12</f>
        <v>7.5229486873365165E-20</v>
      </c>
      <c r="AC165" s="22">
        <f t="shared" si="163"/>
        <v>1.460933048540177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-1.2710188457276673E-13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378.17323480030268</v>
      </c>
      <c r="AO165" s="59">
        <f t="shared" si="144"/>
        <v>471.89239871617241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0.32256220765317528</v>
      </c>
      <c r="AV165" s="21">
        <f>EXP(-LN(2)/25)*AV164+(1-EXP(-LN(2)/25))/(LN(2)/25)*Calculateur!AQ165*Calculateur!AS165*VLOOKUP('Données projet'!$B$10,Paramètres!$A$1:$I$89,3,0)*0.475*44/12</f>
        <v>0.63367355182789831</v>
      </c>
      <c r="AW165" s="21">
        <f>EXP(-LN(2)/2)*AW164+(1-EXP(-LN(2)/2))/(LN(2)/2)*AQ165*AT165*VLOOKUP('Données projet'!$B$10,Paramètres!$A$1:$I$89,3,0)*0.475*44/12</f>
        <v>1.2539111951077116E-19</v>
      </c>
      <c r="AX165" s="21">
        <f t="shared" si="166"/>
        <v>0.95623575948107353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6.7984728957526396E-14</v>
      </c>
      <c r="P166" s="13">
        <f t="shared" si="141"/>
        <v>1.0682447123141398E-12</v>
      </c>
      <c r="Q166" s="20">
        <f t="shared" si="162"/>
        <v>1.978932943548152E-12</v>
      </c>
      <c r="R166" s="59">
        <f t="shared" si="109"/>
        <v>293.3333333333353</v>
      </c>
      <c r="S166" s="59">
        <f ca="1">AVERAGE(OFFSET($R$3,0,0,'Données projet'!$E$9+1,1))-AVERAGE(OFFSET($H$3,0,0,'Données projet'!$E$9+1,1))</f>
        <v>255.24521135682858</v>
      </c>
      <c r="T166" s="59">
        <f t="shared" si="142"/>
        <v>254.36590349790589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1.1069789528630816</v>
      </c>
      <c r="AA166" s="21">
        <f>EXP(-LN(2)/25)*AA165+(1-EXP(-LN(2)/25))/(LN(2)/25)*Calculateur!V166*Calculateur!X166*VLOOKUP('Données projet'!$B$9,Paramètres!$A$1:$I$89,3,0)*0.475*44/12</f>
        <v>0.32273929833592319</v>
      </c>
      <c r="AB166" s="21">
        <f>EXP(-LN(2)/2)*AB165+(1-EXP(-LN(2)/2))/(LN(2)/2)*V166*Y166*VLOOKUP('Données projet'!$B$9,Paramètres!$A$1:$I$89,3,0)*0.475*44/12</f>
        <v>5.3195280313340873E-20</v>
      </c>
      <c r="AC166" s="22">
        <f t="shared" si="163"/>
        <v>1.4297182511990048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-1.2710188457276673E-13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378.17323480030268</v>
      </c>
      <c r="AO166" s="59">
        <f t="shared" si="144"/>
        <v>471.89239871617241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0.31623695950461639</v>
      </c>
      <c r="AV166" s="21">
        <f>EXP(-LN(2)/25)*AV165+(1-EXP(-LN(2)/25))/(LN(2)/25)*Calculateur!AQ166*Calculateur!AS166*VLOOKUP('Données projet'!$B$10,Paramètres!$A$1:$I$89,3,0)*0.475*44/12</f>
        <v>0.61634571522972059</v>
      </c>
      <c r="AW166" s="21">
        <f>EXP(-LN(2)/2)*AW165+(1-EXP(-LN(2)/2))/(LN(2)/2)*AQ166*AT166*VLOOKUP('Données projet'!$B$10,Paramètres!$A$1:$I$89,3,0)*0.475*44/12</f>
        <v>8.8664910906639098E-20</v>
      </c>
      <c r="AX166" s="21">
        <f t="shared" si="166"/>
        <v>0.93258267473433698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6.7984728957526396E-14</v>
      </c>
      <c r="P167" s="13">
        <f t="shared" si="141"/>
        <v>1.0682447123141398E-12</v>
      </c>
      <c r="Q167" s="20">
        <f t="shared" si="162"/>
        <v>1.978932943548152E-12</v>
      </c>
      <c r="R167" s="59">
        <f t="shared" si="109"/>
        <v>293.3333333333353</v>
      </c>
      <c r="S167" s="59">
        <f ca="1">AVERAGE(OFFSET($R$3,0,0,'Données projet'!$E$9+1,1))-AVERAGE(OFFSET($H$3,0,0,'Données projet'!$E$9+1,1))</f>
        <v>255.24521135682858</v>
      </c>
      <c r="T167" s="59">
        <f t="shared" si="142"/>
        <v>254.36590349790589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1.0852717707879282</v>
      </c>
      <c r="AA167" s="21">
        <f>EXP(-LN(2)/25)*AA166+(1-EXP(-LN(2)/25))/(LN(2)/25)*Calculateur!V167*Calculateur!X167*VLOOKUP('Données projet'!$B$9,Paramètres!$A$1:$I$89,3,0)*0.475*44/12</f>
        <v>0.31391397525080528</v>
      </c>
      <c r="AB167" s="21">
        <f>EXP(-LN(2)/2)*AB166+(1-EXP(-LN(2)/2))/(LN(2)/2)*V167*Y167*VLOOKUP('Données projet'!$B$9,Paramètres!$A$1:$I$89,3,0)*0.475*44/12</f>
        <v>3.7614743436682589E-20</v>
      </c>
      <c r="AC167" s="22">
        <f t="shared" si="163"/>
        <v>1.3991857460387336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-1.2710188457276673E-13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378.17323480030268</v>
      </c>
      <c r="AO167" s="59">
        <f t="shared" si="144"/>
        <v>471.89239871617241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0.31003574561423031</v>
      </c>
      <c r="AV167" s="21">
        <f>EXP(-LN(2)/25)*AV166+(1-EXP(-LN(2)/25))/(LN(2)/25)*Calculateur!AQ167*Calculateur!AS167*VLOOKUP('Données projet'!$B$10,Paramètres!$A$1:$I$89,3,0)*0.475*44/12</f>
        <v>0.59949170923455142</v>
      </c>
      <c r="AW167" s="21">
        <f>EXP(-LN(2)/2)*AW166+(1-EXP(-LN(2)/2))/(LN(2)/2)*AQ167*AT167*VLOOKUP('Données projet'!$B$10,Paramètres!$A$1:$I$89,3,0)*0.475*44/12</f>
        <v>6.2695559755385582E-20</v>
      </c>
      <c r="AX167" s="21">
        <f t="shared" si="166"/>
        <v>0.90952745484878172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6.7984728957526396E-14</v>
      </c>
      <c r="P168" s="13">
        <f t="shared" si="141"/>
        <v>1.0682447123141398E-12</v>
      </c>
      <c r="Q168" s="20">
        <f t="shared" si="162"/>
        <v>1.978932943548152E-12</v>
      </c>
      <c r="R168" s="59">
        <f t="shared" si="109"/>
        <v>293.3333333333353</v>
      </c>
      <c r="S168" s="59">
        <f ca="1">AVERAGE(OFFSET($R$3,0,0,'Données projet'!$E$9+1,1))-AVERAGE(OFFSET($H$3,0,0,'Données projet'!$E$9+1,1))</f>
        <v>255.24521135682858</v>
      </c>
      <c r="T168" s="59">
        <f t="shared" si="142"/>
        <v>254.36590349790589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1.0639902533131951</v>
      </c>
      <c r="AA168" s="21">
        <f>EXP(-LN(2)/25)*AA167+(1-EXP(-LN(2)/25))/(LN(2)/25)*Calculateur!V168*Calculateur!X168*VLOOKUP('Données projet'!$B$9,Paramètres!$A$1:$I$89,3,0)*0.475*44/12</f>
        <v>0.3053299810895535</v>
      </c>
      <c r="AB168" s="21">
        <f>EXP(-LN(2)/2)*AB167+(1-EXP(-LN(2)/2))/(LN(2)/2)*V168*Y168*VLOOKUP('Données projet'!$B$9,Paramètres!$A$1:$I$89,3,0)*0.475*44/12</f>
        <v>2.6597640156670442E-20</v>
      </c>
      <c r="AC168" s="22">
        <f t="shared" si="163"/>
        <v>1.3693202344027486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-1.2710188457276673E-13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378.17323480030268</v>
      </c>
      <c r="AO168" s="59">
        <f t="shared" si="144"/>
        <v>471.89239871617241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0.30395613374586772</v>
      </c>
      <c r="AV168" s="21">
        <f>EXP(-LN(2)/25)*AV167+(1-EXP(-LN(2)/25))/(LN(2)/25)*Calculateur!AQ168*Calculateur!AS168*VLOOKUP('Données projet'!$B$10,Paramètres!$A$1:$I$89,3,0)*0.475*44/12</f>
        <v>0.58309857691963374</v>
      </c>
      <c r="AW168" s="21">
        <f>EXP(-LN(2)/2)*AW167+(1-EXP(-LN(2)/2))/(LN(2)/2)*AQ168*AT168*VLOOKUP('Données projet'!$B$10,Paramètres!$A$1:$I$89,3,0)*0.475*44/12</f>
        <v>4.4332455453319549E-20</v>
      </c>
      <c r="AX168" s="21">
        <f t="shared" si="166"/>
        <v>0.88705471066550146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6.7984728957526396E-14</v>
      </c>
      <c r="P169" s="13">
        <f t="shared" si="141"/>
        <v>1.0682447123141398E-12</v>
      </c>
      <c r="Q169" s="20">
        <f t="shared" si="162"/>
        <v>1.978932943548152E-12</v>
      </c>
      <c r="R169" s="59">
        <f t="shared" si="109"/>
        <v>293.3333333333353</v>
      </c>
      <c r="S169" s="59">
        <f ca="1">AVERAGE(OFFSET($R$3,0,0,'Données projet'!$E$9+1,1))-AVERAGE(OFFSET($H$3,0,0,'Données projet'!$E$9+1,1))</f>
        <v>255.24521135682858</v>
      </c>
      <c r="T169" s="59">
        <f t="shared" si="142"/>
        <v>254.36590349790589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1.0431260534156974</v>
      </c>
      <c r="AA169" s="21">
        <f>EXP(-LN(2)/25)*AA168+(1-EXP(-LN(2)/25))/(LN(2)/25)*Calculateur!V169*Calculateur!X169*VLOOKUP('Données projet'!$B$9,Paramètres!$A$1:$I$89,3,0)*0.475*44/12</f>
        <v>0.29698071670005383</v>
      </c>
      <c r="AB169" s="21">
        <f>EXP(-LN(2)/2)*AB168+(1-EXP(-LN(2)/2))/(LN(2)/2)*V169*Y169*VLOOKUP('Données projet'!$B$9,Paramètres!$A$1:$I$89,3,0)*0.475*44/12</f>
        <v>1.8807371718341297E-20</v>
      </c>
      <c r="AC169" s="22">
        <f t="shared" si="163"/>
        <v>1.3401067701157512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-1.2710188457276673E-13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378.17323480030268</v>
      </c>
      <c r="AO169" s="59">
        <f t="shared" si="144"/>
        <v>471.89239871617241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0.29799573935804663</v>
      </c>
      <c r="AV169" s="21">
        <f>EXP(-LN(2)/25)*AV168+(1-EXP(-LN(2)/25))/(LN(2)/25)*Calculateur!AQ169*Calculateur!AS169*VLOOKUP('Données projet'!$B$10,Paramètres!$A$1:$I$89,3,0)*0.475*44/12</f>
        <v>0.56715371566994488</v>
      </c>
      <c r="AW169" s="21">
        <f>EXP(-LN(2)/2)*AW168+(1-EXP(-LN(2)/2))/(LN(2)/2)*AQ169*AT169*VLOOKUP('Données projet'!$B$10,Paramètres!$A$1:$I$89,3,0)*0.475*44/12</f>
        <v>3.1347779877692791E-20</v>
      </c>
      <c r="AX169" s="21">
        <f t="shared" si="166"/>
        <v>0.86514945502799145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6.7984728957526396E-14</v>
      </c>
      <c r="P170" s="13">
        <f t="shared" si="141"/>
        <v>1.0682447123141398E-12</v>
      </c>
      <c r="Q170" s="20">
        <f t="shared" si="162"/>
        <v>1.978932943548152E-12</v>
      </c>
      <c r="R170" s="59">
        <f t="shared" si="109"/>
        <v>293.3333333333353</v>
      </c>
      <c r="S170" s="59">
        <f ca="1">AVERAGE(OFFSET($R$3,0,0,'Données projet'!$E$9+1,1))-AVERAGE(OFFSET($H$3,0,0,'Données projet'!$E$9+1,1))</f>
        <v>255.24521135682858</v>
      </c>
      <c r="T170" s="59">
        <f t="shared" si="142"/>
        <v>254.36590349790589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1.0226709877522844</v>
      </c>
      <c r="AA170" s="21">
        <f>EXP(-LN(2)/25)*AA169+(1-EXP(-LN(2)/25))/(LN(2)/25)*Calculateur!V170*Calculateur!X170*VLOOKUP('Données projet'!$B$9,Paramètres!$A$1:$I$89,3,0)*0.475*44/12</f>
        <v>0.28885976338435371</v>
      </c>
      <c r="AB170" s="21">
        <f>EXP(-LN(2)/2)*AB169+(1-EXP(-LN(2)/2))/(LN(2)/2)*V170*Y170*VLOOKUP('Données projet'!$B$9,Paramètres!$A$1:$I$89,3,0)*0.475*44/12</f>
        <v>1.3298820078335223E-20</v>
      </c>
      <c r="AC170" s="22">
        <f t="shared" si="163"/>
        <v>1.3115307511366381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-1.2710188457276673E-13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378.17323480030268</v>
      </c>
      <c r="AO170" s="59">
        <f t="shared" si="144"/>
        <v>471.89239871617241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0.29215222466868906</v>
      </c>
      <c r="AV170" s="21">
        <f>EXP(-LN(2)/25)*AV169+(1-EXP(-LN(2)/25))/(LN(2)/25)*Calculateur!AQ170*Calculateur!AS170*VLOOKUP('Données projet'!$B$10,Paramètres!$A$1:$I$89,3,0)*0.475*44/12</f>
        <v>0.5516448674896326</v>
      </c>
      <c r="AW170" s="21">
        <f>EXP(-LN(2)/2)*AW169+(1-EXP(-LN(2)/2))/(LN(2)/2)*AQ170*AT170*VLOOKUP('Données projet'!$B$10,Paramètres!$A$1:$I$89,3,0)*0.475*44/12</f>
        <v>2.2166227726659774E-20</v>
      </c>
      <c r="AX170" s="21">
        <f t="shared" si="166"/>
        <v>0.84379709215832166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6.7984728957526396E-14</v>
      </c>
      <c r="P171" s="13">
        <f t="shared" si="141"/>
        <v>1.0682447123141398E-12</v>
      </c>
      <c r="Q171" s="20">
        <f t="shared" si="162"/>
        <v>1.978932943548152E-12</v>
      </c>
      <c r="R171" s="59">
        <f t="shared" si="109"/>
        <v>293.3333333333353</v>
      </c>
      <c r="S171" s="59">
        <f ca="1">AVERAGE(OFFSET($R$3,0,0,'Données projet'!$E$9+1,1))-AVERAGE(OFFSET($H$3,0,0,'Données projet'!$E$9+1,1))</f>
        <v>255.24521135682858</v>
      </c>
      <c r="T171" s="59">
        <f t="shared" si="142"/>
        <v>254.36590349790589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1.0026170334501727</v>
      </c>
      <c r="AA171" s="21">
        <f>EXP(-LN(2)/25)*AA170+(1-EXP(-LN(2)/25))/(LN(2)/25)*Calculateur!V171*Calculateur!X171*VLOOKUP('Données projet'!$B$9,Paramètres!$A$1:$I$89,3,0)*0.475*44/12</f>
        <v>0.28096087796413377</v>
      </c>
      <c r="AB171" s="21">
        <f>EXP(-LN(2)/2)*AB170+(1-EXP(-LN(2)/2))/(LN(2)/2)*V171*Y171*VLOOKUP('Données projet'!$B$9,Paramètres!$A$1:$I$89,3,0)*0.475*44/12</f>
        <v>9.4036858591706502E-21</v>
      </c>
      <c r="AC171" s="22">
        <f t="shared" si="163"/>
        <v>1.2835779114143064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-1.2710188457276673E-13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378.17323480030268</v>
      </c>
      <c r="AO171" s="59">
        <f t="shared" si="144"/>
        <v>471.89239871617241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0.2864232977381978</v>
      </c>
      <c r="AV171" s="21">
        <f>EXP(-LN(2)/25)*AV170+(1-EXP(-LN(2)/25))/(LN(2)/25)*Calculateur!AQ171*Calculateur!AS171*VLOOKUP('Données projet'!$B$10,Paramètres!$A$1:$I$89,3,0)*0.475*44/12</f>
        <v>0.53656010957838585</v>
      </c>
      <c r="AW171" s="21">
        <f>EXP(-LN(2)/2)*AW170+(1-EXP(-LN(2)/2))/(LN(2)/2)*AQ171*AT171*VLOOKUP('Données projet'!$B$10,Paramètres!$A$1:$I$89,3,0)*0.475*44/12</f>
        <v>1.5673889938846396E-20</v>
      </c>
      <c r="AX171" s="21">
        <f t="shared" si="166"/>
        <v>0.82298340731658359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6.7984728957526396E-14</v>
      </c>
      <c r="P172" s="13">
        <f t="shared" si="141"/>
        <v>1.0682447123141398E-12</v>
      </c>
      <c r="Q172" s="20">
        <f t="shared" si="162"/>
        <v>1.978932943548152E-12</v>
      </c>
      <c r="R172" s="59">
        <f t="shared" si="109"/>
        <v>293.3333333333353</v>
      </c>
      <c r="S172" s="59">
        <f ca="1">AVERAGE(OFFSET($R$3,0,0,'Données projet'!$E$9+1,1))-AVERAGE(OFFSET($H$3,0,0,'Données projet'!$E$9+1,1))</f>
        <v>255.24521135682858</v>
      </c>
      <c r="T172" s="59">
        <f t="shared" si="142"/>
        <v>254.36590349790589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0.98295632496022112</v>
      </c>
      <c r="AA172" s="21">
        <f>EXP(-LN(2)/25)*AA171+(1-EXP(-LN(2)/25))/(LN(2)/25)*Calculateur!V172*Calculateur!X172*VLOOKUP('Données projet'!$B$9,Paramètres!$A$1:$I$89,3,0)*0.475*44/12</f>
        <v>0.27327798798111408</v>
      </c>
      <c r="AB172" s="21">
        <f>EXP(-LN(2)/2)*AB171+(1-EXP(-LN(2)/2))/(LN(2)/2)*V172*Y172*VLOOKUP('Données projet'!$B$9,Paramètres!$A$1:$I$89,3,0)*0.475*44/12</f>
        <v>6.6494100391676129E-21</v>
      </c>
      <c r="AC172" s="22">
        <f t="shared" si="163"/>
        <v>1.2562343129413351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-1.2710188457276673E-13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378.17323480030268</v>
      </c>
      <c r="AO172" s="59">
        <f t="shared" si="144"/>
        <v>471.89239871617241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0.28080671157051307</v>
      </c>
      <c r="AV172" s="21">
        <f>EXP(-LN(2)/25)*AV171+(1-EXP(-LN(2)/25))/(LN(2)/25)*Calculateur!AQ172*Calculateur!AS172*VLOOKUP('Données projet'!$B$10,Paramètres!$A$1:$I$89,3,0)*0.475*44/12</f>
        <v>0.52188784516549502</v>
      </c>
      <c r="AW172" s="21">
        <f>EXP(-LN(2)/2)*AW171+(1-EXP(-LN(2)/2))/(LN(2)/2)*AQ172*AT172*VLOOKUP('Données projet'!$B$10,Paramètres!$A$1:$I$89,3,0)*0.475*44/12</f>
        <v>1.1083113863329887E-20</v>
      </c>
      <c r="AX172" s="21">
        <f t="shared" si="166"/>
        <v>0.80269455673600809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6.7984728957526396E-14</v>
      </c>
      <c r="P173" s="13">
        <f t="shared" si="141"/>
        <v>1.0682447123141398E-12</v>
      </c>
      <c r="Q173" s="20">
        <f t="shared" si="162"/>
        <v>1.978932943548152E-12</v>
      </c>
      <c r="R173" s="59">
        <f t="shared" si="109"/>
        <v>293.3333333333353</v>
      </c>
      <c r="S173" s="59">
        <f ca="1">AVERAGE(OFFSET($R$3,0,0,'Données projet'!$E$9+1,1))-AVERAGE(OFFSET($H$3,0,0,'Données projet'!$E$9+1,1))</f>
        <v>255.24521135682858</v>
      </c>
      <c r="T173" s="59">
        <f t="shared" si="142"/>
        <v>254.36590349790589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0.96368115097190932</v>
      </c>
      <c r="AA173" s="21">
        <f>EXP(-LN(2)/25)*AA172+(1-EXP(-LN(2)/25))/(LN(2)/25)*Calculateur!V173*Calculateur!X173*VLOOKUP('Données projet'!$B$9,Paramètres!$A$1:$I$89,3,0)*0.475*44/12</f>
        <v>0.2658051870287057</v>
      </c>
      <c r="AB173" s="21">
        <f>EXP(-LN(2)/2)*AB172+(1-EXP(-LN(2)/2))/(LN(2)/2)*V173*Y173*VLOOKUP('Données projet'!$B$9,Paramètres!$A$1:$I$89,3,0)*0.475*44/12</f>
        <v>4.7018429295853258E-21</v>
      </c>
      <c r="AC173" s="22">
        <f t="shared" si="163"/>
        <v>1.2294863380006151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-1.2710188457276673E-13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378.17323480030268</v>
      </c>
      <c r="AO173" s="59">
        <f t="shared" si="144"/>
        <v>471.89239871617241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0.27530026323179735</v>
      </c>
      <c r="AV173" s="21">
        <f>EXP(-LN(2)/25)*AV172+(1-EXP(-LN(2)/25))/(LN(2)/25)*Calculateur!AQ173*Calculateur!AS173*VLOOKUP('Données projet'!$B$10,Paramètres!$A$1:$I$89,3,0)*0.475*44/12</f>
        <v>0.50761679459455555</v>
      </c>
      <c r="AW173" s="21">
        <f>EXP(-LN(2)/2)*AW172+(1-EXP(-LN(2)/2))/(LN(2)/2)*AQ173*AT173*VLOOKUP('Données projet'!$B$10,Paramètres!$A$1:$I$89,3,0)*0.475*44/12</f>
        <v>7.8369449694231978E-21</v>
      </c>
      <c r="AX173" s="21">
        <f t="shared" si="166"/>
        <v>0.7829170578263529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6.7984728957526396E-14</v>
      </c>
      <c r="P174" s="13">
        <f t="shared" si="141"/>
        <v>1.0682447123141398E-12</v>
      </c>
      <c r="Q174" s="20">
        <f t="shared" si="162"/>
        <v>1.978932943548152E-12</v>
      </c>
      <c r="R174" s="59">
        <f t="shared" si="109"/>
        <v>293.3333333333353</v>
      </c>
      <c r="S174" s="59">
        <f ca="1">AVERAGE(OFFSET($R$3,0,0,'Données projet'!$E$9+1,1))-AVERAGE(OFFSET($H$3,0,0,'Données projet'!$E$9+1,1))</f>
        <v>255.24521135682858</v>
      </c>
      <c r="T174" s="59">
        <f t="shared" si="142"/>
        <v>254.36590349790589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0.9447839513888131</v>
      </c>
      <c r="AA174" s="21">
        <f>EXP(-LN(2)/25)*AA173+(1-EXP(-LN(2)/25))/(LN(2)/25)*Calculateur!V174*Calculateur!X174*VLOOKUP('Données projet'!$B$9,Paramètres!$A$1:$I$89,3,0)*0.475*44/12</f>
        <v>0.25853673021131846</v>
      </c>
      <c r="AB174" s="21">
        <f>EXP(-LN(2)/2)*AB173+(1-EXP(-LN(2)/2))/(LN(2)/2)*V174*Y174*VLOOKUP('Données projet'!$B$9,Paramètres!$A$1:$I$89,3,0)*0.475*44/12</f>
        <v>3.3247050195838068E-21</v>
      </c>
      <c r="AC174" s="22">
        <f t="shared" si="163"/>
        <v>1.2033206816001316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-1.2710188457276673E-13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378.17323480030268</v>
      </c>
      <c r="AO174" s="59">
        <f t="shared" si="144"/>
        <v>471.89239871617241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0.26990179298640199</v>
      </c>
      <c r="AV174" s="21">
        <f>EXP(-LN(2)/25)*AV173+(1-EXP(-LN(2)/25))/(LN(2)/25)*Calculateur!AQ174*Calculateur!AS174*VLOOKUP('Données projet'!$B$10,Paramètres!$A$1:$I$89,3,0)*0.475*44/12</f>
        <v>0.49373598665196039</v>
      </c>
      <c r="AW174" s="21">
        <f>EXP(-LN(2)/2)*AW173+(1-EXP(-LN(2)/2))/(LN(2)/2)*AQ174*AT174*VLOOKUP('Données projet'!$B$10,Paramètres!$A$1:$I$89,3,0)*0.475*44/12</f>
        <v>5.5415569316649436E-21</v>
      </c>
      <c r="AX174" s="21">
        <f t="shared" si="166"/>
        <v>0.76363777963836244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6.7984728957526396E-14</v>
      </c>
      <c r="P175" s="13">
        <f t="shared" si="141"/>
        <v>1.0682447123141398E-12</v>
      </c>
      <c r="Q175" s="20">
        <f t="shared" si="162"/>
        <v>1.978932943548152E-12</v>
      </c>
      <c r="R175" s="59">
        <f t="shared" si="109"/>
        <v>293.3333333333353</v>
      </c>
      <c r="S175" s="59">
        <f ca="1">AVERAGE(OFFSET($R$3,0,0,'Données projet'!$E$9+1,1))-AVERAGE(OFFSET($H$3,0,0,'Données projet'!$E$9+1,1))</f>
        <v>255.24521135682858</v>
      </c>
      <c r="T175" s="59">
        <f t="shared" si="142"/>
        <v>254.36590349790589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0.92625731436338776</v>
      </c>
      <c r="AA175" s="21">
        <f>EXP(-LN(2)/25)*AA174+(1-EXP(-LN(2)/25))/(LN(2)/25)*Calculateur!V175*Calculateur!X175*VLOOKUP('Données projet'!$B$9,Paramètres!$A$1:$I$89,3,0)*0.475*44/12</f>
        <v>0.25146702972783419</v>
      </c>
      <c r="AB175" s="21">
        <f>EXP(-LN(2)/2)*AB174+(1-EXP(-LN(2)/2))/(LN(2)/2)*V175*Y175*VLOOKUP('Données projet'!$B$9,Paramètres!$A$1:$I$89,3,0)*0.475*44/12</f>
        <v>2.3509214647926633E-21</v>
      </c>
      <c r="AC175" s="22">
        <f t="shared" si="163"/>
        <v>1.177724344091222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-1.2710188457276673E-13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378.17323480030268</v>
      </c>
      <c r="AO175" s="59">
        <f t="shared" si="144"/>
        <v>471.89239871617241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0.26460918344977713</v>
      </c>
      <c r="AV175" s="21">
        <f>EXP(-LN(2)/25)*AV174+(1-EXP(-LN(2)/25))/(LN(2)/25)*Calculateur!AQ175*Calculateur!AS175*VLOOKUP('Données projet'!$B$10,Paramètres!$A$1:$I$89,3,0)*0.475*44/12</f>
        <v>0.48023475013251543</v>
      </c>
      <c r="AW175" s="21">
        <f>EXP(-LN(2)/2)*AW174+(1-EXP(-LN(2)/2))/(LN(2)/2)*AQ175*AT175*VLOOKUP('Données projet'!$B$10,Paramètres!$A$1:$I$89,3,0)*0.475*44/12</f>
        <v>3.9184724847115989E-21</v>
      </c>
      <c r="AX175" s="21">
        <f t="shared" si="166"/>
        <v>0.74484393358229251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6.7984728957526396E-14</v>
      </c>
      <c r="P176" s="13">
        <f t="shared" si="141"/>
        <v>1.0682447123141398E-12</v>
      </c>
      <c r="Q176" s="20">
        <f t="shared" si="162"/>
        <v>1.978932943548152E-12</v>
      </c>
      <c r="R176" s="59">
        <f t="shared" si="109"/>
        <v>293.3333333333353</v>
      </c>
      <c r="S176" s="59">
        <f ca="1">AVERAGE(OFFSET($R$3,0,0,'Données projet'!$E$9+1,1))-AVERAGE(OFFSET($H$3,0,0,'Données projet'!$E$9+1,1))</f>
        <v>255.24521135682858</v>
      </c>
      <c r="T176" s="59">
        <f t="shared" si="142"/>
        <v>254.36590349790589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0.90809397338989817</v>
      </c>
      <c r="AA176" s="21">
        <f>EXP(-LN(2)/25)*AA175+(1-EXP(-LN(2)/25))/(LN(2)/25)*Calculateur!V176*Calculateur!X176*VLOOKUP('Données projet'!$B$9,Paramètres!$A$1:$I$89,3,0)*0.475*44/12</f>
        <v>0.24459065057585019</v>
      </c>
      <c r="AB176" s="21">
        <f>EXP(-LN(2)/2)*AB175+(1-EXP(-LN(2)/2))/(LN(2)/2)*V176*Y176*VLOOKUP('Données projet'!$B$9,Paramètres!$A$1:$I$89,3,0)*0.475*44/12</f>
        <v>1.6623525097919036E-21</v>
      </c>
      <c r="AC176" s="22">
        <f t="shared" si="163"/>
        <v>1.1526846239657484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-1.2710188457276673E-13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378.17323480030268</v>
      </c>
      <c r="AO176" s="59">
        <f t="shared" si="144"/>
        <v>471.89239871617241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0.25942035875799241</v>
      </c>
      <c r="AV176" s="21">
        <f>EXP(-LN(2)/25)*AV175+(1-EXP(-LN(2)/25))/(LN(2)/25)*Calculateur!AQ176*Calculateur!AS176*VLOOKUP('Données projet'!$B$10,Paramètres!$A$1:$I$89,3,0)*0.475*44/12</f>
        <v>0.46710270563569389</v>
      </c>
      <c r="AW176" s="21">
        <f>EXP(-LN(2)/2)*AW175+(1-EXP(-LN(2)/2))/(LN(2)/2)*AQ176*AT176*VLOOKUP('Données projet'!$B$10,Paramètres!$A$1:$I$89,3,0)*0.475*44/12</f>
        <v>2.7707784658324718E-21</v>
      </c>
      <c r="AX176" s="21">
        <f t="shared" si="166"/>
        <v>0.7265230643936863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6.7984728957526396E-14</v>
      </c>
      <c r="P177" s="13">
        <f t="shared" si="141"/>
        <v>1.0682447123141398E-12</v>
      </c>
      <c r="Q177" s="20">
        <f t="shared" si="162"/>
        <v>1.978932943548152E-12</v>
      </c>
      <c r="R177" s="59">
        <f t="shared" si="109"/>
        <v>293.3333333333353</v>
      </c>
      <c r="S177" s="59">
        <f ca="1">AVERAGE(OFFSET($R$3,0,0,'Données projet'!$E$9+1,1))-AVERAGE(OFFSET($H$3,0,0,'Données projet'!$E$9+1,1))</f>
        <v>255.24521135682858</v>
      </c>
      <c r="T177" s="59">
        <f t="shared" si="142"/>
        <v>254.36590349790589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0.89028680445435471</v>
      </c>
      <c r="AA177" s="21">
        <f>EXP(-LN(2)/25)*AA176+(1-EXP(-LN(2)/25))/(LN(2)/25)*Calculateur!V177*Calculateur!X177*VLOOKUP('Données projet'!$B$9,Paramètres!$A$1:$I$89,3,0)*0.475*44/12</f>
        <v>0.23790230637339027</v>
      </c>
      <c r="AB177" s="21">
        <f>EXP(-LN(2)/2)*AB176+(1-EXP(-LN(2)/2))/(LN(2)/2)*V177*Y177*VLOOKUP('Données projet'!$B$9,Paramètres!$A$1:$I$89,3,0)*0.475*44/12</f>
        <v>1.1754607323963318E-21</v>
      </c>
      <c r="AC177" s="22">
        <f t="shared" si="163"/>
        <v>1.1281891108277451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-1.2710188457276673E-13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378.17323480030268</v>
      </c>
      <c r="AO177" s="59">
        <f t="shared" si="144"/>
        <v>471.89239871617241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0.25433328375354303</v>
      </c>
      <c r="AV177" s="21">
        <f>EXP(-LN(2)/25)*AV176+(1-EXP(-LN(2)/25))/(LN(2)/25)*Calculateur!AQ177*Calculateur!AS177*VLOOKUP('Données projet'!$B$10,Paramètres!$A$1:$I$89,3,0)*0.475*44/12</f>
        <v>0.45432975758622213</v>
      </c>
      <c r="AW177" s="21">
        <f>EXP(-LN(2)/2)*AW176+(1-EXP(-LN(2)/2))/(LN(2)/2)*AQ177*AT177*VLOOKUP('Données projet'!$B$10,Paramètres!$A$1:$I$89,3,0)*0.475*44/12</f>
        <v>1.9592362423557994E-21</v>
      </c>
      <c r="AX177" s="21">
        <f t="shared" si="166"/>
        <v>0.70866304133976521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6.7984728957526396E-14</v>
      </c>
      <c r="P178" s="13">
        <f t="shared" si="141"/>
        <v>1.0682447123141398E-12</v>
      </c>
      <c r="Q178" s="20">
        <f t="shared" si="162"/>
        <v>1.978932943548152E-12</v>
      </c>
      <c r="R178" s="59">
        <f t="shared" si="109"/>
        <v>293.3333333333353</v>
      </c>
      <c r="S178" s="59">
        <f ca="1">AVERAGE(OFFSET($R$3,0,0,'Données projet'!$E$9+1,1))-AVERAGE(OFFSET($H$3,0,0,'Données projet'!$E$9+1,1))</f>
        <v>255.24521135682858</v>
      </c>
      <c r="T178" s="59">
        <f t="shared" si="142"/>
        <v>254.36590349790589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0.87282882324033662</v>
      </c>
      <c r="AA178" s="21">
        <f>EXP(-LN(2)/25)*AA177+(1-EXP(-LN(2)/25))/(LN(2)/25)*Calculateur!V178*Calculateur!X178*VLOOKUP('Données projet'!$B$9,Paramètres!$A$1:$I$89,3,0)*0.475*44/12</f>
        <v>0.23139685529487136</v>
      </c>
      <c r="AB178" s="21">
        <f>EXP(-LN(2)/2)*AB177+(1-EXP(-LN(2)/2))/(LN(2)/2)*V178*Y178*VLOOKUP('Données projet'!$B$9,Paramètres!$A$1:$I$89,3,0)*0.475*44/12</f>
        <v>8.3117625489595198E-22</v>
      </c>
      <c r="AC178" s="22">
        <f t="shared" si="163"/>
        <v>1.104225678535208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-1.2710188457276673E-13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378.17323480030268</v>
      </c>
      <c r="AO178" s="59">
        <f t="shared" si="144"/>
        <v>471.89239871617241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0.24934596318712152</v>
      </c>
      <c r="AV178" s="21">
        <f>EXP(-LN(2)/25)*AV177+(1-EXP(-LN(2)/25))/(LN(2)/25)*Calculateur!AQ178*Calculateur!AS178*VLOOKUP('Données projet'!$B$10,Paramètres!$A$1:$I$89,3,0)*0.475*44/12</f>
        <v>0.44190608647286334</v>
      </c>
      <c r="AW178" s="21">
        <f>EXP(-LN(2)/2)*AW177+(1-EXP(-LN(2)/2))/(LN(2)/2)*AQ178*AT178*VLOOKUP('Données projet'!$B$10,Paramètres!$A$1:$I$89,3,0)*0.475*44/12</f>
        <v>1.3853892329162359E-21</v>
      </c>
      <c r="AX178" s="21">
        <f t="shared" si="166"/>
        <v>0.69125204965998488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6.7984728957526396E-14</v>
      </c>
      <c r="P179" s="13">
        <f t="shared" si="141"/>
        <v>1.0682447123141398E-12</v>
      </c>
      <c r="Q179" s="20">
        <f t="shared" si="162"/>
        <v>1.978932943548152E-12</v>
      </c>
      <c r="R179" s="59">
        <f t="shared" si="109"/>
        <v>293.3333333333353</v>
      </c>
      <c r="S179" s="59">
        <f ca="1">AVERAGE(OFFSET($R$3,0,0,'Données projet'!$E$9+1,1))-AVERAGE(OFFSET($H$3,0,0,'Données projet'!$E$9+1,1))</f>
        <v>255.24521135682858</v>
      </c>
      <c r="T179" s="59">
        <f t="shared" si="142"/>
        <v>254.36590349790589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0.85571318238960836</v>
      </c>
      <c r="AA179" s="21">
        <f>EXP(-LN(2)/25)*AA178+(1-EXP(-LN(2)/25))/(LN(2)/25)*Calculateur!V179*Calculateur!X179*VLOOKUP('Données projet'!$B$9,Paramètres!$A$1:$I$89,3,0)*0.475*44/12</f>
        <v>0.22506929611820134</v>
      </c>
      <c r="AB179" s="21">
        <f>EXP(-LN(2)/2)*AB178+(1-EXP(-LN(2)/2))/(LN(2)/2)*V179*Y179*VLOOKUP('Données projet'!$B$9,Paramètres!$A$1:$I$89,3,0)*0.475*44/12</f>
        <v>5.8773036619816601E-22</v>
      </c>
      <c r="AC179" s="22">
        <f t="shared" si="163"/>
        <v>1.0807824785078097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-1.2710188457276673E-13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378.17323480030268</v>
      </c>
      <c r="AO179" s="59">
        <f t="shared" si="144"/>
        <v>471.89239871617241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0.24445644093504237</v>
      </c>
      <c r="AV179" s="21">
        <f>EXP(-LN(2)/25)*AV178+(1-EXP(-LN(2)/25))/(LN(2)/25)*Calculateur!AQ179*Calculateur!AS179*VLOOKUP('Données projet'!$B$10,Paramètres!$A$1:$I$89,3,0)*0.475*44/12</f>
        <v>0.4298221412994318</v>
      </c>
      <c r="AW179" s="21">
        <f>EXP(-LN(2)/2)*AW178+(1-EXP(-LN(2)/2))/(LN(2)/2)*AQ179*AT179*VLOOKUP('Données projet'!$B$10,Paramètres!$A$1:$I$89,3,0)*0.475*44/12</f>
        <v>9.7961812117789972E-22</v>
      </c>
      <c r="AX179" s="21">
        <f t="shared" si="166"/>
        <v>0.67427858223447412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6.7984728957526396E-14</v>
      </c>
      <c r="P180" s="13">
        <f t="shared" si="141"/>
        <v>1.0682447123141398E-12</v>
      </c>
      <c r="Q180" s="20">
        <f t="shared" si="162"/>
        <v>1.978932943548152E-12</v>
      </c>
      <c r="R180" s="59">
        <f t="shared" si="109"/>
        <v>293.3333333333353</v>
      </c>
      <c r="S180" s="59">
        <f ca="1">AVERAGE(OFFSET($R$3,0,0,'Données projet'!$E$9+1,1))-AVERAGE(OFFSET($H$3,0,0,'Données projet'!$E$9+1,1))</f>
        <v>255.24521135682858</v>
      </c>
      <c r="T180" s="59">
        <f t="shared" si="142"/>
        <v>254.36590349790589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0.83893316881645275</v>
      </c>
      <c r="AA180" s="21">
        <f>EXP(-LN(2)/25)*AA179+(1-EXP(-LN(2)/25))/(LN(2)/25)*Calculateur!V180*Calculateur!X180*VLOOKUP('Données projet'!$B$9,Paramètres!$A$1:$I$89,3,0)*0.475*44/12</f>
        <v>0.21891476437996923</v>
      </c>
      <c r="AB180" s="21">
        <f>EXP(-LN(2)/2)*AB179+(1-EXP(-LN(2)/2))/(LN(2)/2)*V180*Y180*VLOOKUP('Données projet'!$B$9,Paramètres!$A$1:$I$89,3,0)*0.475*44/12</f>
        <v>4.1558812744797604E-22</v>
      </c>
      <c r="AC180" s="22">
        <f t="shared" si="163"/>
        <v>1.0578479331964219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-1.2710188457276673E-13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378.17323480030268</v>
      </c>
      <c r="AO180" s="59">
        <f t="shared" si="144"/>
        <v>471.89239871617241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0.23966279923201239</v>
      </c>
      <c r="AV180" s="21">
        <f>EXP(-LN(2)/25)*AV179+(1-EXP(-LN(2)/25))/(LN(2)/25)*Calculateur!AQ180*Calculateur!AS180*VLOOKUP('Données projet'!$B$10,Paramètres!$A$1:$I$89,3,0)*0.475*44/12</f>
        <v>0.41806863224223478</v>
      </c>
      <c r="AW180" s="21">
        <f>EXP(-LN(2)/2)*AW179+(1-EXP(-LN(2)/2))/(LN(2)/2)*AQ180*AT180*VLOOKUP('Données projet'!$B$10,Paramètres!$A$1:$I$89,3,0)*0.475*44/12</f>
        <v>6.9269461645811795E-22</v>
      </c>
      <c r="AX180" s="21">
        <f t="shared" si="166"/>
        <v>0.65773143147424717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6.7984728957526396E-14</v>
      </c>
      <c r="P181" s="13">
        <f t="shared" si="141"/>
        <v>1.0682447123141398E-12</v>
      </c>
      <c r="Q181" s="20">
        <f t="shared" si="162"/>
        <v>1.978932943548152E-12</v>
      </c>
      <c r="R181" s="59">
        <f t="shared" si="109"/>
        <v>293.3333333333353</v>
      </c>
      <c r="S181" s="59">
        <f ca="1">AVERAGE(OFFSET($R$3,0,0,'Données projet'!$E$9+1,1))-AVERAGE(OFFSET($H$3,0,0,'Données projet'!$E$9+1,1))</f>
        <v>255.24521135682858</v>
      </c>
      <c r="T181" s="59">
        <f t="shared" si="142"/>
        <v>254.36590349790589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0.82248220107466907</v>
      </c>
      <c r="AA181" s="21">
        <f>EXP(-LN(2)/25)*AA180+(1-EXP(-LN(2)/25))/(LN(2)/25)*Calculateur!V181*Calculateur!X181*VLOOKUP('Données projet'!$B$9,Paramètres!$A$1:$I$89,3,0)*0.475*44/12</f>
        <v>0.21292852863577186</v>
      </c>
      <c r="AB181" s="21">
        <f>EXP(-LN(2)/2)*AB180+(1-EXP(-LN(2)/2))/(LN(2)/2)*V181*Y181*VLOOKUP('Données projet'!$B$9,Paramètres!$A$1:$I$89,3,0)*0.475*44/12</f>
        <v>2.9386518309908305E-22</v>
      </c>
      <c r="AC181" s="22">
        <f t="shared" si="163"/>
        <v>1.0354107297104409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-1.2710188457276673E-13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378.17323480030268</v>
      </c>
      <c r="AO181" s="59">
        <f t="shared" si="144"/>
        <v>471.89239871617241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0.23496315791894609</v>
      </c>
      <c r="AV181" s="21">
        <f>EXP(-LN(2)/25)*AV180+(1-EXP(-LN(2)/25))/(LN(2)/25)*Calculateur!AQ181*Calculateur!AS181*VLOOKUP('Données projet'!$B$10,Paramètres!$A$1:$I$89,3,0)*0.475*44/12</f>
        <v>0.40663652350829699</v>
      </c>
      <c r="AW181" s="21">
        <f>EXP(-LN(2)/2)*AW180+(1-EXP(-LN(2)/2))/(LN(2)/2)*AQ181*AT181*VLOOKUP('Données projet'!$B$10,Paramètres!$A$1:$I$89,3,0)*0.475*44/12</f>
        <v>4.8980906058894986E-22</v>
      </c>
      <c r="AX181" s="21">
        <f t="shared" si="166"/>
        <v>0.64159968142724311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6.7984728957526396E-14</v>
      </c>
      <c r="P182" s="13">
        <f t="shared" si="141"/>
        <v>1.0682447123141398E-12</v>
      </c>
      <c r="Q182" s="20">
        <f t="shared" si="162"/>
        <v>1.978932943548152E-12</v>
      </c>
      <c r="R182" s="59">
        <f t="shared" si="109"/>
        <v>293.3333333333353</v>
      </c>
      <c r="S182" s="59">
        <f ca="1">AVERAGE(OFFSET($R$3,0,0,'Données projet'!$E$9+1,1))-AVERAGE(OFFSET($H$3,0,0,'Données projet'!$E$9+1,1))</f>
        <v>255.24521135682858</v>
      </c>
      <c r="T182" s="59">
        <f t="shared" si="142"/>
        <v>254.36590349790589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0.80635382677620215</v>
      </c>
      <c r="AA182" s="21">
        <f>EXP(-LN(2)/25)*AA181+(1-EXP(-LN(2)/25))/(LN(2)/25)*Calculateur!V182*Calculateur!X182*VLOOKUP('Données projet'!$B$9,Paramètres!$A$1:$I$89,3,0)*0.475*44/12</f>
        <v>0.20710598682280201</v>
      </c>
      <c r="AB182" s="21">
        <f>EXP(-LN(2)/2)*AB181+(1-EXP(-LN(2)/2))/(LN(2)/2)*V182*Y182*VLOOKUP('Données projet'!$B$9,Paramètres!$A$1:$I$89,3,0)*0.475*44/12</f>
        <v>2.0779406372398807E-22</v>
      </c>
      <c r="AC182" s="22">
        <f t="shared" si="163"/>
        <v>1.0134598135990043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-1.2710188457276673E-13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378.17323480030268</v>
      </c>
      <c r="AO182" s="59">
        <f t="shared" si="144"/>
        <v>471.89239871617241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0.23035567370553087</v>
      </c>
      <c r="AV182" s="21">
        <f>EXP(-LN(2)/25)*AV181+(1-EXP(-LN(2)/25))/(LN(2)/25)*Calculateur!AQ182*Calculateur!AS182*VLOOKUP('Données projet'!$B$10,Paramètres!$A$1:$I$89,3,0)*0.475*44/12</f>
        <v>0.3955170263888772</v>
      </c>
      <c r="AW182" s="21">
        <f>EXP(-LN(2)/2)*AW181+(1-EXP(-LN(2)/2))/(LN(2)/2)*AQ182*AT182*VLOOKUP('Données projet'!$B$10,Paramètres!$A$1:$I$89,3,0)*0.475*44/12</f>
        <v>3.4634730822905898E-22</v>
      </c>
      <c r="AX182" s="21">
        <f t="shared" si="166"/>
        <v>0.6258727000944081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6.7984728957526396E-14</v>
      </c>
      <c r="P183" s="13">
        <f t="shared" si="141"/>
        <v>1.0682447123141398E-12</v>
      </c>
      <c r="Q183" s="20">
        <f t="shared" si="162"/>
        <v>1.978932943548152E-12</v>
      </c>
      <c r="R183" s="59">
        <f t="shared" si="109"/>
        <v>293.3333333333353</v>
      </c>
      <c r="S183" s="59">
        <f ca="1">AVERAGE(OFFSET($R$3,0,0,'Données projet'!$E$9+1,1))-AVERAGE(OFFSET($H$3,0,0,'Données projet'!$E$9+1,1))</f>
        <v>255.24521135682858</v>
      </c>
      <c r="T183" s="59">
        <f t="shared" si="142"/>
        <v>254.36590349790589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0.79054172006039125</v>
      </c>
      <c r="AA183" s="21">
        <f>EXP(-LN(2)/25)*AA182+(1-EXP(-LN(2)/25))/(LN(2)/25)*Calculateur!V183*Calculateur!X183*VLOOKUP('Données projet'!$B$9,Paramètres!$A$1:$I$89,3,0)*0.475*44/12</f>
        <v>0.201442662721902</v>
      </c>
      <c r="AB183" s="21">
        <f>EXP(-LN(2)/2)*AB182+(1-EXP(-LN(2)/2))/(LN(2)/2)*V183*Y183*VLOOKUP('Données projet'!$B$9,Paramètres!$A$1:$I$89,3,0)*0.475*44/12</f>
        <v>1.4693259154954155E-22</v>
      </c>
      <c r="AC183" s="22">
        <f t="shared" si="163"/>
        <v>0.99198438278229328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-1.2710188457276673E-13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378.17323480030268</v>
      </c>
      <c r="AO183" s="59">
        <f t="shared" si="144"/>
        <v>471.89239871617241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0.22583853944725285</v>
      </c>
      <c r="AV183" s="21">
        <f>EXP(-LN(2)/25)*AV182+(1-EXP(-LN(2)/25))/(LN(2)/25)*Calculateur!AQ183*Calculateur!AS183*VLOOKUP('Données projet'!$B$10,Paramètres!$A$1:$I$89,3,0)*0.475*44/12</f>
        <v>0.3847015925029369</v>
      </c>
      <c r="AW183" s="21">
        <f>EXP(-LN(2)/2)*AW182+(1-EXP(-LN(2)/2))/(LN(2)/2)*AQ183*AT183*VLOOKUP('Données projet'!$B$10,Paramètres!$A$1:$I$89,3,0)*0.475*44/12</f>
        <v>2.4490453029447493E-22</v>
      </c>
      <c r="AX183" s="21">
        <f t="shared" si="166"/>
        <v>0.61054013195018975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6.7984728957526396E-14</v>
      </c>
      <c r="P184" s="13">
        <f t="shared" si="141"/>
        <v>1.0682447123141398E-12</v>
      </c>
      <c r="Q184" s="20">
        <f t="shared" si="162"/>
        <v>1.978932943548152E-12</v>
      </c>
      <c r="R184" s="59">
        <f t="shared" si="109"/>
        <v>293.3333333333353</v>
      </c>
      <c r="S184" s="59">
        <f ca="1">AVERAGE(OFFSET($R$3,0,0,'Données projet'!$E$9+1,1))-AVERAGE(OFFSET($H$3,0,0,'Données projet'!$E$9+1,1))</f>
        <v>255.24521135682858</v>
      </c>
      <c r="T184" s="59">
        <f t="shared" si="142"/>
        <v>254.36590349790589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0.77503967911284466</v>
      </c>
      <c r="AA184" s="21">
        <f>EXP(-LN(2)/25)*AA183+(1-EXP(-LN(2)/25))/(LN(2)/25)*Calculateur!V184*Calculateur!X184*VLOOKUP('Données projet'!$B$9,Paramètres!$A$1:$I$89,3,0)*0.475*44/12</f>
        <v>0.19593420251636237</v>
      </c>
      <c r="AB184" s="21">
        <f>EXP(-LN(2)/2)*AB183+(1-EXP(-LN(2)/2))/(LN(2)/2)*V184*Y184*VLOOKUP('Données projet'!$B$9,Paramètres!$A$1:$I$89,3,0)*0.475*44/12</f>
        <v>1.0389703186199405E-22</v>
      </c>
      <c r="AC184" s="22">
        <f t="shared" si="163"/>
        <v>0.97097388162920706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-1.2710188457276673E-13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378.17323480030268</v>
      </c>
      <c r="AO184" s="59">
        <f t="shared" si="144"/>
        <v>471.89239871617241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0.22140998343659982</v>
      </c>
      <c r="AV184" s="21">
        <f>EXP(-LN(2)/25)*AV183+(1-EXP(-LN(2)/25))/(LN(2)/25)*Calculateur!AQ184*Calculateur!AS184*VLOOKUP('Données projet'!$B$10,Paramètres!$A$1:$I$89,3,0)*0.475*44/12</f>
        <v>0.37418190722536659</v>
      </c>
      <c r="AW184" s="21">
        <f>EXP(-LN(2)/2)*AW183+(1-EXP(-LN(2)/2))/(LN(2)/2)*AQ184*AT184*VLOOKUP('Données projet'!$B$10,Paramètres!$A$1:$I$89,3,0)*0.475*44/12</f>
        <v>1.7317365411452949E-22</v>
      </c>
      <c r="AX184" s="21">
        <f t="shared" si="166"/>
        <v>0.59559189066196638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6.7984728957526396E-14</v>
      </c>
      <c r="P185" s="13">
        <f t="shared" si="141"/>
        <v>1.0682447123141398E-12</v>
      </c>
      <c r="Q185" s="20">
        <f t="shared" si="162"/>
        <v>1.978932943548152E-12</v>
      </c>
      <c r="R185" s="59">
        <f t="shared" si="109"/>
        <v>293.3333333333353</v>
      </c>
      <c r="S185" s="59">
        <f ca="1">AVERAGE(OFFSET($R$3,0,0,'Données projet'!$E$9+1,1))-AVERAGE(OFFSET($H$3,0,0,'Données projet'!$E$9+1,1))</f>
        <v>255.24521135682858</v>
      </c>
      <c r="T185" s="59">
        <f t="shared" si="142"/>
        <v>254.36590349790589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0.75984162373296804</v>
      </c>
      <c r="AA185" s="21">
        <f>EXP(-LN(2)/25)*AA184+(1-EXP(-LN(2)/25))/(LN(2)/25)*Calculateur!V185*Calculateur!X185*VLOOKUP('Données projet'!$B$9,Paramètres!$A$1:$I$89,3,0)*0.475*44/12</f>
        <v>0.19057637144482054</v>
      </c>
      <c r="AB185" s="21">
        <f>EXP(-LN(2)/2)*AB184+(1-EXP(-LN(2)/2))/(LN(2)/2)*V185*Y185*VLOOKUP('Données projet'!$B$9,Paramètres!$A$1:$I$89,3,0)*0.475*44/12</f>
        <v>7.3466295774770787E-23</v>
      </c>
      <c r="AC185" s="22">
        <f t="shared" si="163"/>
        <v>0.95041799517778858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-1.2710188457276673E-13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378.17323480030268</v>
      </c>
      <c r="AO185" s="59">
        <f t="shared" si="144"/>
        <v>471.89239871617241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0.21706826870816323</v>
      </c>
      <c r="AV185" s="21">
        <f>EXP(-LN(2)/25)*AV184+(1-EXP(-LN(2)/25))/(LN(2)/25)*Calculateur!AQ185*Calculateur!AS185*VLOOKUP('Données projet'!$B$10,Paramètres!$A$1:$I$89,3,0)*0.475*44/12</f>
        <v>0.36394988329491768</v>
      </c>
      <c r="AW185" s="21">
        <f>EXP(-LN(2)/2)*AW184+(1-EXP(-LN(2)/2))/(LN(2)/2)*AQ185*AT185*VLOOKUP('Données projet'!$B$10,Paramètres!$A$1:$I$89,3,0)*0.475*44/12</f>
        <v>1.2245226514723747E-22</v>
      </c>
      <c r="AX185" s="21">
        <f t="shared" si="166"/>
        <v>0.58101815200308093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6.7984728957526396E-14</v>
      </c>
      <c r="P186" s="13">
        <f t="shared" si="141"/>
        <v>1.0682447123141398E-12</v>
      </c>
      <c r="Q186" s="20">
        <f t="shared" si="162"/>
        <v>1.978932943548152E-12</v>
      </c>
      <c r="R186" s="59">
        <f t="shared" si="109"/>
        <v>293.3333333333353</v>
      </c>
      <c r="S186" s="59">
        <f ca="1">AVERAGE(OFFSET($R$3,0,0,'Données projet'!$E$9+1,1))-AVERAGE(OFFSET($H$3,0,0,'Données projet'!$E$9+1,1))</f>
        <v>255.24521135682858</v>
      </c>
      <c r="T186" s="59">
        <f t="shared" si="142"/>
        <v>254.36590349790589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0.74494159294919238</v>
      </c>
      <c r="AA186" s="21">
        <f>EXP(-LN(2)/25)*AA185+(1-EXP(-LN(2)/25))/(LN(2)/25)*Calculateur!V186*Calculateur!X186*VLOOKUP('Données projet'!$B$9,Paramètres!$A$1:$I$89,3,0)*0.475*44/12</f>
        <v>0.18536505054568611</v>
      </c>
      <c r="AB186" s="21">
        <f>EXP(-LN(2)/2)*AB185+(1-EXP(-LN(2)/2))/(LN(2)/2)*V186*Y186*VLOOKUP('Données projet'!$B$9,Paramètres!$A$1:$I$89,3,0)*0.475*44/12</f>
        <v>5.1948515930997028E-23</v>
      </c>
      <c r="AC186" s="22">
        <f t="shared" si="163"/>
        <v>0.93030664349487846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-1.2710188457276673E-13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378.17323480030268</v>
      </c>
      <c r="AO186" s="59">
        <f t="shared" si="144"/>
        <v>471.89239871617241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0.2128116923573668</v>
      </c>
      <c r="AV186" s="21">
        <f>EXP(-LN(2)/25)*AV185+(1-EXP(-LN(2)/25))/(LN(2)/25)*Calculateur!AQ186*Calculateur!AS186*VLOOKUP('Données projet'!$B$10,Paramètres!$A$1:$I$89,3,0)*0.475*44/12</f>
        <v>0.35399765459692561</v>
      </c>
      <c r="AW186" s="21">
        <f>EXP(-LN(2)/2)*AW185+(1-EXP(-LN(2)/2))/(LN(2)/2)*AQ186*AT186*VLOOKUP('Données projet'!$B$10,Paramètres!$A$1:$I$89,3,0)*0.475*44/12</f>
        <v>8.6586827057264744E-23</v>
      </c>
      <c r="AX186" s="21">
        <f t="shared" si="166"/>
        <v>0.56680934695429241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6.7984728957526396E-14</v>
      </c>
      <c r="P187" s="13">
        <f t="shared" si="141"/>
        <v>1.0682447123141398E-12</v>
      </c>
      <c r="Q187" s="20">
        <f t="shared" si="162"/>
        <v>1.978932943548152E-12</v>
      </c>
      <c r="R187" s="59">
        <f t="shared" si="109"/>
        <v>293.3333333333353</v>
      </c>
      <c r="S187" s="59">
        <f ca="1">AVERAGE(OFFSET($R$3,0,0,'Données projet'!$E$9+1,1))-AVERAGE(OFFSET($H$3,0,0,'Données projet'!$E$9+1,1))</f>
        <v>255.24521135682858</v>
      </c>
      <c r="T187" s="59">
        <f t="shared" si="142"/>
        <v>254.36590349790589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0.73033374268096518</v>
      </c>
      <c r="AA187" s="21">
        <f>EXP(-LN(2)/25)*AA186+(1-EXP(-LN(2)/25))/(LN(2)/25)*Calculateur!V187*Calculateur!X187*VLOOKUP('Données projet'!$B$9,Paramètres!$A$1:$I$89,3,0)*0.475*44/12</f>
        <v>0.18029623349058999</v>
      </c>
      <c r="AB187" s="21">
        <f>EXP(-LN(2)/2)*AB186+(1-EXP(-LN(2)/2))/(LN(2)/2)*V187*Y187*VLOOKUP('Données projet'!$B$9,Paramètres!$A$1:$I$89,3,0)*0.475*44/12</f>
        <v>3.6733147887385399E-23</v>
      </c>
      <c r="AC187" s="22">
        <f t="shared" si="163"/>
        <v>0.91062997617155517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-1.2710188457276673E-13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378.17323480030268</v>
      </c>
      <c r="AO187" s="59">
        <f t="shared" si="144"/>
        <v>471.89239871617241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0.20863858487255427</v>
      </c>
      <c r="AV187" s="21">
        <f>EXP(-LN(2)/25)*AV186+(1-EXP(-LN(2)/25))/(LN(2)/25)*Calculateur!AQ187*Calculateur!AS187*VLOOKUP('Données projet'!$B$10,Paramètres!$A$1:$I$89,3,0)*0.475*44/12</f>
        <v>0.34431757011604508</v>
      </c>
      <c r="AW187" s="21">
        <f>EXP(-LN(2)/2)*AW186+(1-EXP(-LN(2)/2))/(LN(2)/2)*AQ187*AT187*VLOOKUP('Données projet'!$B$10,Paramètres!$A$1:$I$89,3,0)*0.475*44/12</f>
        <v>6.1226132573618733E-23</v>
      </c>
      <c r="AX187" s="21">
        <f t="shared" si="166"/>
        <v>0.55295615498859929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6.7984728957526396E-14</v>
      </c>
      <c r="P188" s="13">
        <f t="shared" si="141"/>
        <v>1.0682447123141398E-12</v>
      </c>
      <c r="Q188" s="20">
        <f t="shared" si="162"/>
        <v>1.978932943548152E-12</v>
      </c>
      <c r="R188" s="59">
        <f t="shared" si="109"/>
        <v>293.3333333333353</v>
      </c>
      <c r="S188" s="59">
        <f ca="1">AVERAGE(OFFSET($R$3,0,0,'Données projet'!$E$9+1,1))-AVERAGE(OFFSET($H$3,0,0,'Données projet'!$E$9+1,1))</f>
        <v>255.24521135682858</v>
      </c>
      <c r="T188" s="59">
        <f t="shared" si="142"/>
        <v>254.36590349790589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0.71601234344658904</v>
      </c>
      <c r="AA188" s="21">
        <f>EXP(-LN(2)/25)*AA187+(1-EXP(-LN(2)/25))/(LN(2)/25)*Calculateur!V188*Calculateur!X188*VLOOKUP('Données projet'!$B$9,Paramètres!$A$1:$I$89,3,0)*0.475*44/12</f>
        <v>0.17536602350442296</v>
      </c>
      <c r="AB188" s="21">
        <f>EXP(-LN(2)/2)*AB187+(1-EXP(-LN(2)/2))/(LN(2)/2)*V188*Y188*VLOOKUP('Données projet'!$B$9,Paramètres!$A$1:$I$89,3,0)*0.475*44/12</f>
        <v>2.597425796549852E-23</v>
      </c>
      <c r="AC188" s="22">
        <f t="shared" si="163"/>
        <v>0.89137836695101202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-1.2710188457276673E-13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378.17323480030268</v>
      </c>
      <c r="AO188" s="59">
        <f t="shared" si="144"/>
        <v>471.89239871617241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0.20454730948017466</v>
      </c>
      <c r="AV188" s="21">
        <f>EXP(-LN(2)/25)*AV187+(1-EXP(-LN(2)/25))/(LN(2)/25)*Calculateur!AQ188*Calculateur!AS188*VLOOKUP('Données projet'!$B$10,Paramètres!$A$1:$I$89,3,0)*0.475*44/12</f>
        <v>0.33490218805434774</v>
      </c>
      <c r="AW188" s="21">
        <f>EXP(-LN(2)/2)*AW187+(1-EXP(-LN(2)/2))/(LN(2)/2)*AQ188*AT188*VLOOKUP('Données projet'!$B$10,Paramètres!$A$1:$I$89,3,0)*0.475*44/12</f>
        <v>4.3293413528632372E-23</v>
      </c>
      <c r="AX188" s="21">
        <f t="shared" si="166"/>
        <v>0.53944949753452243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6.7984728957526396E-14</v>
      </c>
      <c r="P189" s="13">
        <f t="shared" si="141"/>
        <v>1.0682447123141398E-12</v>
      </c>
      <c r="Q189" s="20">
        <f t="shared" si="162"/>
        <v>1.978932943548152E-12</v>
      </c>
      <c r="R189" s="59">
        <f t="shared" si="109"/>
        <v>293.3333333333353</v>
      </c>
      <c r="S189" s="59">
        <f ca="1">AVERAGE(OFFSET($R$3,0,0,'Données projet'!$E$9+1,1))-AVERAGE(OFFSET($H$3,0,0,'Données projet'!$E$9+1,1))</f>
        <v>255.24521135682858</v>
      </c>
      <c r="T189" s="59">
        <f t="shared" si="142"/>
        <v>254.36590349790589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0.70197177811600797</v>
      </c>
      <c r="AA189" s="21">
        <f>EXP(-LN(2)/25)*AA188+(1-EXP(-LN(2)/25))/(LN(2)/25)*Calculateur!V189*Calculateur!X189*VLOOKUP('Données projet'!$B$9,Paramètres!$A$1:$I$89,3,0)*0.475*44/12</f>
        <v>0.17057063036959613</v>
      </c>
      <c r="AB189" s="21">
        <f>EXP(-LN(2)/2)*AB188+(1-EXP(-LN(2)/2))/(LN(2)/2)*V189*Y189*VLOOKUP('Données projet'!$B$9,Paramètres!$A$1:$I$89,3,0)*0.475*44/12</f>
        <v>1.8366573943692703E-23</v>
      </c>
      <c r="AC189" s="22">
        <f t="shared" si="163"/>
        <v>0.87254240848560416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-1.2710188457276673E-13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378.17323480030268</v>
      </c>
      <c r="AO189" s="59">
        <f t="shared" si="144"/>
        <v>471.89239871617241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0.20053626150280804</v>
      </c>
      <c r="AV189" s="21">
        <f>EXP(-LN(2)/25)*AV188+(1-EXP(-LN(2)/25))/(LN(2)/25)*Calculateur!AQ189*Calculateur!AS189*VLOOKUP('Données projet'!$B$10,Paramètres!$A$1:$I$89,3,0)*0.475*44/12</f>
        <v>0.32574427011026097</v>
      </c>
      <c r="AW189" s="21">
        <f>EXP(-LN(2)/2)*AW188+(1-EXP(-LN(2)/2))/(LN(2)/2)*AQ189*AT189*VLOOKUP('Données projet'!$B$10,Paramètres!$A$1:$I$89,3,0)*0.475*44/12</f>
        <v>3.0613066286809366E-23</v>
      </c>
      <c r="AX189" s="21">
        <f t="shared" si="166"/>
        <v>0.52628053161306898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6.7984728957526396E-14</v>
      </c>
      <c r="P190" s="13">
        <f t="shared" si="141"/>
        <v>1.0682447123141398E-12</v>
      </c>
      <c r="Q190" s="20">
        <f t="shared" si="162"/>
        <v>1.978932943548152E-12</v>
      </c>
      <c r="R190" s="59">
        <f t="shared" si="109"/>
        <v>293.3333333333353</v>
      </c>
      <c r="S190" s="59">
        <f ca="1">AVERAGE(OFFSET($R$3,0,0,'Données projet'!$E$9+1,1))-AVERAGE(OFFSET($H$3,0,0,'Données projet'!$E$9+1,1))</f>
        <v>255.24521135682858</v>
      </c>
      <c r="T190" s="59">
        <f t="shared" si="142"/>
        <v>254.36590349790589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0.68820653970766033</v>
      </c>
      <c r="AA190" s="21">
        <f>EXP(-LN(2)/25)*AA189+(1-EXP(-LN(2)/25))/(LN(2)/25)*Calculateur!V190*Calculateur!X190*VLOOKUP('Données projet'!$B$9,Paramètres!$A$1:$I$89,3,0)*0.475*44/12</f>
        <v>0.16590636751221993</v>
      </c>
      <c r="AB190" s="21">
        <f>EXP(-LN(2)/2)*AB189+(1-EXP(-LN(2)/2))/(LN(2)/2)*V190*Y190*VLOOKUP('Données projet'!$B$9,Paramètres!$A$1:$I$89,3,0)*0.475*44/12</f>
        <v>1.2987128982749262E-23</v>
      </c>
      <c r="AC190" s="22">
        <f t="shared" si="163"/>
        <v>0.85411290721988031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-1.2710188457276673E-13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378.17323480030268</v>
      </c>
      <c r="AO190" s="59">
        <f t="shared" si="144"/>
        <v>471.89239871617241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0.19660386772977989</v>
      </c>
      <c r="AV190" s="21">
        <f>EXP(-LN(2)/25)*AV189+(1-EXP(-LN(2)/25))/(LN(2)/25)*Calculateur!AQ190*Calculateur!AS190*VLOOKUP('Données projet'!$B$10,Paramètres!$A$1:$I$89,3,0)*0.475*44/12</f>
        <v>0.31683677591394921</v>
      </c>
      <c r="AW190" s="21">
        <f>EXP(-LN(2)/2)*AW189+(1-EXP(-LN(2)/2))/(LN(2)/2)*AQ190*AT190*VLOOKUP('Données projet'!$B$10,Paramètres!$A$1:$I$89,3,0)*0.475*44/12</f>
        <v>2.1646706764316186E-23</v>
      </c>
      <c r="AX190" s="21">
        <f t="shared" si="166"/>
        <v>0.5134406436437291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6.7984728957526396E-14</v>
      </c>
      <c r="P191" s="13">
        <f t="shared" si="141"/>
        <v>1.0682447123141398E-12</v>
      </c>
      <c r="Q191" s="20">
        <f t="shared" si="162"/>
        <v>1.978932943548152E-12</v>
      </c>
      <c r="R191" s="59">
        <f t="shared" si="109"/>
        <v>293.3333333333353</v>
      </c>
      <c r="S191" s="59">
        <f ca="1">AVERAGE(OFFSET($R$3,0,0,'Données projet'!$E$9+1,1))-AVERAGE(OFFSET($H$3,0,0,'Données projet'!$E$9+1,1))</f>
        <v>255.24521135682858</v>
      </c>
      <c r="T191" s="59">
        <f t="shared" si="142"/>
        <v>254.36590349790589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0.67471122922853399</v>
      </c>
      <c r="AA191" s="21">
        <f>EXP(-LN(2)/25)*AA190+(1-EXP(-LN(2)/25))/(LN(2)/25)*Calculateur!V191*Calculateur!X191*VLOOKUP('Données projet'!$B$9,Paramètres!$A$1:$I$89,3,0)*0.475*44/12</f>
        <v>0.16136964916796159</v>
      </c>
      <c r="AB191" s="21">
        <f>EXP(-LN(2)/2)*AB190+(1-EXP(-LN(2)/2))/(LN(2)/2)*V191*Y191*VLOOKUP('Données projet'!$B$9,Paramètres!$A$1:$I$89,3,0)*0.475*44/12</f>
        <v>9.1832869718463528E-24</v>
      </c>
      <c r="AC191" s="22">
        <f t="shared" si="163"/>
        <v>0.83608087839649559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-1.2710188457276673E-13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378.17323480030268</v>
      </c>
      <c r="AO191" s="59">
        <f t="shared" si="144"/>
        <v>471.89239871617241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0.19274858580011744</v>
      </c>
      <c r="AV191" s="21">
        <f>EXP(-LN(2)/25)*AV190+(1-EXP(-LN(2)/25))/(LN(2)/25)*Calculateur!AQ191*Calculateur!AS191*VLOOKUP('Données projet'!$B$10,Paramètres!$A$1:$I$89,3,0)*0.475*44/12</f>
        <v>0.30817285761486035</v>
      </c>
      <c r="AW191" s="21">
        <f>EXP(-LN(2)/2)*AW190+(1-EXP(-LN(2)/2))/(LN(2)/2)*AQ191*AT191*VLOOKUP('Données projet'!$B$10,Paramètres!$A$1:$I$89,3,0)*0.475*44/12</f>
        <v>1.5306533143404683E-23</v>
      </c>
      <c r="AX191" s="21">
        <f t="shared" si="166"/>
        <v>0.5009214434149778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6.7984728957526396E-14</v>
      </c>
      <c r="P192" s="13">
        <f t="shared" si="141"/>
        <v>1.0682447123141398E-12</v>
      </c>
      <c r="Q192" s="20">
        <f t="shared" si="162"/>
        <v>1.978932943548152E-12</v>
      </c>
      <c r="R192" s="59">
        <f t="shared" si="109"/>
        <v>293.3333333333353</v>
      </c>
      <c r="S192" s="59">
        <f ca="1">AVERAGE(OFFSET($R$3,0,0,'Données projet'!$E$9+1,1))-AVERAGE(OFFSET($H$3,0,0,'Données projet'!$E$9+1,1))</f>
        <v>255.24521135682858</v>
      </c>
      <c r="T192" s="59">
        <f t="shared" si="142"/>
        <v>254.36590349790589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0.66148055355657676</v>
      </c>
      <c r="AA192" s="21">
        <f>EXP(-LN(2)/25)*AA191+(1-EXP(-LN(2)/25))/(LN(2)/25)*Calculateur!V192*Calculateur!X192*VLOOKUP('Données projet'!$B$9,Paramètres!$A$1:$I$89,3,0)*0.475*44/12</f>
        <v>0.15695698762540264</v>
      </c>
      <c r="AB192" s="21">
        <f>EXP(-LN(2)/2)*AB191+(1-EXP(-LN(2)/2))/(LN(2)/2)*V192*Y192*VLOOKUP('Données projet'!$B$9,Paramètres!$A$1:$I$89,3,0)*0.475*44/12</f>
        <v>6.4935644913746322E-24</v>
      </c>
      <c r="AC192" s="22">
        <f t="shared" si="163"/>
        <v>0.81843754118197942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-1.2710188457276673E-13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378.17323480030268</v>
      </c>
      <c r="AO192" s="59">
        <f t="shared" si="144"/>
        <v>471.89239871617241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0.1889689035976059</v>
      </c>
      <c r="AV192" s="21">
        <f>EXP(-LN(2)/25)*AV191+(1-EXP(-LN(2)/25))/(LN(2)/25)*Calculateur!AQ192*Calculateur!AS192*VLOOKUP('Données projet'!$B$10,Paramètres!$A$1:$I$89,3,0)*0.475*44/12</f>
        <v>0.29974585461727576</v>
      </c>
      <c r="AW192" s="21">
        <f>EXP(-LN(2)/2)*AW191+(1-EXP(-LN(2)/2))/(LN(2)/2)*AQ192*AT192*VLOOKUP('Données projet'!$B$10,Paramètres!$A$1:$I$89,3,0)*0.475*44/12</f>
        <v>1.0823353382158093E-23</v>
      </c>
      <c r="AX192" s="21">
        <f t="shared" si="166"/>
        <v>0.48871475821488164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6.7984728957526396E-14</v>
      </c>
      <c r="P193" s="13">
        <f t="shared" si="141"/>
        <v>1.0682447123141398E-12</v>
      </c>
      <c r="Q193" s="20">
        <f t="shared" si="162"/>
        <v>1.978932943548152E-12</v>
      </c>
      <c r="R193" s="59">
        <f t="shared" si="109"/>
        <v>293.3333333333353</v>
      </c>
      <c r="S193" s="59">
        <f ca="1">AVERAGE(OFFSET($R$3,0,0,'Données projet'!$E$9+1,1))-AVERAGE(OFFSET($H$3,0,0,'Données projet'!$E$9+1,1))</f>
        <v>255.24521135682858</v>
      </c>
      <c r="T193" s="59">
        <f t="shared" si="142"/>
        <v>254.36590349790589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0.6485093233646313</v>
      </c>
      <c r="AA193" s="21">
        <f>EXP(-LN(2)/25)*AA192+(1-EXP(-LN(2)/25))/(LN(2)/25)*Calculateur!V193*Calculateur!X193*VLOOKUP('Données projet'!$B$9,Paramètres!$A$1:$I$89,3,0)*0.475*44/12</f>
        <v>0.15266499054477675</v>
      </c>
      <c r="AB193" s="21">
        <f>EXP(-LN(2)/2)*AB192+(1-EXP(-LN(2)/2))/(LN(2)/2)*V193*Y193*VLOOKUP('Données projet'!$B$9,Paramètres!$A$1:$I$89,3,0)*0.475*44/12</f>
        <v>4.5916434859231771E-24</v>
      </c>
      <c r="AC193" s="22">
        <f t="shared" si="163"/>
        <v>0.80117431390940808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-1.2710188457276673E-13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378.17323480030268</v>
      </c>
      <c r="AO193" s="59">
        <f t="shared" si="144"/>
        <v>471.89239871617241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0.18526333865770711</v>
      </c>
      <c r="AV193" s="21">
        <f>EXP(-LN(2)/25)*AV192+(1-EXP(-LN(2)/25))/(LN(2)/25)*Calculateur!AQ193*Calculateur!AS193*VLOOKUP('Données projet'!$B$10,Paramètres!$A$1:$I$89,3,0)*0.475*44/12</f>
        <v>0.29154928845981692</v>
      </c>
      <c r="AW193" s="21">
        <f>EXP(-LN(2)/2)*AW192+(1-EXP(-LN(2)/2))/(LN(2)/2)*AQ193*AT193*VLOOKUP('Données projet'!$B$10,Paramètres!$A$1:$I$89,3,0)*0.475*44/12</f>
        <v>7.6532665717023416E-24</v>
      </c>
      <c r="AX193" s="21">
        <f t="shared" si="166"/>
        <v>0.47681262711752403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6.7984728957526396E-14</v>
      </c>
      <c r="P194" s="13">
        <f t="shared" si="141"/>
        <v>1.0682447123141398E-12</v>
      </c>
      <c r="Q194" s="20">
        <f t="shared" si="162"/>
        <v>1.978932943548152E-12</v>
      </c>
      <c r="R194" s="59">
        <f t="shared" si="109"/>
        <v>293.3333333333353</v>
      </c>
      <c r="S194" s="59">
        <f ca="1">AVERAGE(OFFSET($R$3,0,0,'Données projet'!$E$9+1,1))-AVERAGE(OFFSET($H$3,0,0,'Données projet'!$E$9+1,1))</f>
        <v>255.24521135682858</v>
      </c>
      <c r="T194" s="59">
        <f t="shared" si="142"/>
        <v>254.36590349790589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0.63579245108508065</v>
      </c>
      <c r="AA194" s="21">
        <f>EXP(-LN(2)/25)*AA193+(1-EXP(-LN(2)/25))/(LN(2)/25)*Calculateur!V194*Calculateur!X194*VLOOKUP('Données projet'!$B$9,Paramètres!$A$1:$I$89,3,0)*0.475*44/12</f>
        <v>0.14849035835002691</v>
      </c>
      <c r="AB194" s="21">
        <f>EXP(-LN(2)/2)*AB193+(1-EXP(-LN(2)/2))/(LN(2)/2)*V194*Y194*VLOOKUP('Données projet'!$B$9,Paramètres!$A$1:$I$89,3,0)*0.475*44/12</f>
        <v>3.2467822456873165E-24</v>
      </c>
      <c r="AC194" s="22">
        <f t="shared" si="163"/>
        <v>0.78428280943510753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-1.2710188457276673E-13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378.17323480030268</v>
      </c>
      <c r="AO194" s="59">
        <f t="shared" si="144"/>
        <v>471.89239871617241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0.18163043758610828</v>
      </c>
      <c r="AV194" s="21">
        <f>EXP(-LN(2)/25)*AV193+(1-EXP(-LN(2)/25))/(LN(2)/25)*Calculateur!AQ194*Calculateur!AS194*VLOOKUP('Données projet'!$B$10,Paramètres!$A$1:$I$89,3,0)*0.475*44/12</f>
        <v>0.2835768578349725</v>
      </c>
      <c r="AW194" s="21">
        <f>EXP(-LN(2)/2)*AW193+(1-EXP(-LN(2)/2))/(LN(2)/2)*AQ194*AT194*VLOOKUP('Données projet'!$B$10,Paramètres!$A$1:$I$89,3,0)*0.475*44/12</f>
        <v>5.4116766910790465E-24</v>
      </c>
      <c r="AX194" s="21">
        <f t="shared" si="166"/>
        <v>0.46520729542108075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6.7984728957526396E-14</v>
      </c>
      <c r="P195" s="13">
        <f t="shared" si="141"/>
        <v>1.0682447123141398E-12</v>
      </c>
      <c r="Q195" s="20">
        <f t="shared" si="162"/>
        <v>1.978932943548152E-12</v>
      </c>
      <c r="R195" s="59">
        <f t="shared" ref="R195:R203" si="191">Q195+(I195+J195)*44/12</f>
        <v>293.3333333333353</v>
      </c>
      <c r="S195" s="59">
        <f ca="1">AVERAGE(OFFSET($R$3,0,0,'Données projet'!$E$9+1,1))-AVERAGE(OFFSET($H$3,0,0,'Données projet'!$E$9+1,1))</f>
        <v>255.24521135682858</v>
      </c>
      <c r="T195" s="59">
        <f t="shared" si="142"/>
        <v>254.36590349790589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0.62332494891440582</v>
      </c>
      <c r="AA195" s="21">
        <f>EXP(-LN(2)/25)*AA194+(1-EXP(-LN(2)/25))/(LN(2)/25)*Calculateur!V195*Calculateur!X195*VLOOKUP('Données projet'!$B$9,Paramètres!$A$1:$I$89,3,0)*0.475*44/12</f>
        <v>0.14442988169217685</v>
      </c>
      <c r="AB195" s="21">
        <f>EXP(-LN(2)/2)*AB194+(1-EXP(-LN(2)/2))/(LN(2)/2)*V195*Y195*VLOOKUP('Données projet'!$B$9,Paramètres!$A$1:$I$89,3,0)*0.475*44/12</f>
        <v>2.2958217429615889E-24</v>
      </c>
      <c r="AC195" s="22">
        <f t="shared" si="163"/>
        <v>0.76775483060658267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-1.2710188457276673E-13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378.17323480030268</v>
      </c>
      <c r="AO195" s="59">
        <f t="shared" si="144"/>
        <v>471.89239871617241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0.17806877548867264</v>
      </c>
      <c r="AV195" s="21">
        <f>EXP(-LN(2)/25)*AV194+(1-EXP(-LN(2)/25))/(LN(2)/25)*Calculateur!AQ195*Calculateur!AS195*VLOOKUP('Données projet'!$B$10,Paramètres!$A$1:$I$89,3,0)*0.475*44/12</f>
        <v>0.27582243374481635</v>
      </c>
      <c r="AW195" s="21">
        <f>EXP(-LN(2)/2)*AW194+(1-EXP(-LN(2)/2))/(LN(2)/2)*AQ195*AT195*VLOOKUP('Données projet'!$B$10,Paramètres!$A$1:$I$89,3,0)*0.475*44/12</f>
        <v>3.8266332858511708E-24</v>
      </c>
      <c r="AX195" s="21">
        <f t="shared" si="166"/>
        <v>0.45389120923348902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6.7984728957526396E-14</v>
      </c>
      <c r="P196" s="13">
        <f t="shared" si="141"/>
        <v>1.0682447123141398E-12</v>
      </c>
      <c r="Q196" s="20">
        <f t="shared" si="162"/>
        <v>1.978932943548152E-12</v>
      </c>
      <c r="R196" s="59">
        <f t="shared" si="191"/>
        <v>293.3333333333353</v>
      </c>
      <c r="S196" s="59">
        <f ca="1">AVERAGE(OFFSET($R$3,0,0,'Données projet'!$E$9+1,1))-AVERAGE(OFFSET($H$3,0,0,'Données projet'!$E$9+1,1))</f>
        <v>255.24521135682858</v>
      </c>
      <c r="T196" s="59">
        <f t="shared" si="142"/>
        <v>254.36590349790589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0.61110192685687248</v>
      </c>
      <c r="AA196" s="21">
        <f>EXP(-LN(2)/25)*AA195+(1-EXP(-LN(2)/25))/(LN(2)/25)*Calculateur!V196*Calculateur!X196*VLOOKUP('Données projet'!$B$9,Paramètres!$A$1:$I$89,3,0)*0.475*44/12</f>
        <v>0.14048043898206689</v>
      </c>
      <c r="AB196" s="21">
        <f>EXP(-LN(2)/2)*AB195+(1-EXP(-LN(2)/2))/(LN(2)/2)*V196*Y196*VLOOKUP('Données projet'!$B$9,Paramètres!$A$1:$I$89,3,0)*0.475*44/12</f>
        <v>1.6233911228436586E-24</v>
      </c>
      <c r="AC196" s="22">
        <f t="shared" si="163"/>
        <v>0.75158236583893934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-1.2710188457276673E-13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378.17323480030268</v>
      </c>
      <c r="AO196" s="59">
        <f t="shared" si="144"/>
        <v>471.89239871617241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0.17457695541256835</v>
      </c>
      <c r="AV196" s="21">
        <f>EXP(-LN(2)/25)*AV195+(1-EXP(-LN(2)/25))/(LN(2)/25)*Calculateur!AQ196*Calculateur!AS196*VLOOKUP('Données projet'!$B$10,Paramètres!$A$1:$I$89,3,0)*0.475*44/12</f>
        <v>0.26828005478919298</v>
      </c>
      <c r="AW196" s="21">
        <f>EXP(-LN(2)/2)*AW195+(1-EXP(-LN(2)/2))/(LN(2)/2)*AQ196*AT196*VLOOKUP('Données projet'!$B$10,Paramètres!$A$1:$I$89,3,0)*0.475*44/12</f>
        <v>2.7058383455395232E-24</v>
      </c>
      <c r="AX196" s="21">
        <f t="shared" si="166"/>
        <v>0.44285701020176133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6.7984728957526396E-14</v>
      </c>
      <c r="P197" s="13">
        <f t="shared" ref="P197:P203" si="203">EXP(-1.0587+0.8836*LN(O197)+0.284)</f>
        <v>1.0682447123141398E-12</v>
      </c>
      <c r="Q197" s="20">
        <f t="shared" si="162"/>
        <v>1.978932943548152E-12</v>
      </c>
      <c r="R197" s="59">
        <f t="shared" si="191"/>
        <v>293.3333333333353</v>
      </c>
      <c r="S197" s="59">
        <f ca="1">AVERAGE(OFFSET($R$3,0,0,'Données projet'!$E$9+1,1))-AVERAGE(OFFSET($H$3,0,0,'Données projet'!$E$9+1,1))</f>
        <v>255.24521135682858</v>
      </c>
      <c r="T197" s="59">
        <f t="shared" ref="T197:T203" si="204">$T$3</f>
        <v>254.36590349790589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0.59911859080658003</v>
      </c>
      <c r="AA197" s="21">
        <f>EXP(-LN(2)/25)*AA196+(1-EXP(-LN(2)/25))/(LN(2)/25)*Calculateur!V197*Calculateur!X197*VLOOKUP('Données projet'!$B$9,Paramètres!$A$1:$I$89,3,0)*0.475*44/12</f>
        <v>0.13663899399055704</v>
      </c>
      <c r="AB197" s="21">
        <f>EXP(-LN(2)/2)*AB196+(1-EXP(-LN(2)/2))/(LN(2)/2)*V197*Y197*VLOOKUP('Données projet'!$B$9,Paramètres!$A$1:$I$89,3,0)*0.475*44/12</f>
        <v>1.1479108714807946E-24</v>
      </c>
      <c r="AC197" s="22">
        <f t="shared" si="163"/>
        <v>0.73575758479713704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-1.2710188457276673E-13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378.17323480030268</v>
      </c>
      <c r="AO197" s="59">
        <f t="shared" ref="AO197:AO203" si="205">$AO$3</f>
        <v>471.89239871617241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0.17115360779835651</v>
      </c>
      <c r="AV197" s="21">
        <f>EXP(-LN(2)/25)*AV196+(1-EXP(-LN(2)/25))/(LN(2)/25)*Calculateur!AQ197*Calculateur!AS197*VLOOKUP('Données projet'!$B$10,Paramètres!$A$1:$I$89,3,0)*0.475*44/12</f>
        <v>0.26094392258274757</v>
      </c>
      <c r="AW197" s="21">
        <f>EXP(-LN(2)/2)*AW196+(1-EXP(-LN(2)/2))/(LN(2)/2)*AQ197*AT197*VLOOKUP('Données projet'!$B$10,Paramètres!$A$1:$I$89,3,0)*0.475*44/12</f>
        <v>1.9133166429255854E-24</v>
      </c>
      <c r="AX197" s="21">
        <f t="shared" si="166"/>
        <v>0.4320975303811041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6.7984728957526396E-14</v>
      </c>
      <c r="P198" s="13">
        <f t="shared" si="203"/>
        <v>1.0682447123141398E-12</v>
      </c>
      <c r="Q198" s="20">
        <f t="shared" si="162"/>
        <v>1.978932943548152E-12</v>
      </c>
      <c r="R198" s="59">
        <f t="shared" si="191"/>
        <v>293.3333333333353</v>
      </c>
      <c r="S198" s="59">
        <f ca="1">AVERAGE(OFFSET($R$3,0,0,'Données projet'!$E$9+1,1))-AVERAGE(OFFSET($H$3,0,0,'Données projet'!$E$9+1,1))</f>
        <v>255.24521135682858</v>
      </c>
      <c r="T198" s="59">
        <f t="shared" si="204"/>
        <v>254.36590349790589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0.58737024066712051</v>
      </c>
      <c r="AA198" s="21">
        <f>EXP(-LN(2)/25)*AA197+(1-EXP(-LN(2)/25))/(LN(2)/25)*Calculateur!V198*Calculateur!X198*VLOOKUP('Données projet'!$B$9,Paramètres!$A$1:$I$89,3,0)*0.475*44/12</f>
        <v>0.13290259351435285</v>
      </c>
      <c r="AB198" s="21">
        <f>EXP(-LN(2)/2)*AB197+(1-EXP(-LN(2)/2))/(LN(2)/2)*V198*Y198*VLOOKUP('Données projet'!$B$9,Paramètres!$A$1:$I$89,3,0)*0.475*44/12</f>
        <v>8.116955614218294E-25</v>
      </c>
      <c r="AC198" s="22">
        <f t="shared" si="163"/>
        <v>0.72027283418147336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-1.2710188457276673E-13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378.17323480030268</v>
      </c>
      <c r="AO198" s="59">
        <f t="shared" si="205"/>
        <v>471.89239871617241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0.1677973899428235</v>
      </c>
      <c r="AV198" s="21">
        <f>EXP(-LN(2)/25)*AV197+(1-EXP(-LN(2)/25))/(LN(2)/25)*Calculateur!AQ198*Calculateur!AS198*VLOOKUP('Données projet'!$B$10,Paramètres!$A$1:$I$89,3,0)*0.475*44/12</f>
        <v>0.25380839729727783</v>
      </c>
      <c r="AW198" s="21">
        <f>EXP(-LN(2)/2)*AW197+(1-EXP(-LN(2)/2))/(LN(2)/2)*AQ198*AT198*VLOOKUP('Données projet'!$B$10,Paramètres!$A$1:$I$89,3,0)*0.475*44/12</f>
        <v>1.3529191727697616E-24</v>
      </c>
      <c r="AX198" s="21">
        <f t="shared" si="166"/>
        <v>0.42160578724010134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6.7984728957526396E-14</v>
      </c>
      <c r="P199" s="13">
        <f t="shared" si="203"/>
        <v>1.0682447123141398E-12</v>
      </c>
      <c r="Q199" s="20">
        <f t="shared" si="162"/>
        <v>1.978932943548152E-12</v>
      </c>
      <c r="R199" s="59">
        <f t="shared" si="191"/>
        <v>293.3333333333353</v>
      </c>
      <c r="S199" s="59">
        <f ca="1">AVERAGE(OFFSET($R$3,0,0,'Données projet'!$E$9+1,1))-AVERAGE(OFFSET($H$3,0,0,'Données projet'!$E$9+1,1))</f>
        <v>255.24521135682858</v>
      </c>
      <c r="T199" s="59">
        <f t="shared" si="204"/>
        <v>254.36590349790589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0.57585226850810978</v>
      </c>
      <c r="AA199" s="21">
        <f>EXP(-LN(2)/25)*AA198+(1-EXP(-LN(2)/25))/(LN(2)/25)*Calculateur!V199*Calculateur!X199*VLOOKUP('Données projet'!$B$9,Paramètres!$A$1:$I$89,3,0)*0.475*44/12</f>
        <v>0.12926836510565923</v>
      </c>
      <c r="AB199" s="21">
        <f>EXP(-LN(2)/2)*AB198+(1-EXP(-LN(2)/2))/(LN(2)/2)*V199*Y199*VLOOKUP('Données projet'!$B$9,Paramètres!$A$1:$I$89,3,0)*0.475*44/12</f>
        <v>5.7395543574039742E-25</v>
      </c>
      <c r="AC199" s="22">
        <f t="shared" si="163"/>
        <v>0.70512063361376898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-1.2710188457276673E-13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378.17323480030268</v>
      </c>
      <c r="AO199" s="59">
        <f t="shared" si="205"/>
        <v>471.89239871617241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0.16450698547234674</v>
      </c>
      <c r="AV199" s="21">
        <f>EXP(-LN(2)/25)*AV198+(1-EXP(-LN(2)/25))/(LN(2)/25)*Calculateur!AQ199*Calculateur!AS199*VLOOKUP('Données projet'!$B$10,Paramètres!$A$1:$I$89,3,0)*0.475*44/12</f>
        <v>0.24686799332598025</v>
      </c>
      <c r="AW199" s="21">
        <f>EXP(-LN(2)/2)*AW198+(1-EXP(-LN(2)/2))/(LN(2)/2)*AQ199*AT199*VLOOKUP('Données projet'!$B$10,Paramètres!$A$1:$I$89,3,0)*0.475*44/12</f>
        <v>9.566583214627927E-25</v>
      </c>
      <c r="AX199" s="21">
        <f t="shared" si="166"/>
        <v>0.41137497879832696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6.7984728957526396E-14</v>
      </c>
      <c r="P200" s="13">
        <f t="shared" si="203"/>
        <v>1.0682447123141398E-12</v>
      </c>
      <c r="Q200" s="20">
        <f t="shared" si="162"/>
        <v>1.978932943548152E-12</v>
      </c>
      <c r="R200" s="59">
        <f t="shared" si="191"/>
        <v>293.3333333333353</v>
      </c>
      <c r="S200" s="59">
        <f ca="1">AVERAGE(OFFSET($R$3,0,0,'Données projet'!$E$9+1,1))-AVERAGE(OFFSET($H$3,0,0,'Données projet'!$E$9+1,1))</f>
        <v>255.24521135682858</v>
      </c>
      <c r="T200" s="59">
        <f t="shared" si="204"/>
        <v>254.36590349790589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0.56456015675786797</v>
      </c>
      <c r="AA200" s="21">
        <f>EXP(-LN(2)/25)*AA199+(1-EXP(-LN(2)/25))/(LN(2)/25)*Calculateur!V200*Calculateur!X200*VLOOKUP('Données projet'!$B$9,Paramètres!$A$1:$I$89,3,0)*0.475*44/12</f>
        <v>0.1257335148639171</v>
      </c>
      <c r="AB200" s="21">
        <f>EXP(-LN(2)/2)*AB199+(1-EXP(-LN(2)/2))/(LN(2)/2)*V200*Y200*VLOOKUP('Données projet'!$B$9,Paramètres!$A$1:$I$89,3,0)*0.475*44/12</f>
        <v>4.0584778071091474E-25</v>
      </c>
      <c r="AC200" s="22">
        <f t="shared" si="163"/>
        <v>0.69029367162178512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-1.2710188457276673E-13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378.17323480030268</v>
      </c>
      <c r="AO200" s="59">
        <f t="shared" si="205"/>
        <v>471.89239871617241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0.16128110382658747</v>
      </c>
      <c r="AV200" s="21">
        <f>EXP(-LN(2)/25)*AV199+(1-EXP(-LN(2)/25))/(LN(2)/25)*Calculateur!AQ200*Calculateur!AS200*VLOOKUP('Données projet'!$B$10,Paramètres!$A$1:$I$89,3,0)*0.475*44/12</f>
        <v>0.24011737506625777</v>
      </c>
      <c r="AW200" s="21">
        <f>EXP(-LN(2)/2)*AW199+(1-EXP(-LN(2)/2))/(LN(2)/2)*AQ200*AT200*VLOOKUP('Données projet'!$B$10,Paramètres!$A$1:$I$89,3,0)*0.475*44/12</f>
        <v>6.7645958638488081E-25</v>
      </c>
      <c r="AX200" s="21">
        <f t="shared" si="166"/>
        <v>0.40139847889284525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6.7984728957526396E-14</v>
      </c>
      <c r="P201" s="13">
        <f t="shared" si="203"/>
        <v>1.0682447123141398E-12</v>
      </c>
      <c r="Q201" s="20">
        <f t="shared" si="162"/>
        <v>1.978932943548152E-12</v>
      </c>
      <c r="R201" s="59">
        <f t="shared" si="191"/>
        <v>293.3333333333353</v>
      </c>
      <c r="S201" s="59">
        <f ca="1">AVERAGE(OFFSET($R$3,0,0,'Données projet'!$E$9+1,1))-AVERAGE(OFFSET($H$3,0,0,'Données projet'!$E$9+1,1))</f>
        <v>255.24521135682858</v>
      </c>
      <c r="T201" s="59">
        <f t="shared" si="204"/>
        <v>254.36590349790589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0.55348947643154034</v>
      </c>
      <c r="AA201" s="21">
        <f>EXP(-LN(2)/25)*AA200+(1-EXP(-LN(2)/25))/(LN(2)/25)*Calculateur!V201*Calculateur!X201*VLOOKUP('Données projet'!$B$9,Paramètres!$A$1:$I$89,3,0)*0.475*44/12</f>
        <v>0.1222953252879251</v>
      </c>
      <c r="AB201" s="21">
        <f>EXP(-LN(2)/2)*AB200+(1-EXP(-LN(2)/2))/(LN(2)/2)*V201*Y201*VLOOKUP('Données projet'!$B$9,Paramètres!$A$1:$I$89,3,0)*0.475*44/12</f>
        <v>2.8697771787019875E-25</v>
      </c>
      <c r="AC201" s="22">
        <f t="shared" si="163"/>
        <v>0.67578480171946542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-1.2710188457276673E-13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378.17323480030268</v>
      </c>
      <c r="AO201" s="59">
        <f t="shared" si="205"/>
        <v>471.89239871617241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0.15811847975230803</v>
      </c>
      <c r="AV201" s="21">
        <f>EXP(-LN(2)/25)*AV200+(1-EXP(-LN(2)/25))/(LN(2)/25)*Calculateur!AQ201*Calculateur!AS201*VLOOKUP('Données projet'!$B$10,Paramètres!$A$1:$I$89,3,0)*0.475*44/12</f>
        <v>0.233551352817847</v>
      </c>
      <c r="AW201" s="21">
        <f>EXP(-LN(2)/2)*AW200+(1-EXP(-LN(2)/2))/(LN(2)/2)*AQ201*AT201*VLOOKUP('Données projet'!$B$10,Paramètres!$A$1:$I$89,3,0)*0.475*44/12</f>
        <v>4.7832916073139635E-25</v>
      </c>
      <c r="AX201" s="21">
        <f t="shared" si="166"/>
        <v>0.39166983257015503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6.7984728957526396E-14</v>
      </c>
      <c r="P202" s="13">
        <f t="shared" si="203"/>
        <v>1.0682447123141398E-12</v>
      </c>
      <c r="Q202" s="20">
        <f t="shared" si="162"/>
        <v>1.978932943548152E-12</v>
      </c>
      <c r="R202" s="59">
        <f t="shared" si="191"/>
        <v>293.3333333333353</v>
      </c>
      <c r="S202" s="59">
        <f ca="1">AVERAGE(OFFSET($R$3,0,0,'Données projet'!$E$9+1,1))-AVERAGE(OFFSET($H$3,0,0,'Données projet'!$E$9+1,1))</f>
        <v>255.24521135682858</v>
      </c>
      <c r="T202" s="59">
        <f t="shared" si="204"/>
        <v>254.36590349790589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0.54263588539396368</v>
      </c>
      <c r="AA202" s="21">
        <f>EXP(-LN(2)/25)*AA201+(1-EXP(-LN(2)/25))/(LN(2)/25)*Calculateur!V202*Calculateur!X202*VLOOKUP('Données projet'!$B$9,Paramètres!$A$1:$I$89,3,0)*0.475*44/12</f>
        <v>0.11895115318669514</v>
      </c>
      <c r="AB202" s="21">
        <f>EXP(-LN(2)/2)*AB201+(1-EXP(-LN(2)/2))/(LN(2)/2)*V202*Y202*VLOOKUP('Données projet'!$B$9,Paramètres!$A$1:$I$89,3,0)*0.475*44/12</f>
        <v>2.0292389035545742E-25</v>
      </c>
      <c r="AC202" s="22">
        <f t="shared" si="163"/>
        <v>0.66158703858065881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-1.2710188457276673E-13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378.17323480030268</v>
      </c>
      <c r="AO202" s="59">
        <f t="shared" si="205"/>
        <v>471.89239871617241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0.15501787280711499</v>
      </c>
      <c r="AV202" s="21">
        <f>EXP(-LN(2)/25)*AV201+(1-EXP(-LN(2)/25))/(LN(2)/25)*Calculateur!AQ202*Calculateur!AS202*VLOOKUP('Données projet'!$B$10,Paramètres!$A$1:$I$89,3,0)*0.475*44/12</f>
        <v>0.22716487879311112</v>
      </c>
      <c r="AW202" s="21">
        <f>EXP(-LN(2)/2)*AW201+(1-EXP(-LN(2)/2))/(LN(2)/2)*AQ202*AT202*VLOOKUP('Données projet'!$B$10,Paramètres!$A$1:$I$89,3,0)*0.475*44/12</f>
        <v>3.3822979319244041E-25</v>
      </c>
      <c r="AX202" s="21">
        <f t="shared" si="166"/>
        <v>0.38218275160022608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6.7984728957526396E-14</v>
      </c>
      <c r="P203" s="13">
        <f t="shared" si="203"/>
        <v>1.0682447123141398E-12</v>
      </c>
      <c r="Q203" s="20">
        <f t="shared" si="162"/>
        <v>1.978932943548152E-12</v>
      </c>
      <c r="R203" s="59">
        <f t="shared" si="191"/>
        <v>293.3333333333353</v>
      </c>
      <c r="S203" s="59">
        <f ca="1">AVERAGE(OFFSET($R$3,0,0,'Données projet'!$E$9+1,1))-AVERAGE(OFFSET($H$3,0,0,'Données projet'!$E$9+1,1))</f>
        <v>255.24521135682858</v>
      </c>
      <c r="T203" s="59">
        <f t="shared" si="204"/>
        <v>254.36590349790589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0.53199512665659709</v>
      </c>
      <c r="AA203" s="21">
        <f>EXP(-LN(2)/25)*AA202+(1-EXP(-LN(2)/25))/(LN(2)/25)*Calculateur!V203*Calculateur!X203*VLOOKUP('Données projet'!$B$9,Paramètres!$A$1:$I$89,3,0)*0.475*44/12</f>
        <v>0.11569842764743568</v>
      </c>
      <c r="AB203" s="21">
        <f>EXP(-LN(2)/2)*AB202+(1-EXP(-LN(2)/2))/(LN(2)/2)*V203*Y203*VLOOKUP('Données projet'!$B$9,Paramètres!$A$1:$I$89,3,0)*0.475*44/12</f>
        <v>1.434888589350994E-25</v>
      </c>
      <c r="AC203" s="22">
        <f t="shared" si="163"/>
        <v>0.64769355430403275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-1.2710188457276673E-13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378.17323480030268</v>
      </c>
      <c r="AO203" s="59">
        <f t="shared" si="205"/>
        <v>471.89239871617241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0.15197806687293369</v>
      </c>
      <c r="AV203" s="21">
        <f>EXP(-LN(2)/25)*AV202+(1-EXP(-LN(2)/25))/(LN(2)/25)*Calculateur!AQ203*Calculateur!AS203*VLOOKUP('Données projet'!$B$10,Paramètres!$A$1:$I$89,3,0)*0.475*44/12</f>
        <v>0.22095304323643172</v>
      </c>
      <c r="AW203" s="21">
        <f>EXP(-LN(2)/2)*AW202+(1-EXP(-LN(2)/2))/(LN(2)/2)*AQ203*AT203*VLOOKUP('Données projet'!$B$10,Paramètres!$A$1:$I$89,3,0)*0.475*44/12</f>
        <v>2.3916458036569817E-25</v>
      </c>
      <c r="AX203" s="21">
        <f t="shared" si="166"/>
        <v>0.37293111010936542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1.3758248603770518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1.3070441688874561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E10" sqref="E1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3.2955000000000001</v>
      </c>
      <c r="C6" s="147">
        <f ca="1">IF(OR('Données projet'!B9="",'Données projet'!C9="",'Données projet'!C9=0%),0,Calculateur!S3)</f>
        <v>255.24521135682858</v>
      </c>
      <c r="D6" s="147">
        <f>IF(OR('Données projet'!B9="",'Données projet'!C9="",'Données projet'!C9=0%),0,Calculateur!T3)</f>
        <v>254.36590349790589</v>
      </c>
      <c r="E6" s="147">
        <f ca="1">MIN(C6,D6)</f>
        <v>254.36590349790589</v>
      </c>
      <c r="F6" s="147">
        <f ca="1">E6*B6</f>
        <v>838.26283497734892</v>
      </c>
      <c r="G6" s="147">
        <f ca="1">F6*(100%-'Données projet'!$C$24)*(100%-'Données projet'!$C$25)*(100%-'Données projet'!$C$26)*(100%-'Données projet'!$C$27)</f>
        <v>754.43655147961408</v>
      </c>
      <c r="H6" s="148">
        <f>IF(OR('Données projet'!B9="",'Données projet'!C9="",'Données projet'!C9=0%),0,AVERAGE(Calculateur!$AC$3:$AC$33)*B6)</f>
        <v>35.247615866314007</v>
      </c>
      <c r="I6" s="149">
        <f>H6*(100%-'Données projet'!$C$24)*(100%-'Données projet'!$C$25)*(100%-'Données projet'!$C$26)*(100%-'Données projet'!$C$27)</f>
        <v>31.722854279682608</v>
      </c>
      <c r="J6" s="150">
        <f>IF(OR('Données projet'!B9="",'Données projet'!C9="",'Données projet'!C9=0%),0,SUM(Calculateur!$V$3:$V$33)*VLOOKUP('Données projet'!$B$9,Paramètres!$A$1:$I$89,9,0)*B6)</f>
        <v>278.041335</v>
      </c>
      <c r="K6" s="151">
        <f>J6*(100%-'Données projet'!$C$24)*(100%-'Données projet'!$C$25)*(100%-'Données projet'!$C$26)*(100%-'Données projet'!$C$27)</f>
        <v>250.2372015</v>
      </c>
      <c r="L6" s="152">
        <f ca="1">G6+I6+K6</f>
        <v>1036.3966072592966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Douglas</v>
      </c>
      <c r="B7" s="154">
        <f>'Données projet'!D10</f>
        <v>1.7745</v>
      </c>
      <c r="C7" s="147">
        <f ca="1">IF(OR('Données projet'!B10="",'Données projet'!C10="",'Données projet'!C10=0%),0,Calculateur!AN3)</f>
        <v>378.17323480030268</v>
      </c>
      <c r="D7" s="147">
        <f>IF(OR('Données projet'!B10="",'Données projet'!C10="",'Données projet'!C10=0%),0,Calculateur!AO3)</f>
        <v>471.89239871617241</v>
      </c>
      <c r="E7" s="147">
        <f t="shared" ref="E7:E15" ca="1" si="0">MIN(C7,D7)</f>
        <v>378.17323480030268</v>
      </c>
      <c r="F7" s="147">
        <f t="shared" ref="F7:F15" ca="1" si="1">E7*B7</f>
        <v>671.06840515313706</v>
      </c>
      <c r="G7" s="147">
        <f ca="1">F7*(100%-'Données projet'!$C$24)*(100%-'Données projet'!$C$25)*(100%-'Données projet'!$C$26)*(100%-'Données projet'!$C$27)</f>
        <v>603.96156463782336</v>
      </c>
      <c r="H7" s="155">
        <f>IF(OR('Données projet'!B10="",'Données projet'!C10="",'Données projet'!C10=0%),0,AVERAGE(Calculateur!$AX$3:$AX$33)*B7)</f>
        <v>7.957331993915755</v>
      </c>
      <c r="I7" s="149">
        <f>H7*(100%-'Données projet'!$C$24)*(100%-'Données projet'!$C$25)*(100%-'Données projet'!$C$26)*(100%-'Données projet'!$C$27)</f>
        <v>7.1615987945241795</v>
      </c>
      <c r="J7" s="150">
        <f>IF(OR('Données projet'!B10="",'Données projet'!C10="",'Données projet'!C10=0%),0,SUM(Calculateur!$AQ$3:$AQ$33)*VLOOKUP('Données projet'!$B$10,Paramètres!$A$1:$I$89,9,0)*B7)</f>
        <v>82.407779999999988</v>
      </c>
      <c r="K7" s="151">
        <f>J7*(100%-'Données projet'!$C$24)*(100%-'Données projet'!$C$25)*(100%-'Données projet'!$C$26)*(100%-'Données projet'!$C$27)</f>
        <v>74.167001999999997</v>
      </c>
      <c r="L7" s="152">
        <f t="shared" ref="L7:L15" ca="1" si="2">G7+I7+K7</f>
        <v>685.29016543234752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1509.3312401304861</v>
      </c>
      <c r="G16" s="166">
        <f t="shared" ca="1" si="3"/>
        <v>1358.3981161174374</v>
      </c>
      <c r="H16" s="167">
        <f t="shared" si="3"/>
        <v>43.204947860229765</v>
      </c>
      <c r="I16" s="167">
        <f t="shared" si="3"/>
        <v>38.884453074206789</v>
      </c>
      <c r="J16" s="168">
        <f t="shared" si="3"/>
        <v>360.44911500000001</v>
      </c>
      <c r="K16" s="168">
        <f t="shared" si="3"/>
        <v>324.40420349999999</v>
      </c>
      <c r="L16" s="169">
        <f t="shared" ca="1" si="3"/>
        <v>1721.6867726916441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8" zoomScale="80" zoomScaleNormal="80" workbookViewId="0">
      <selection activeCell="O22" sqref="O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1057.3305925635955</v>
      </c>
      <c r="U10" s="178">
        <f>'Données projet'!D9</f>
        <v>3.2955000000000001</v>
      </c>
      <c r="V10" s="177">
        <f>U10*T10</f>
        <v>3484.4329677933288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1017.8068847673504</v>
      </c>
      <c r="U11" s="178">
        <f>'Données projet'!D10</f>
        <v>1.7745</v>
      </c>
      <c r="V11" s="177">
        <f t="shared" ref="V11" si="0">U11*T11</f>
        <v>1806.0983170196632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1300*(0.39+0.7)</f>
        <v>1416.9999999999998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249.99999999999983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(4500+3948.75+585+877.5)/2.25+(5640+4949.1+733+1099.8)/2.82</f>
        <v>8809.9290780141855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12</v>
      </c>
      <c r="B23" s="181">
        <f>'Données projet'!D36</f>
        <v>0</v>
      </c>
      <c r="C23" s="193">
        <v>0</v>
      </c>
      <c r="D23" s="182">
        <f>B23*C23</f>
        <v>0</v>
      </c>
      <c r="E23" s="193"/>
      <c r="F23" s="230"/>
      <c r="H23" s="190">
        <v>3</v>
      </c>
      <c r="I23" s="191">
        <v>850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-50505.166018973636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16</v>
      </c>
      <c r="B24" s="181">
        <f>'Données projet'!D37</f>
        <v>25</v>
      </c>
      <c r="C24" s="193">
        <v>10</v>
      </c>
      <c r="D24" s="182">
        <f t="shared" ref="D24:D42" si="2">B24*C24</f>
        <v>250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140.32448133146403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20</v>
      </c>
      <c r="B25" s="181">
        <f>'Données projet'!D38</f>
        <v>34</v>
      </c>
      <c r="C25" s="193">
        <v>10</v>
      </c>
      <c r="D25" s="182">
        <f t="shared" si="2"/>
        <v>340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-50645.490500305103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24</v>
      </c>
      <c r="B26" s="181">
        <f>'Données projet'!D39</f>
        <v>43</v>
      </c>
      <c r="C26" s="193">
        <v>10</v>
      </c>
      <c r="D26" s="182">
        <f t="shared" si="2"/>
        <v>430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28</v>
      </c>
      <c r="B27" s="181">
        <f>'Données projet'!D40</f>
        <v>41</v>
      </c>
      <c r="C27" s="193">
        <v>10</v>
      </c>
      <c r="D27" s="182">
        <f t="shared" si="2"/>
        <v>410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34</v>
      </c>
      <c r="B28" s="181">
        <f>'Données projet'!D41</f>
        <v>60</v>
      </c>
      <c r="C28" s="193">
        <v>10</v>
      </c>
      <c r="D28" s="182">
        <f t="shared" si="2"/>
        <v>600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40</v>
      </c>
      <c r="B29" s="181">
        <f>'Données projet'!D42</f>
        <v>34</v>
      </c>
      <c r="C29" s="193">
        <v>10</v>
      </c>
      <c r="D29" s="182">
        <f t="shared" si="2"/>
        <v>340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46</v>
      </c>
      <c r="B30" s="181">
        <f>'Données projet'!D43</f>
        <v>21</v>
      </c>
      <c r="C30" s="193">
        <v>27</v>
      </c>
      <c r="D30" s="182">
        <f t="shared" si="2"/>
        <v>567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54</v>
      </c>
      <c r="B31" s="181">
        <f>'Données projet'!D44</f>
        <v>17</v>
      </c>
      <c r="C31" s="193">
        <v>45</v>
      </c>
      <c r="D31" s="182">
        <f t="shared" si="2"/>
        <v>765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62</v>
      </c>
      <c r="B32" s="181">
        <f>'Données projet'!D45</f>
        <v>409</v>
      </c>
      <c r="C32" s="193">
        <v>60</v>
      </c>
      <c r="D32" s="182">
        <f t="shared" si="2"/>
        <v>24540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1300*(0.52+0.7)</f>
        <v>1586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19</v>
      </c>
      <c r="B54" s="181">
        <f>'Données projet'!D62</f>
        <v>0</v>
      </c>
      <c r="C54" s="191">
        <v>20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25</v>
      </c>
      <c r="B55" s="181">
        <f>'Données projet'!D63</f>
        <v>54</v>
      </c>
      <c r="C55" s="191">
        <v>25</v>
      </c>
      <c r="D55" s="179">
        <f t="shared" ref="D55:D73" si="4">B55*C55</f>
        <v>1350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54</v>
      </c>
      <c r="C56" s="191">
        <v>30</v>
      </c>
      <c r="D56" s="179">
        <f t="shared" si="4"/>
        <v>1620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35</v>
      </c>
      <c r="B57" s="181">
        <f>'Données projet'!D65</f>
        <v>69</v>
      </c>
      <c r="C57" s="191">
        <v>40</v>
      </c>
      <c r="D57" s="179">
        <f t="shared" si="4"/>
        <v>2760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40</v>
      </c>
      <c r="B58" s="181">
        <f>'Données projet'!D66</f>
        <v>72</v>
      </c>
      <c r="C58" s="191">
        <v>45</v>
      </c>
      <c r="D58" s="179">
        <f t="shared" si="4"/>
        <v>3240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45</v>
      </c>
      <c r="B59" s="181">
        <f>'Données projet'!D67</f>
        <v>66</v>
      </c>
      <c r="C59" s="191">
        <v>50</v>
      </c>
      <c r="D59" s="179">
        <f t="shared" si="4"/>
        <v>3300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50</v>
      </c>
      <c r="B60" s="181">
        <f>'Données projet'!D68</f>
        <v>48</v>
      </c>
      <c r="C60" s="191">
        <v>60</v>
      </c>
      <c r="D60" s="179">
        <f t="shared" si="4"/>
        <v>2880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55</v>
      </c>
      <c r="B61" s="181">
        <f>'Données projet'!D69</f>
        <v>35</v>
      </c>
      <c r="C61" s="191">
        <v>80</v>
      </c>
      <c r="D61" s="179">
        <f t="shared" si="4"/>
        <v>2800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60</v>
      </c>
      <c r="B62" s="181">
        <f>'Données projet'!D70</f>
        <v>666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2025-11-26T13:54:53Z</dcterms:modified>
</cp:coreProperties>
</file>