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Collectif n°6\3_EI Emmanuel de Fuentes\Dossier d'instruction\"/>
    </mc:Choice>
  </mc:AlternateContent>
  <xr:revisionPtr revIDLastSave="0" documentId="13_ncr:1_{8EE5BB73-0FAB-4644-BF58-B1C598602377}" xr6:coauthVersionLast="47" xr6:coauthVersionMax="47" xr10:uidLastSave="{00000000-0000-0000-0000-000000000000}"/>
  <bookViews>
    <workbookView xWindow="-108" yWindow="-108" windowWidth="23256" windowHeight="12576" tabRatio="657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3" i="5" l="1"/>
  <c r="C82" i="5"/>
  <c r="C56" i="5"/>
  <c r="C55" i="5"/>
  <c r="C28" i="5"/>
  <c r="C29" i="5"/>
  <c r="B21" i="2" l="1"/>
  <c r="M22" i="2" s="1"/>
  <c r="B20" i="2"/>
  <c r="L22" i="2" s="1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J73" i="5"/>
  <c r="J76" i="5" s="1"/>
  <c r="J87" i="5" s="1"/>
  <c r="G46" i="5"/>
  <c r="G49" i="5" s="1"/>
  <c r="G60" i="5" s="1"/>
  <c r="C46" i="5"/>
  <c r="C49" i="5" s="1"/>
  <c r="C60" i="5" s="1"/>
  <c r="D127" i="5"/>
  <c r="D130" i="5" s="1"/>
  <c r="D141" i="5" s="1"/>
  <c r="C127" i="5"/>
  <c r="C130" i="5" s="1"/>
  <c r="C141" i="5" s="1"/>
  <c r="K73" i="5"/>
  <c r="K76" i="5" s="1"/>
  <c r="K87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D100" i="5"/>
  <c r="D103" i="5" s="1"/>
  <c r="D114" i="5" s="1"/>
  <c r="L100" i="5"/>
  <c r="L103" i="5" s="1"/>
  <c r="L114" i="5" s="1"/>
  <c r="F73" i="5"/>
  <c r="F76" i="5" s="1"/>
  <c r="F87" i="5" s="1"/>
  <c r="K46" i="5"/>
  <c r="K49" i="5" s="1"/>
  <c r="K60" i="5" s="1"/>
  <c r="L127" i="5"/>
  <c r="L130" i="5" s="1"/>
  <c r="L141" i="5" s="1"/>
  <c r="E100" i="5"/>
  <c r="E103" i="5" s="1"/>
  <c r="E114" i="5" s="1"/>
  <c r="G73" i="5"/>
  <c r="G76" i="5" s="1"/>
  <c r="G87" i="5" s="1"/>
  <c r="D46" i="5"/>
  <c r="D49" i="5" s="1"/>
  <c r="D60" i="5" s="1"/>
  <c r="H127" i="5"/>
  <c r="H130" i="5" s="1"/>
  <c r="H141" i="5" s="1"/>
  <c r="I100" i="5"/>
  <c r="I103" i="5" s="1"/>
  <c r="I114" i="5" s="1"/>
  <c r="H46" i="5"/>
  <c r="H49" i="5" s="1"/>
  <c r="H60" i="5" s="1"/>
  <c r="E19" i="5"/>
  <c r="E22" i="5" s="1"/>
  <c r="E33" i="5" s="1"/>
  <c r="I19" i="5"/>
  <c r="I22" i="5" s="1"/>
  <c r="I33" i="5" s="1"/>
  <c r="G19" i="5"/>
  <c r="G22" i="5" s="1"/>
  <c r="G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<sst xmlns="http://schemas.openxmlformats.org/spreadsheetml/2006/main" count="893" uniqueCount="353">
  <si>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</si>
  <si>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</si>
  <si>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</si>
  <si>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</si>
  <si>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</si>
  <si>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</si>
  <si>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</si>
  <si>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</si>
  <si>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</si>
  <si>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</si>
  <si>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</si>
  <si>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</si>
  <si>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</si>
  <si>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</si>
  <si>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</si>
  <si>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</si>
  <si>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</si>
  <si>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</si>
  <si>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</si>
  <si>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</si>
  <si>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</si>
  <si>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</si>
  <si>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</si>
  <si>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</si>
  <si>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</si>
  <si>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</si>
  <si>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</si>
  <si>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</si>
  <si>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</si>
  <si>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</si>
  <si>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</si>
  <si>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</si>
  <si>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</si>
  <si>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</si>
  <si>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</si>
  <si>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</si>
  <si>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</si>
  <si>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</si>
  <si>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</si>
  <si>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</si>
  <si>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</si>
  <si>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</si>
  <si>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</si>
  <si>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</si>
  <si>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</si>
  <si>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</si>
  <si>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</si>
  <si>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</si>
  <si>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</si>
  <si>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</si>
  <si>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</si>
  <si>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</si>
  <si>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</si>
  <si>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</si>
  <si>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</si>
  <si>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</si>
  <si>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</si>
  <si>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</si>
  <si>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</si>
  <si>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</si>
  <si>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</si>
  <si>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</si>
  <si>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</si>
  <si>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</si>
  <si>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</si>
  <si>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</si>
  <si>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</si>
  <si>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</si>
  <si>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</si>
  <si>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</si>
  <si>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</si>
  <si>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</si>
  <si>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</si>
  <si>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</si>
  <si>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</si>
  <si>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</si>
  <si>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</si>
  <si>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</si>
  <si>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</si>
  <si>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</si>
  <si>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</si>
  <si>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</si>
  <si>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</si>
  <si>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</si>
  <si>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</si>
  <si>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</si>
  <si>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</si>
  <si>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</si>
  <si>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</si>
  <si>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</si>
  <si>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</si>
  <si>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</si>
  <si>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</si>
  <si>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</si>
  <si>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</si>
  <si>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</si>
  <si>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</si>
  <si>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</si>
  <si>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</si>
  <si>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</si>
  <si>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</si>
  <si>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</si>
  <si>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</si>
  <si>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</si>
  <si>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</si>
  <si>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</si>
  <si>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</si>
  <si>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</si>
  <si>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</si>
  <si>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</si>
  <si>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</si>
  <si>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</si>
  <si>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</si>
  <si>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</si>
  <si>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</si>
  <si>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</si>
  <si>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</si>
  <si>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</si>
  <si>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</si>
  <si>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</si>
  <si>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</si>
  <si>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</si>
  <si>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</si>
  <si>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</si>
  <si>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</si>
  <si>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</si>
  <si>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</si>
  <si>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</si>
  <si>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</si>
  <si>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</si>
  <si>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</si>
  <si>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</si>
  <si>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</si>
  <si>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</si>
  <si>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</si>
  <si>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</si>
  <si>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</si>
  <si>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</si>
  <si>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</si>
  <si>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</si>
  <si>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</si>
  <si>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</si>
  <si>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</si>
  <si>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</si>
  <si>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</si>
  <si>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</si>
  <si>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</si>
  <si>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</si>
  <si>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</si>
  <si>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</si>
  <si>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</si>
  <si>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</si>
  <si>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</si>
  <si>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</si>
  <si>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</si>
  <si>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</si>
  <si>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</si>
  <si>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</si>
  <si>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</si>
  <si>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</si>
  <si>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</si>
  <si>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</si>
  <si>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</si>
  <si>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</si>
  <si>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</si>
  <si>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</si>
  <si>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</si>
  <si>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</si>
  <si>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</si>
  <si>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</si>
  <si>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</si>
  <si>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</si>
  <si>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</si>
  <si>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</si>
  <si>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</si>
  <si>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</si>
  <si>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</si>
  <si>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</si>
  <si>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</si>
  <si>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</si>
  <si>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</si>
  <si>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</si>
  <si>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</si>
  <si>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</si>
  <si>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</si>
  <si>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</si>
  <si>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</si>
  <si>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</si>
  <si>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</si>
  <si>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</si>
  <si>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</si>
  <si>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</si>
  <si>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</si>
  <si>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</si>
  <si>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</si>
  <si>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</si>
  <si>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</si>
  <si>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</si>
  <si>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</si>
  <si>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</si>
  <si>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</si>
  <si>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</si>
  <si>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</si>
  <si>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</si>
  <si>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</si>
  <si>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</si>
  <si>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</si>
  <si>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</si>
  <si>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</si>
  <si>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</si>
  <si>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</si>
  <si>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</si>
  <si>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</si>
  <si>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</si>
  <si>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</si>
  <si>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</si>
  <si>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</si>
  <si>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</si>
  <si>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</si>
  <si>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</si>
  <si>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</si>
  <si>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</si>
  <si>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</si>
  <si>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</si>
  <si>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</si>
  <si>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</si>
  <si>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</si>
  <si>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</si>
  <si>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</si>
  <si>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</si>
  <si>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</si>
  <si>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</si>
  <si>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</si>
  <si>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</si>
  <si>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</si>
  <si>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</si>
  <si>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</si>
  <si>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</si>
  <si>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</si>
  <si>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</si>
  <si>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</si>
  <si>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</si>
  <si>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</si>
  <si>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</si>
  <si>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</si>
  <si>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</si>
  <si>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</si>
  <si>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</si>
  <si>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</si>
  <si>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</si>
  <si>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</si>
  <si>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</si>
  <si>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</si>
  <si>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</si>
  <si>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</si>
  <si>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</si>
  <si>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</si>
  <si>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</si>
  <si>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</si>
  <si>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</si>
  <si>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</si>
  <si>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</si>
  <si>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</si>
  <si>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</si>
  <si>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</si>
  <si>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</si>
  <si>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</si>
  <si>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</si>
  <si>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</si>
  <si>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</si>
  <si>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</si>
  <si>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</si>
  <si>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</si>
  <si>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</si>
  <si>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</si>
  <si>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</si>
  <si>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</si>
  <si>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</si>
  <si>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</si>
  <si>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</si>
  <si>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</si>
  <si>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</si>
  <si>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</si>
  <si>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</si>
  <si>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</si>
  <si>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</si>
  <si>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</si>
  <si>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</si>
  <si>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</si>
  <si>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</si>
  <si>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</si>
  <si>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</si>
  <si>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</si>
  <si>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</si>
  <si>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</si>
  <si>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</si>
  <si>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</si>
  <si>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</si>
  <si>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</si>
  <si>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</si>
  <si>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</si>
  <si>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</si>
  <si>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</si>
  <si>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</si>
  <si>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</si>
  <si>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</si>
  <si>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</si>
  <si>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</si>
  <si>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</si>
  <si>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</si>
  <si>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</si>
  <si>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</si>
  <si>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</si>
  <si>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</si>
  <si>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</si>
  <si>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</si>
  <si>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</si>
  <si>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</si>
  <si>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</si>
  <si>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</si>
  <si>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</si>
  <si>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</si>
  <si>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</si>
  <si>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</si>
  <si>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</si>
  <si>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</si>
  <si>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</si>
  <si>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</si>
  <si>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</si>
  <si>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</si>
  <si>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</si>
  <si>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</si>
  <si>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</si>
  <si>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</si>
  <si>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</si>
  <si>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</si>
  <si>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</si>
  <si>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</si>
  <si>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</si>
  <si>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</si>
  <si>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</si>
  <si>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</si>
  <si>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</si>
  <si>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</si>
  <si>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</si>
  <si>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</si>
  <si>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</si>
  <si>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</si>
  <si>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</si>
  <si>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</si>
  <si>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</si>
  <si>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Bellegarde 30127</t>
  </si>
  <si>
    <t>équivalent sorgho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</si>
</sst>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93" t="s">
        <v>311</v>
      </c>
      <c r="L3" s="93"/>
      <c r="M3" s="93"/>
      <c r="N3" s="93"/>
      <c r="O3" s="93"/>
      <c r="P3" s="93"/>
    </row>
    <row r="4" spans="2:16" x14ac:dyDescent="0.3">
      <c r="K4" s="93"/>
      <c r="L4" s="93"/>
      <c r="M4" s="93"/>
      <c r="N4" s="93"/>
      <c r="O4" s="93"/>
      <c r="P4" s="93"/>
    </row>
    <row r="5" spans="2:16" x14ac:dyDescent="0.3">
      <c r="K5" s="93"/>
      <c r="L5" s="93"/>
      <c r="M5" s="93"/>
      <c r="N5" s="93"/>
      <c r="O5" s="93"/>
      <c r="P5" s="93"/>
    </row>
    <row r="7" spans="2:16" ht="15" customHeight="1" x14ac:dyDescent="0.3">
      <c r="B7" s="94" t="s">
        <v>310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ht="15" customHeight="1" x14ac:dyDescent="0.3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ht="15" customHeight="1" x14ac:dyDescent="0.3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1" spans="2:16" ht="15" customHeight="1" x14ac:dyDescent="0.3">
      <c r="B11" s="95" t="s">
        <v>335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 x14ac:dyDescent="0.3">
      <c r="B12" s="98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9"/>
    </row>
    <row r="13" spans="2:16" ht="15" customHeight="1" x14ac:dyDescent="0.3">
      <c r="B13" s="98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9"/>
    </row>
    <row r="14" spans="2:16" ht="15" customHeight="1" x14ac:dyDescent="0.3">
      <c r="B14" s="9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9"/>
    </row>
    <row r="15" spans="2:16" ht="15" customHeight="1" x14ac:dyDescent="0.3">
      <c r="B15" s="9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9"/>
    </row>
    <row r="16" spans="2:16" ht="15" customHeight="1" x14ac:dyDescent="0.3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9"/>
    </row>
    <row r="17" spans="2:16" ht="15" customHeight="1" x14ac:dyDescent="0.3">
      <c r="B17" s="9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9"/>
    </row>
    <row r="18" spans="2:16" ht="15" customHeight="1" x14ac:dyDescent="0.3">
      <c r="B18" s="9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2:16" ht="15" customHeight="1" x14ac:dyDescent="0.3">
      <c r="B19" s="9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9"/>
    </row>
    <row r="20" spans="2:16" ht="15" customHeight="1" x14ac:dyDescent="0.3">
      <c r="B20" s="9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9"/>
    </row>
    <row r="21" spans="2:16" ht="15" customHeight="1" x14ac:dyDescent="0.3">
      <c r="B21" s="9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9"/>
    </row>
    <row r="22" spans="2:16" ht="15" customHeight="1" x14ac:dyDescent="0.3">
      <c r="B22" s="9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9"/>
    </row>
    <row r="23" spans="2:16" ht="15" customHeight="1" x14ac:dyDescent="0.3">
      <c r="B23" s="9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9"/>
    </row>
    <row r="24" spans="2:16" ht="15" customHeight="1" x14ac:dyDescent="0.3">
      <c r="B24" s="9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9"/>
    </row>
    <row r="25" spans="2:16" ht="15.75" customHeight="1" x14ac:dyDescent="0.3">
      <c r="B25" s="9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9"/>
    </row>
    <row r="26" spans="2:16" ht="15.75" customHeight="1" x14ac:dyDescent="0.3">
      <c r="B26" s="9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9"/>
    </row>
    <row r="27" spans="2:16" ht="15.75" customHeight="1" x14ac:dyDescent="0.3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9"/>
    </row>
    <row r="28" spans="2:16" ht="15.75" customHeight="1" x14ac:dyDescent="0.3">
      <c r="B28" s="9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9"/>
    </row>
    <row r="29" spans="2:16" ht="15.75" customHeight="1" x14ac:dyDescent="0.3">
      <c r="B29" s="9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9"/>
    </row>
    <row r="30" spans="2:16" ht="15.75" customHeight="1" x14ac:dyDescent="0.3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2" spans="2:16" ht="22.5" customHeight="1" x14ac:dyDescent="0.3">
      <c r="B32" s="94" t="s">
        <v>340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2:16" x14ac:dyDescent="0.3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2:16" x14ac:dyDescent="0.3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347</v>
      </c>
    </row>
    <row r="38" spans="6:6" x14ac:dyDescent="0.3">
      <c r="F38" t="s">
        <v>107</v>
      </c>
    </row>
    <row r="39" spans="6:6" x14ac:dyDescent="0.3">
      <c r="F39" t="s">
        <v>108</v>
      </c>
    </row>
    <row r="40" spans="6:6" x14ac:dyDescent="0.3">
      <c r="F40" t="s">
        <v>109</v>
      </c>
    </row>
    <row r="41" spans="6:6" x14ac:dyDescent="0.3">
      <c r="F41" t="s">
        <v>110</v>
      </c>
    </row>
    <row r="42" spans="6:6" x14ac:dyDescent="0.3">
      <c r="F42" t="s">
        <v>111</v>
      </c>
    </row>
    <row r="43" spans="6:6" x14ac:dyDescent="0.3">
      <c r="F43" t="s">
        <v>112</v>
      </c>
    </row>
    <row r="44" spans="6:6" x14ac:dyDescent="0.3">
      <c r="F44" t="s">
        <v>113</v>
      </c>
    </row>
    <row r="45" spans="6:6" x14ac:dyDescent="0.3">
      <c r="F45" t="s">
        <v>114</v>
      </c>
    </row>
    <row r="46" spans="6:6" x14ac:dyDescent="0.3">
      <c r="F46" t="s">
        <v>115</v>
      </c>
    </row>
    <row r="47" spans="6:6" x14ac:dyDescent="0.3">
      <c r="F47" t="s">
        <v>116</v>
      </c>
    </row>
    <row r="48" spans="6:6" x14ac:dyDescent="0.3">
      <c r="F48" t="s">
        <v>117</v>
      </c>
    </row>
    <row r="49" spans="6:6" x14ac:dyDescent="0.3">
      <c r="F49" t="s">
        <v>118</v>
      </c>
    </row>
    <row r="50" spans="6:6" x14ac:dyDescent="0.3">
      <c r="F50" t="s">
        <v>119</v>
      </c>
    </row>
    <row r="51" spans="6:6" x14ac:dyDescent="0.3">
      <c r="F51" t="s">
        <v>120</v>
      </c>
    </row>
    <row r="52" spans="6:6" x14ac:dyDescent="0.3">
      <c r="F52" t="s">
        <v>121</v>
      </c>
    </row>
    <row r="53" spans="6:6" x14ac:dyDescent="0.3">
      <c r="F53" t="s">
        <v>122</v>
      </c>
    </row>
    <row r="54" spans="6:6" x14ac:dyDescent="0.3">
      <c r="F54" t="s">
        <v>123</v>
      </c>
    </row>
    <row r="55" spans="6:6" x14ac:dyDescent="0.3">
      <c r="F55" t="s">
        <v>124</v>
      </c>
    </row>
    <row r="56" spans="6:6" x14ac:dyDescent="0.3">
      <c r="F56" t="s">
        <v>125</v>
      </c>
    </row>
    <row r="57" spans="6:6" x14ac:dyDescent="0.3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opLeftCell="A5" zoomScale="80" zoomScaleNormal="80" workbookViewId="0">
      <selection activeCell="B9" sqref="B9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6" t="s">
        <v>339</v>
      </c>
      <c r="B2" s="107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">
      <c r="A3" s="2"/>
      <c r="AG3" s="2" t="s">
        <v>337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3" t="s">
        <v>331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288</v>
      </c>
      <c r="B7" s="1" t="s">
        <v>351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1.76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1.76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309</v>
      </c>
      <c r="B9" s="1" t="s">
        <v>33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290</v>
      </c>
      <c r="B12" s="1">
        <v>307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5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291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0.6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343</v>
      </c>
      <c r="B17" s="1" t="s">
        <v>105</v>
      </c>
      <c r="C17" s="1"/>
      <c r="D17" s="1"/>
      <c r="E17" s="1"/>
      <c r="F17" s="1"/>
      <c r="G17" s="1"/>
      <c r="H17" s="1"/>
      <c r="I17" s="1"/>
      <c r="J17" s="1"/>
      <c r="K17" s="1"/>
      <c r="L17" s="16" t="s">
        <v>352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344</v>
      </c>
      <c r="B18" s="1" t="s">
        <v>119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345</v>
      </c>
      <c r="B19" s="1" t="s">
        <v>119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(21.77+22.23+21.88)/3</f>
        <v>21.959999999999997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21.88+2.03</f>
        <v>23.91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3" t="s">
        <v>308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Amandier - Gobelet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150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Climat Sec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cultures-Climat Sec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302</v>
      </c>
      <c r="B36" s="44">
        <f>RECant_sol!C9</f>
        <v>27.620266666666655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27.620266666666655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303</v>
      </c>
      <c r="B37" s="45">
        <f>RECant_biom!C28</f>
        <v>64.600939682539675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64.600939682539675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226</v>
      </c>
      <c r="B38" s="45">
        <f t="shared" ref="B38:K38" si="3">IF(B36="","",B36+B37)</f>
        <v>92.221206349206327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92.221206349206327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7" t="s">
        <v>61</v>
      </c>
      <c r="B46" s="12" t="str">
        <f>IF(B13="","",IF(AND(B13="Hors climat Mediterranéen",B16="Prairies "),"Parcelle non éligible", "OUI"))</f>
        <v>OUI</v>
      </c>
      <c r="C46" s="12" t="str">
        <f t="shared" ref="C46:K46" si="6">IF(C13="","",IF(AND(C13="Hors climat Mediterranéen",C16="Prairies "),"Parcelle non éligible", "OUI"))</f>
        <v/>
      </c>
      <c r="D46" s="12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bxClXAWqCgn9CyPQo6l/lZ48SkHuqJJP3x7lgkxTlweAybanTssTKJfPjTLmuIp3e3dDadOaOikn30eXQW2tFw==" saltValue="UmjT3m1hIL4JWmPO7WZXiA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2.9251583114416668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2.9251583114416668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-25.741393140686668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-25.741393140686668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70" zoomScaleNormal="70" workbookViewId="0">
      <selection activeCell="C117" sqref="C117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1" t="s">
        <v>336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2.9251583114416668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2.9251583114416668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146</v>
      </c>
      <c r="B7" s="7" t="s">
        <v>312</v>
      </c>
      <c r="C7" s="80">
        <v>6.5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6.5</v>
      </c>
    </row>
    <row r="8" spans="1:15" x14ac:dyDescent="0.3">
      <c r="B8" s="7" t="s">
        <v>313</v>
      </c>
      <c r="C8" s="80">
        <v>6.5</v>
      </c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6.5</v>
      </c>
    </row>
    <row r="9" spans="1:15" x14ac:dyDescent="0.3">
      <c r="B9" s="7" t="s">
        <v>314</v>
      </c>
      <c r="C9" s="80">
        <v>0</v>
      </c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328</v>
      </c>
      <c r="C10" s="39">
        <f>C7*'(ne pas modifier) BDD_REF'!$B$207 + (C8+C9)*'(ne pas modifier) BDD_REF'!$B$208</f>
        <v>0.14300000000000002</v>
      </c>
      <c r="D10" s="39">
        <f>D7*'(ne pas modifier) BDD_REF'!$B$207 + (D8+D9)*'(ne pas modifier) BDD_REF'!$B$208</f>
        <v>0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0.14300000000000002</v>
      </c>
    </row>
    <row r="11" spans="1:15" x14ac:dyDescent="0.3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2.0800000000000003E-2</v>
      </c>
      <c r="D11" s="39">
        <f>((D7*'(ne pas modifier) BDD_REF'!$B$220)+('RECeff + REIamont (2)'!D8+'RECeff + REIamont (2)'!D9)*'(ne pas modifier) BDD_REF'!$B$221)*'(ne pas modifier) BDD_REF'!$B$209</f>
        <v>0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2.0800000000000003E-2</v>
      </c>
    </row>
    <row r="12" spans="1:15" x14ac:dyDescent="0.3">
      <c r="B12" s="19" t="s">
        <v>330</v>
      </c>
      <c r="C12" s="39">
        <f>(C7+C8+C9)*'(ne pas modifier) BDD_REF'!$B$222*'(ne pas modifier) BDD_REF'!$B$210</f>
        <v>3.4319999999999996E-2</v>
      </c>
      <c r="D12" s="39">
        <f>(D7+D8+D9)*'(ne pas modifier) BDD_REF'!$B$222*'(ne pas modifier) BDD_REF'!$B$210</f>
        <v>0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3.4319999999999996E-2</v>
      </c>
    </row>
    <row r="13" spans="1:15" x14ac:dyDescent="0.3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316</v>
      </c>
      <c r="C14" s="80">
        <v>75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75</v>
      </c>
    </row>
    <row r="15" spans="1:15" x14ac:dyDescent="0.3">
      <c r="B15" s="7" t="s">
        <v>317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0.230325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0.230325</v>
      </c>
    </row>
    <row r="20" spans="1:108" x14ac:dyDescent="0.3">
      <c r="B20" s="7" t="s">
        <v>321</v>
      </c>
      <c r="C20" s="80">
        <v>800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800</v>
      </c>
    </row>
    <row r="21" spans="1:108" x14ac:dyDescent="0.3">
      <c r="B21" s="3" t="s">
        <v>184</v>
      </c>
      <c r="C21" s="39">
        <f>(C20*'(ne pas modifier) BDD_REF'!$B$211)/1000</f>
        <v>4.5600000000000002E-2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4.5600000000000002E-2</v>
      </c>
    </row>
    <row r="22" spans="1:108" s="16" customFormat="1" x14ac:dyDescent="0.3">
      <c r="A22" s="18"/>
      <c r="B22" s="19" t="s">
        <v>185</v>
      </c>
      <c r="C22" s="81">
        <f>C19+C21</f>
        <v>0.27592499999999998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0.27592499999999998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322</v>
      </c>
      <c r="C23" s="80">
        <v>33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33</v>
      </c>
    </row>
    <row r="24" spans="1:108" x14ac:dyDescent="0.3">
      <c r="B24" s="7" t="s">
        <v>323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7.7164999999999997E-2</v>
      </c>
      <c r="D25" s="39">
        <f>(D7*'(ne pas modifier) BDD_REF'!$B$212+'RECeff + REIamont (2)'!D23*'(ne pas modifier) BDD_REF'!$B$213+'RECeff + REIamont (2)'!D24*'(ne pas modifier) BDD_REF'!$B$214)/1000</f>
        <v>0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7.7164999999999997E-2</v>
      </c>
    </row>
    <row r="26" spans="1:108" hidden="1" x14ac:dyDescent="0.3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293</v>
      </c>
      <c r="B27" s="7" t="s">
        <v>324</v>
      </c>
      <c r="C27" s="80">
        <v>2.4</v>
      </c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2.4</v>
      </c>
    </row>
    <row r="28" spans="1:108" x14ac:dyDescent="0.3">
      <c r="B28" s="7" t="s">
        <v>325</v>
      </c>
      <c r="C28" s="80">
        <f>0.5*0.5</f>
        <v>0.25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0.25</v>
      </c>
    </row>
    <row r="29" spans="1:108" x14ac:dyDescent="0.3">
      <c r="B29" s="7" t="s">
        <v>326</v>
      </c>
      <c r="C29" s="80">
        <f>0.5*0.1</f>
        <v>0.05</v>
      </c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0.05</v>
      </c>
    </row>
    <row r="30" spans="1:108" x14ac:dyDescent="0.3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1.7924550000000001E-2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1.7924550000000001E-2</v>
      </c>
    </row>
    <row r="32" spans="1:108" s="16" customFormat="1" x14ac:dyDescent="0.3">
      <c r="A32" s="18"/>
      <c r="B32" s="19" t="s">
        <v>186</v>
      </c>
      <c r="C32" s="81">
        <f>C25+C26+C31</f>
        <v>9.5089549999999995E-2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9.5089549999999995E-2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144</v>
      </c>
      <c r="C33" s="20">
        <f>((C10+C11+C12)/1000*44/28*'(ne pas modifier) BDD_REF'!$B$232)+'RECeff + REIamont (2)'!C22+'RECeff + REIamont (2)'!C32</f>
        <v>0.45351737857142849</v>
      </c>
      <c r="D33" s="20">
        <f>((D10+D11+D12)/1000*44/28*'(ne pas modifier) BDD_REF'!$B$232)+'RECeff + REIamont (2)'!D22+'RECeff + REIamont (2)'!D32</f>
        <v>0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0.45351737857142849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147</v>
      </c>
      <c r="B34" s="7" t="s">
        <v>312</v>
      </c>
      <c r="C34" s="80">
        <v>9.5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9.5</v>
      </c>
    </row>
    <row r="35" spans="1:108" x14ac:dyDescent="0.3">
      <c r="B35" s="7" t="s">
        <v>313</v>
      </c>
      <c r="C35" s="80">
        <v>9.5</v>
      </c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9.5</v>
      </c>
    </row>
    <row r="36" spans="1:108" x14ac:dyDescent="0.3">
      <c r="B36" s="7" t="s">
        <v>314</v>
      </c>
      <c r="C36" s="80">
        <v>0</v>
      </c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328</v>
      </c>
      <c r="C37" s="39">
        <f>C34*'(ne pas modifier) BDD_REF'!$B$207 + (C35+C36)*'(ne pas modifier) BDD_REF'!$B$208</f>
        <v>0.20899999999999999</v>
      </c>
      <c r="D37" s="39">
        <f>D34*'(ne pas modifier) BDD_REF'!$B$207 + (D35+D36)*'(ne pas modifier) BDD_REF'!$B$208</f>
        <v>0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0.20899999999999999</v>
      </c>
    </row>
    <row r="38" spans="1:108" x14ac:dyDescent="0.3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3.04E-2</v>
      </c>
      <c r="D38" s="39">
        <f>((D34*'(ne pas modifier) BDD_REF'!$B$220)+('RECeff + REIamont (2)'!D35+'RECeff + REIamont (2)'!D36)*'(ne pas modifier) BDD_REF'!$B$221)*'(ne pas modifier) BDD_REF'!$B$209</f>
        <v>0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3.04E-2</v>
      </c>
    </row>
    <row r="39" spans="1:108" x14ac:dyDescent="0.3">
      <c r="B39" s="19" t="s">
        <v>330</v>
      </c>
      <c r="C39" s="39">
        <f>(C34+C35+C36)*'(ne pas modifier) BDD_REF'!$B$222*'(ne pas modifier) BDD_REF'!$B$210</f>
        <v>5.0159999999999996E-2</v>
      </c>
      <c r="D39" s="39">
        <f>(D34+D35+D36)*'(ne pas modifier) BDD_REF'!$B$222*'(ne pas modifier) BDD_REF'!$B$210</f>
        <v>0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5.0159999999999996E-2</v>
      </c>
    </row>
    <row r="40" spans="1:108" x14ac:dyDescent="0.3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316</v>
      </c>
      <c r="C41" s="80">
        <v>75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75</v>
      </c>
    </row>
    <row r="42" spans="1:108" x14ac:dyDescent="0.3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0.230325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0.230325</v>
      </c>
    </row>
    <row r="47" spans="1:108" x14ac:dyDescent="0.3">
      <c r="B47" s="7" t="s">
        <v>321</v>
      </c>
      <c r="C47" s="80">
        <v>800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800</v>
      </c>
    </row>
    <row r="48" spans="1:108" x14ac:dyDescent="0.3">
      <c r="B48" s="3" t="s">
        <v>184</v>
      </c>
      <c r="C48" s="39">
        <f>(C47*'(ne pas modifier) BDD_REF'!$B$211)/1000</f>
        <v>4.5600000000000002E-2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4.5600000000000002E-2</v>
      </c>
    </row>
    <row r="49" spans="1:108" s="16" customFormat="1" x14ac:dyDescent="0.3">
      <c r="A49" s="18"/>
      <c r="B49" s="19" t="s">
        <v>185</v>
      </c>
      <c r="C49" s="81">
        <f>C46+C48</f>
        <v>0.27592499999999998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0.27592499999999998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322</v>
      </c>
      <c r="C50" s="80">
        <v>50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50</v>
      </c>
    </row>
    <row r="51" spans="1:108" x14ac:dyDescent="0.3">
      <c r="B51" s="7" t="s">
        <v>323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0.115345</v>
      </c>
      <c r="D52" s="39">
        <f>(D34*'(ne pas modifier) BDD_REF'!$B$212+'RECeff + REIamont (2)'!D50*'(ne pas modifier) BDD_REF'!$B$213+'RECeff + REIamont (2)'!D51*'(ne pas modifier) BDD_REF'!$B$214)/1000</f>
        <v>0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0.115345</v>
      </c>
    </row>
    <row r="53" spans="1:108" hidden="1" x14ac:dyDescent="0.3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324</v>
      </c>
      <c r="C54" s="80">
        <v>2.4</v>
      </c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2.4</v>
      </c>
    </row>
    <row r="55" spans="1:108" x14ac:dyDescent="0.3">
      <c r="B55" s="7" t="s">
        <v>325</v>
      </c>
      <c r="C55" s="80">
        <f>0.5*0.5</f>
        <v>0.25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0.25</v>
      </c>
    </row>
    <row r="56" spans="1:108" x14ac:dyDescent="0.3">
      <c r="B56" s="7" t="s">
        <v>326</v>
      </c>
      <c r="C56" s="80">
        <f>0.5*0.1</f>
        <v>0.05</v>
      </c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0.05</v>
      </c>
    </row>
    <row r="57" spans="1:108" x14ac:dyDescent="0.3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1.7924550000000001E-2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1.7924550000000001E-2</v>
      </c>
    </row>
    <row r="59" spans="1:108" s="16" customFormat="1" x14ac:dyDescent="0.3">
      <c r="A59" s="18"/>
      <c r="B59" s="19" t="s">
        <v>186</v>
      </c>
      <c r="C59" s="81">
        <f>C52+C53+C58</f>
        <v>0.13326955000000001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0.13326955000000001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144</v>
      </c>
      <c r="C60" s="20">
        <f>((C37+C38+C39)/1000*44/28*'(ne pas modifier) BDD_REF'!$B$232)+'RECeff + REIamont (2)'!C49+'RECeff + REIamont (2)'!C59</f>
        <v>0.5297756071428571</v>
      </c>
      <c r="D60" s="20">
        <f>((D37+D38+D39)/1000*44/28*'(ne pas modifier) BDD_REF'!$B$232)+'RECeff + REIamont (2)'!D49+'RECeff + REIamont (2)'!D59</f>
        <v>0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0.5297756071428571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148</v>
      </c>
      <c r="B61" s="7" t="s">
        <v>312</v>
      </c>
      <c r="C61" s="80">
        <v>9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9</v>
      </c>
    </row>
    <row r="62" spans="1:108" x14ac:dyDescent="0.3">
      <c r="B62" s="7" t="s">
        <v>313</v>
      </c>
      <c r="C62" s="80">
        <v>9</v>
      </c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9</v>
      </c>
    </row>
    <row r="63" spans="1:108" x14ac:dyDescent="0.3">
      <c r="B63" s="7" t="s">
        <v>314</v>
      </c>
      <c r="C63" s="80">
        <v>0</v>
      </c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328</v>
      </c>
      <c r="C64" s="39">
        <f>C61*'(ne pas modifier) BDD_REF'!$B$207 + (C62+C63)*'(ne pas modifier) BDD_REF'!$B$208</f>
        <v>0.19800000000000001</v>
      </c>
      <c r="D64" s="39">
        <f>D61*'(ne pas modifier) BDD_REF'!$B$207 + (D62+D63)*'(ne pas modifier) BDD_REF'!$B$208</f>
        <v>0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0.19800000000000001</v>
      </c>
    </row>
    <row r="65" spans="1:108" x14ac:dyDescent="0.3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2.8799999999999999E-2</v>
      </c>
      <c r="D65" s="39">
        <f>((D61*'(ne pas modifier) BDD_REF'!$B$220)+('RECeff + REIamont (2)'!D62+'RECeff + REIamont (2)'!D63)*'(ne pas modifier) BDD_REF'!$B$221)*'(ne pas modifier) BDD_REF'!$B$209</f>
        <v>0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2.8799999999999999E-2</v>
      </c>
    </row>
    <row r="66" spans="1:108" x14ac:dyDescent="0.3">
      <c r="B66" s="19" t="s">
        <v>330</v>
      </c>
      <c r="C66" s="39">
        <f>(C61+C62+C63)*'(ne pas modifier) BDD_REF'!$B$222*'(ne pas modifier) BDD_REF'!$B$210</f>
        <v>4.752E-2</v>
      </c>
      <c r="D66" s="39">
        <f>(D61+D62+D63)*'(ne pas modifier) BDD_REF'!$B$222*'(ne pas modifier) BDD_REF'!$B$210</f>
        <v>0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4.752E-2</v>
      </c>
    </row>
    <row r="67" spans="1:108" x14ac:dyDescent="0.3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316</v>
      </c>
      <c r="C68" s="80">
        <v>100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100</v>
      </c>
    </row>
    <row r="69" spans="1:108" x14ac:dyDescent="0.3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0.30709999999999998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0.30709999999999998</v>
      </c>
    </row>
    <row r="74" spans="1:108" x14ac:dyDescent="0.3">
      <c r="B74" s="7" t="s">
        <v>321</v>
      </c>
      <c r="C74" s="80">
        <v>1200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1200</v>
      </c>
    </row>
    <row r="75" spans="1:108" x14ac:dyDescent="0.3">
      <c r="B75" s="3" t="s">
        <v>184</v>
      </c>
      <c r="C75" s="39">
        <f>(C74*'(ne pas modifier) BDD_REF'!$B$211)/1000</f>
        <v>6.8400000000000002E-2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6.8400000000000002E-2</v>
      </c>
    </row>
    <row r="76" spans="1:108" s="16" customFormat="1" x14ac:dyDescent="0.3">
      <c r="A76" s="18"/>
      <c r="B76" s="19" t="s">
        <v>185</v>
      </c>
      <c r="C76" s="81">
        <f>C73+C75</f>
        <v>0.3755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0.3755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322</v>
      </c>
      <c r="C77" s="80">
        <v>17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17</v>
      </c>
    </row>
    <row r="78" spans="1:108" x14ac:dyDescent="0.3">
      <c r="B78" s="7" t="s">
        <v>323</v>
      </c>
      <c r="C78" s="80">
        <v>24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24</v>
      </c>
    </row>
    <row r="79" spans="1:108" x14ac:dyDescent="0.3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8.2280000000000006E-2</v>
      </c>
      <c r="D79" s="39">
        <f>(D61*'(ne pas modifier) BDD_REF'!$B$212+'RECeff + REIamont (2)'!D77*'(ne pas modifier) BDD_REF'!$B$213+'RECeff + REIamont (2)'!D78*'(ne pas modifier) BDD_REF'!$B$214)/1000</f>
        <v>0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8.2280000000000006E-2</v>
      </c>
    </row>
    <row r="80" spans="1:108" hidden="1" x14ac:dyDescent="0.3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324</v>
      </c>
      <c r="C81" s="80">
        <v>2.4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2.4</v>
      </c>
    </row>
    <row r="82" spans="1:108" x14ac:dyDescent="0.3">
      <c r="B82" s="7" t="s">
        <v>325</v>
      </c>
      <c r="C82" s="80">
        <f>0.5*0.5</f>
        <v>0.25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0.25</v>
      </c>
    </row>
    <row r="83" spans="1:108" x14ac:dyDescent="0.3">
      <c r="B83" s="7" t="s">
        <v>326</v>
      </c>
      <c r="C83" s="80">
        <f>0.5*0.1</f>
        <v>0.05</v>
      </c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0.05</v>
      </c>
    </row>
    <row r="84" spans="1:108" x14ac:dyDescent="0.3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1.7924550000000001E-2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1.7924550000000001E-2</v>
      </c>
    </row>
    <row r="86" spans="1:108" s="16" customFormat="1" x14ac:dyDescent="0.3">
      <c r="A86" s="18"/>
      <c r="B86" s="19" t="s">
        <v>186</v>
      </c>
      <c r="C86" s="81">
        <f>C79+C80+C85</f>
        <v>0.10020455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0.10020455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144</v>
      </c>
      <c r="C87" s="20">
        <f>((C64+C65+C66)/1000*44/28*'(ne pas modifier) BDD_REF'!$B$232)+'RECeff + REIamont (2)'!C76+'RECeff + REIamont (2)'!C86</f>
        <v>0.58993923571428564</v>
      </c>
      <c r="D87" s="20">
        <f>((D64+D65+D66)/1000*44/28*'(ne pas modifier) BDD_REF'!$B$232)+'RECeff + REIamont (2)'!D76+'RECeff + REIamont (2)'!D86</f>
        <v>0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0.58993923571428564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149</v>
      </c>
      <c r="B88" s="7" t="s">
        <v>312</v>
      </c>
      <c r="C88" s="80">
        <v>18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18</v>
      </c>
    </row>
    <row r="89" spans="1:108" x14ac:dyDescent="0.3">
      <c r="B89" s="7" t="s">
        <v>313</v>
      </c>
      <c r="C89" s="80">
        <v>38</v>
      </c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38</v>
      </c>
    </row>
    <row r="90" spans="1:108" x14ac:dyDescent="0.3">
      <c r="B90" s="7" t="s">
        <v>314</v>
      </c>
      <c r="C90" s="80">
        <v>0</v>
      </c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328</v>
      </c>
      <c r="C91" s="39">
        <f>C88*'(ne pas modifier) BDD_REF'!$B$207 + (C89+C90)*'(ne pas modifier) BDD_REF'!$B$208</f>
        <v>0.51600000000000001</v>
      </c>
      <c r="D91" s="39">
        <f>D88*'(ne pas modifier) BDD_REF'!$B$207 + (D89+D90)*'(ne pas modifier) BDD_REF'!$B$208</f>
        <v>0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0.51600000000000001</v>
      </c>
    </row>
    <row r="92" spans="1:108" x14ac:dyDescent="0.3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9.9599999999999994E-2</v>
      </c>
      <c r="D92" s="39">
        <f>((D88*'(ne pas modifier) BDD_REF'!$B$220)+('RECeff + REIamont (2)'!D89+'RECeff + REIamont (2)'!D90)*'(ne pas modifier) BDD_REF'!$B$221)*'(ne pas modifier) BDD_REF'!$B$209</f>
        <v>0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9.9599999999999994E-2</v>
      </c>
    </row>
    <row r="93" spans="1:108" x14ac:dyDescent="0.3">
      <c r="B93" s="19" t="s">
        <v>330</v>
      </c>
      <c r="C93" s="39">
        <f>(C88+C89+C90)*'(ne pas modifier) BDD_REF'!$B$222*'(ne pas modifier) BDD_REF'!$B$210</f>
        <v>0.14784</v>
      </c>
      <c r="D93" s="39">
        <f>(D88+D89+D90)*'(ne pas modifier) BDD_REF'!$B$222*'(ne pas modifier) BDD_REF'!$B$210</f>
        <v>0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0.14784</v>
      </c>
    </row>
    <row r="94" spans="1:108" x14ac:dyDescent="0.3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316</v>
      </c>
      <c r="C95" s="80">
        <v>120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120</v>
      </c>
    </row>
    <row r="96" spans="1:108" x14ac:dyDescent="0.3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0.36851999999999996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0.36851999999999996</v>
      </c>
    </row>
    <row r="101" spans="1:108" x14ac:dyDescent="0.3">
      <c r="B101" s="7" t="s">
        <v>321</v>
      </c>
      <c r="C101" s="80">
        <v>1200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1200</v>
      </c>
    </row>
    <row r="102" spans="1:108" x14ac:dyDescent="0.3">
      <c r="B102" s="3" t="s">
        <v>184</v>
      </c>
      <c r="C102" s="39">
        <f>(C101*'(ne pas modifier) BDD_REF'!$B$211)/1000</f>
        <v>6.8400000000000002E-2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6.8400000000000002E-2</v>
      </c>
    </row>
    <row r="103" spans="1:108" s="16" customFormat="1" x14ac:dyDescent="0.3">
      <c r="A103" s="18"/>
      <c r="B103" s="19" t="s">
        <v>185</v>
      </c>
      <c r="C103" s="81">
        <f>C100+C102</f>
        <v>0.43691999999999998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0.43691999999999998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322</v>
      </c>
      <c r="C104" s="80">
        <v>45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45</v>
      </c>
    </row>
    <row r="105" spans="1:108" x14ac:dyDescent="0.3">
      <c r="B105" s="7" t="s">
        <v>323</v>
      </c>
      <c r="C105" s="80">
        <v>90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90</v>
      </c>
    </row>
    <row r="106" spans="1:108" x14ac:dyDescent="0.3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0.21033000000000002</v>
      </c>
      <c r="D106" s="39">
        <f>(D88*'(ne pas modifier) BDD_REF'!$B$212+'RECeff + REIamont (2)'!D104*'(ne pas modifier) BDD_REF'!$B$213+'RECeff + REIamont (2)'!D105*'(ne pas modifier) BDD_REF'!$B$214)/1000</f>
        <v>0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0.21033000000000002</v>
      </c>
    </row>
    <row r="107" spans="1:108" hidden="1" x14ac:dyDescent="0.3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324</v>
      </c>
      <c r="C108" s="80">
        <v>38.01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38.01</v>
      </c>
    </row>
    <row r="109" spans="1:108" x14ac:dyDescent="0.3">
      <c r="B109" s="7" t="s">
        <v>325</v>
      </c>
      <c r="C109" s="80">
        <v>1.1499999999999999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1.1499999999999999</v>
      </c>
    </row>
    <row r="110" spans="1:108" x14ac:dyDescent="0.3">
      <c r="B110" s="7" t="s">
        <v>326</v>
      </c>
      <c r="C110" s="80">
        <v>0.05</v>
      </c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0.05</v>
      </c>
    </row>
    <row r="111" spans="1:108" x14ac:dyDescent="0.3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0.23999153999999998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0.23999153999999998</v>
      </c>
    </row>
    <row r="113" spans="1:108" s="16" customFormat="1" x14ac:dyDescent="0.3">
      <c r="A113" s="18"/>
      <c r="B113" s="19" t="s">
        <v>186</v>
      </c>
      <c r="C113" s="81">
        <f>C106+C107+C112</f>
        <v>0.45032154000000002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0.45032154000000002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144</v>
      </c>
      <c r="C114" s="20">
        <f>((C91+C92+C93)/1000*44/28*'(ne pas modifier) BDD_REF'!$B$232)+'RECeff + REIamont (2)'!C103+'RECeff + REIamont (2)'!C113</f>
        <v>1.2051597685714286</v>
      </c>
      <c r="D114" s="20">
        <f>((D91+D92+D93)/1000*44/28*'(ne pas modifier) BDD_REF'!$B$232)+'RECeff + REIamont (2)'!D103+'RECeff + REIamont (2)'!D113</f>
        <v>0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1.2051597685714286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150</v>
      </c>
      <c r="B115" s="7" t="s">
        <v>312</v>
      </c>
      <c r="C115" s="80">
        <v>60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60</v>
      </c>
    </row>
    <row r="116" spans="1:108" x14ac:dyDescent="0.3">
      <c r="B116" s="7" t="s">
        <v>313</v>
      </c>
      <c r="C116" s="80">
        <v>75</v>
      </c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75</v>
      </c>
    </row>
    <row r="117" spans="1:108" x14ac:dyDescent="0.3">
      <c r="B117" s="7" t="s">
        <v>314</v>
      </c>
      <c r="C117" s="80">
        <v>0</v>
      </c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328</v>
      </c>
      <c r="C118" s="39">
        <f>C115*'(ne pas modifier) BDD_REF'!$B$207 + (C116+C117)*'(ne pas modifier) BDD_REF'!$B$208</f>
        <v>1.41</v>
      </c>
      <c r="D118" s="39">
        <f>D115*'(ne pas modifier) BDD_REF'!$B$207 + (D116+D117)*'(ne pas modifier) BDD_REF'!$B$208</f>
        <v>0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1.41</v>
      </c>
    </row>
    <row r="119" spans="1:108" x14ac:dyDescent="0.3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0.22350000000000003</v>
      </c>
      <c r="D119" s="39">
        <f>((D115*'(ne pas modifier) BDD_REF'!$B$220)+('RECeff + REIamont (2)'!D116+'RECeff + REIamont (2)'!D117)*'(ne pas modifier) BDD_REF'!$B$221)*'(ne pas modifier) BDD_REF'!$B$209</f>
        <v>0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0.22350000000000003</v>
      </c>
    </row>
    <row r="120" spans="1:108" x14ac:dyDescent="0.3">
      <c r="B120" s="19" t="s">
        <v>330</v>
      </c>
      <c r="C120" s="39">
        <f>(C115+C116+C117)*'(ne pas modifier) BDD_REF'!$B$222*'(ne pas modifier) BDD_REF'!$B$210</f>
        <v>0.35639999999999994</v>
      </c>
      <c r="D120" s="39">
        <f>(D115+D116+D117)*'(ne pas modifier) BDD_REF'!$B$222*'(ne pas modifier) BDD_REF'!$B$210</f>
        <v>0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0.35639999999999994</v>
      </c>
    </row>
    <row r="121" spans="1:108" x14ac:dyDescent="0.3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316</v>
      </c>
      <c r="C122" s="80">
        <v>150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150</v>
      </c>
    </row>
    <row r="123" spans="1:108" x14ac:dyDescent="0.3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0.46065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0.46065</v>
      </c>
    </row>
    <row r="128" spans="1:108" x14ac:dyDescent="0.3">
      <c r="B128" s="7" t="s">
        <v>321</v>
      </c>
      <c r="C128" s="80">
        <v>1600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1600</v>
      </c>
    </row>
    <row r="129" spans="1:108" x14ac:dyDescent="0.3">
      <c r="B129" s="3" t="s">
        <v>184</v>
      </c>
      <c r="C129" s="39">
        <f>(C128*'(ne pas modifier) BDD_REF'!$B$211)/1000</f>
        <v>9.1200000000000003E-2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9.1200000000000003E-2</v>
      </c>
    </row>
    <row r="130" spans="1:108" s="16" customFormat="1" x14ac:dyDescent="0.3">
      <c r="A130" s="18"/>
      <c r="B130" s="19" t="s">
        <v>185</v>
      </c>
      <c r="C130" s="81">
        <f>C127+C129</f>
        <v>0.55184999999999995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0.55184999999999995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322</v>
      </c>
      <c r="C131" s="80">
        <v>90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90</v>
      </c>
    </row>
    <row r="132" spans="1:108" x14ac:dyDescent="0.3">
      <c r="B132" s="7" t="s">
        <v>323</v>
      </c>
      <c r="C132" s="80">
        <v>120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120</v>
      </c>
    </row>
    <row r="133" spans="1:108" x14ac:dyDescent="0.3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0.48629999999999995</v>
      </c>
      <c r="D133" s="39">
        <f>(D115*'(ne pas modifier) BDD_REF'!$B$212+'RECeff + REIamont (2)'!D131*'(ne pas modifier) BDD_REF'!$B$213+'RECeff + REIamont (2)'!D132*'(ne pas modifier) BDD_REF'!$B$214)/1000</f>
        <v>0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0.48629999999999995</v>
      </c>
    </row>
    <row r="134" spans="1:108" hidden="1" x14ac:dyDescent="0.3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324</v>
      </c>
      <c r="C135" s="80">
        <v>38.01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38.01</v>
      </c>
    </row>
    <row r="136" spans="1:108" x14ac:dyDescent="0.3">
      <c r="B136" s="7" t="s">
        <v>325</v>
      </c>
      <c r="C136" s="80">
        <v>1.1499999999999999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1.1499999999999999</v>
      </c>
    </row>
    <row r="137" spans="1:108" x14ac:dyDescent="0.3">
      <c r="B137" s="7" t="s">
        <v>326</v>
      </c>
      <c r="C137" s="80">
        <v>0.05</v>
      </c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0.05</v>
      </c>
    </row>
    <row r="138" spans="1:108" x14ac:dyDescent="0.3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0.23999153999999998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0.23999153999999998</v>
      </c>
    </row>
    <row r="140" spans="1:108" s="16" customFormat="1" x14ac:dyDescent="0.3">
      <c r="A140" s="18"/>
      <c r="B140" s="19" t="s">
        <v>186</v>
      </c>
      <c r="C140" s="81">
        <f>C133+C134+C139</f>
        <v>0.72629153999999996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0.72629153999999996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144</v>
      </c>
      <c r="C141" s="20">
        <f>((C118+C119+C120)/1000*44/28*'(ne pas modifier) BDD_REF'!$B$232)+'RECeff + REIamont (2)'!C130+'RECeff + REIamont (2)'!C140</f>
        <v>2.1067927542857143</v>
      </c>
      <c r="D141" s="20">
        <f>((D118+D119+D120)/1000*44/28*'(ne pas modifier) BDD_REF'!$B$232)+'RECeff + REIamont (2)'!D130+'RECeff + REIamont (2)'!D140</f>
        <v>0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2.1067927542857143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189</v>
      </c>
      <c r="C142" s="71">
        <f>C33+C60+C87+C114+C141</f>
        <v>4.8851847442857146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4.8851847442857146</v>
      </c>
    </row>
    <row r="143" spans="1:108" x14ac:dyDescent="0.3">
      <c r="B143" s="71" t="s">
        <v>222</v>
      </c>
      <c r="C143" s="71">
        <f>(C142-C5*5)</f>
        <v>-9.7406068129226195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188</v>
      </c>
      <c r="C144" s="21">
        <f>C143*Eligibilité_projet!B8</f>
        <v>-17.143467990743812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-17.143467990743812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1" t="s">
        <v>334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259</v>
      </c>
      <c r="C51" s="37" t="s">
        <v>258</v>
      </c>
      <c r="M51" s="2"/>
    </row>
    <row r="52" spans="1:13" ht="28.8" x14ac:dyDescent="0.3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">
      <c r="B53" s="36" t="s">
        <v>239</v>
      </c>
      <c r="C53" s="38">
        <f>0.325/1000</f>
        <v>3.2499999999999999E-4</v>
      </c>
      <c r="M53" s="2"/>
    </row>
    <row r="54" spans="1:13" x14ac:dyDescent="0.3">
      <c r="B54" s="36" t="s">
        <v>255</v>
      </c>
      <c r="C54" s="38">
        <f>0.335/1000</f>
        <v>3.3500000000000001E-4</v>
      </c>
      <c r="M54" s="2"/>
    </row>
    <row r="55" spans="1:13" x14ac:dyDescent="0.3">
      <c r="B55" s="36" t="s">
        <v>256</v>
      </c>
      <c r="C55" s="38">
        <f>0.282/1000</f>
        <v>2.8199999999999997E-4</v>
      </c>
      <c r="M55" s="2"/>
    </row>
    <row r="56" spans="1:13" ht="28.8" x14ac:dyDescent="0.3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">
      <c r="B57" s="36" t="s">
        <v>262</v>
      </c>
      <c r="C57" s="36">
        <f>0.313/1000</f>
        <v>3.1300000000000002E-4</v>
      </c>
      <c r="M57" s="2"/>
    </row>
    <row r="58" spans="1:13" x14ac:dyDescent="0.3">
      <c r="B58" s="36" t="s">
        <v>263</v>
      </c>
      <c r="C58" s="36">
        <f>0.319/1000</f>
        <v>3.19E-4</v>
      </c>
      <c r="M58" s="2"/>
    </row>
    <row r="59" spans="1:13" x14ac:dyDescent="0.3">
      <c r="B59" s="36" t="s">
        <v>264</v>
      </c>
      <c r="C59" s="36">
        <f>0.306/1000</f>
        <v>3.0600000000000001E-4</v>
      </c>
      <c r="M59" s="2"/>
    </row>
    <row r="60" spans="1:13" x14ac:dyDescent="0.3">
      <c r="B60" s="36" t="s">
        <v>265</v>
      </c>
      <c r="C60" s="36">
        <f>0.174/1000</f>
        <v>1.74E-4</v>
      </c>
      <c r="M60" s="2"/>
    </row>
    <row r="61" spans="1:13" x14ac:dyDescent="0.3">
      <c r="B61" s="36" t="s">
        <v>266</v>
      </c>
      <c r="C61" s="36">
        <f>0.273/1000</f>
        <v>2.7300000000000002E-4</v>
      </c>
      <c r="M61" s="2"/>
    </row>
    <row r="62" spans="1:13" x14ac:dyDescent="0.3">
      <c r="B62" s="36" t="s">
        <v>243</v>
      </c>
      <c r="C62" s="36">
        <f>0.272/1000</f>
        <v>2.72E-4</v>
      </c>
      <c r="M62" s="2"/>
    </row>
    <row r="63" spans="1:13" x14ac:dyDescent="0.3">
      <c r="B63" s="36" t="s">
        <v>267</v>
      </c>
      <c r="C63" s="36">
        <f>0.311/1000</f>
        <v>3.1100000000000002E-4</v>
      </c>
      <c r="M63" s="2"/>
    </row>
    <row r="64" spans="1:13" x14ac:dyDescent="0.3">
      <c r="B64" s="36" t="s">
        <v>268</v>
      </c>
      <c r="C64" s="36">
        <f>0.132/1000</f>
        <v>1.3200000000000001E-4</v>
      </c>
      <c r="M64" s="2"/>
    </row>
    <row r="65" spans="1:13" x14ac:dyDescent="0.3">
      <c r="B65" s="36" t="s">
        <v>269</v>
      </c>
      <c r="C65" s="36">
        <f>0.238/1000</f>
        <v>2.3799999999999998E-4</v>
      </c>
      <c r="M65" s="2"/>
    </row>
    <row r="66" spans="1:13" x14ac:dyDescent="0.3">
      <c r="B66" s="36" t="s">
        <v>270</v>
      </c>
      <c r="C66" s="36">
        <f>0.23/1000</f>
        <v>2.3000000000000001E-4</v>
      </c>
      <c r="M66" s="2"/>
    </row>
    <row r="67" spans="1:13" ht="43.2" x14ac:dyDescent="0.3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">
      <c r="B68" s="36" t="s">
        <v>273</v>
      </c>
      <c r="C68" s="36">
        <f>0.331/1000</f>
        <v>3.3100000000000002E-4</v>
      </c>
      <c r="M68" s="2"/>
    </row>
    <row r="69" spans="1:13" x14ac:dyDescent="0.3">
      <c r="B69" s="36" t="s">
        <v>274</v>
      </c>
      <c r="C69" s="36">
        <f>0.331/1000</f>
        <v>3.3100000000000002E-4</v>
      </c>
      <c r="M69" s="2"/>
    </row>
    <row r="70" spans="1:13" ht="28.8" x14ac:dyDescent="0.3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">
      <c r="B71" s="36" t="s">
        <v>277</v>
      </c>
      <c r="C71" s="36">
        <f>0.308/1000</f>
        <v>3.0800000000000001E-4</v>
      </c>
      <c r="M71" s="2"/>
    </row>
    <row r="72" spans="1:13" x14ac:dyDescent="0.3">
      <c r="B72" s="36" t="s">
        <v>278</v>
      </c>
      <c r="C72" s="36">
        <f>0.313/1000</f>
        <v>3.1300000000000002E-4</v>
      </c>
      <c r="M72" s="2"/>
    </row>
    <row r="73" spans="1:13" ht="28.8" x14ac:dyDescent="0.3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8.8" x14ac:dyDescent="0.3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">
      <c r="B75" s="36" t="s">
        <v>283</v>
      </c>
      <c r="C75" s="36">
        <f>0.244/1000</f>
        <v>2.4399999999999999E-4</v>
      </c>
      <c r="M75" s="2"/>
    </row>
    <row r="76" spans="1:13" ht="28.8" x14ac:dyDescent="0.3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227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2.4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0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2.4</v>
      </c>
      <c r="N5" s="2"/>
      <c r="O5" s="2"/>
      <c r="P5" s="2"/>
      <c r="Q5" s="2"/>
    </row>
    <row r="6" spans="1:17" x14ac:dyDescent="0.3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3.72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0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3.72</v>
      </c>
      <c r="N6" s="2"/>
      <c r="O6" s="2"/>
      <c r="P6" s="2"/>
      <c r="Q6" s="2"/>
    </row>
    <row r="7" spans="1:17" x14ac:dyDescent="0.3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5.04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0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5.04</v>
      </c>
      <c r="N7" s="2"/>
      <c r="O7" s="2"/>
      <c r="P7" s="2"/>
      <c r="Q7" s="2"/>
    </row>
    <row r="8" spans="1:17" x14ac:dyDescent="0.3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6.36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0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6.36</v>
      </c>
      <c r="N8" s="2"/>
      <c r="O8" s="2"/>
      <c r="P8" s="2"/>
      <c r="Q8" s="2"/>
    </row>
    <row r="9" spans="1:17" x14ac:dyDescent="0.3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6.6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0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6.6</v>
      </c>
      <c r="N9" s="2"/>
      <c r="O9" s="2"/>
      <c r="P9" s="2"/>
      <c r="Q9" s="2"/>
    </row>
    <row r="10" spans="1:17" x14ac:dyDescent="0.3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7.7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0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7.7</v>
      </c>
      <c r="N10" s="2"/>
      <c r="O10" s="2"/>
      <c r="P10" s="2"/>
      <c r="Q10" s="2"/>
    </row>
    <row r="11" spans="1:17" x14ac:dyDescent="0.3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8.8000000000000007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0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8.8000000000000007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9.9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0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9.9</v>
      </c>
      <c r="N12" s="2"/>
      <c r="O12" s="2"/>
      <c r="P12" s="2"/>
      <c r="Q12" s="2"/>
    </row>
    <row r="13" spans="1:17" x14ac:dyDescent="0.3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11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0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11</v>
      </c>
      <c r="N13" s="2"/>
      <c r="O13" s="2"/>
      <c r="P13" s="2"/>
      <c r="Q13" s="2"/>
    </row>
    <row r="14" spans="1:17" x14ac:dyDescent="0.3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12.1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0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12.1</v>
      </c>
      <c r="N14" s="2"/>
      <c r="O14" s="2"/>
      <c r="P14" s="2"/>
      <c r="Q14" s="2"/>
    </row>
    <row r="15" spans="1:17" x14ac:dyDescent="0.3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12.46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0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12.46</v>
      </c>
      <c r="N15" s="2"/>
      <c r="O15" s="2"/>
      <c r="P15" s="2"/>
      <c r="Q15" s="2"/>
    </row>
    <row r="16" spans="1:17" x14ac:dyDescent="0.3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12.82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0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12.82</v>
      </c>
      <c r="N16" s="2"/>
      <c r="O16" s="2"/>
      <c r="P16" s="2"/>
      <c r="Q16" s="2"/>
    </row>
    <row r="17" spans="1:17" x14ac:dyDescent="0.3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13.18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0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13.18</v>
      </c>
      <c r="N17" s="2"/>
      <c r="O17" s="2"/>
      <c r="P17" s="2"/>
      <c r="Q17" s="2"/>
    </row>
    <row r="18" spans="1:17" x14ac:dyDescent="0.3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13.54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0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13.54</v>
      </c>
      <c r="N18" s="2"/>
      <c r="O18" s="2"/>
      <c r="P18" s="2"/>
      <c r="Q18" s="2"/>
    </row>
    <row r="19" spans="1:17" x14ac:dyDescent="0.3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13.9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0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13.9</v>
      </c>
      <c r="N19" s="2"/>
      <c r="O19" s="2"/>
      <c r="P19" s="2"/>
      <c r="Q19" s="2"/>
    </row>
    <row r="20" spans="1:17" x14ac:dyDescent="0.3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13.98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0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13.98</v>
      </c>
      <c r="N20" s="2"/>
      <c r="O20" s="2"/>
      <c r="P20" s="2"/>
      <c r="Q20" s="2"/>
    </row>
    <row r="21" spans="1:17" x14ac:dyDescent="0.3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14.06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0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14.06</v>
      </c>
      <c r="N21" s="2"/>
      <c r="O21" s="2"/>
      <c r="P21" s="2"/>
      <c r="Q21" s="2"/>
    </row>
    <row r="22" spans="1:17" x14ac:dyDescent="0.3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14.14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0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14.14</v>
      </c>
      <c r="N22" s="2"/>
      <c r="O22" s="2"/>
      <c r="P22" s="2"/>
      <c r="Q22" s="2"/>
    </row>
    <row r="23" spans="1:17" x14ac:dyDescent="0.3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14.22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0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14.22</v>
      </c>
      <c r="N23" s="2"/>
      <c r="O23" s="2"/>
      <c r="P23" s="2"/>
      <c r="Q23" s="2"/>
    </row>
    <row r="24" spans="1:17" x14ac:dyDescent="0.3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14.3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0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14.3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2">
        <f>SUMIF($A5:$A24,"&lt;"&amp;Eligibilité_projet!B14+1,C5:C24)</f>
        <v>210.22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210.22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296</v>
      </c>
      <c r="C28" s="24">
        <f>((C25/C27)-C26)*Eligibilité_projet!B8*44/12</f>
        <v>64.600939682539675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64.600939682539675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8" t="s">
        <v>332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43.1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0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43.1</v>
      </c>
      <c r="N5" s="2"/>
      <c r="O5" s="2"/>
      <c r="P5" s="2"/>
    </row>
    <row r="6" spans="1:16" x14ac:dyDescent="0.3">
      <c r="B6" s="7" t="s">
        <v>307</v>
      </c>
      <c r="C6" s="22">
        <f>IF(Eligibilité_projet!B13="Hors climat Mediterranéen",'(ne pas modifier) BDD_REF'!$C$272,IF(Eligibilité_projet!B13="",0,'(ne pas modifier) BDD_REF'!$B$272))</f>
        <v>41.5</v>
      </c>
      <c r="D6" s="22">
        <f>IF(Eligibilité_projet!C13="Hors climat Mediterranéen",'(ne pas modifier) BDD_REF'!$C$272,IF(Eligibilité_projet!C13="",0,'(ne pas modifier) BDD_REF'!$B$272))</f>
        <v>0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41.5</v>
      </c>
      <c r="N6" s="2"/>
      <c r="O6" s="2"/>
      <c r="P6" s="2"/>
    </row>
    <row r="7" spans="1:16" x14ac:dyDescent="0.3">
      <c r="B7" s="7" t="s">
        <v>305</v>
      </c>
      <c r="C7" s="22">
        <f>Eligibilité_projet!B15</f>
        <v>0.6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0.6</v>
      </c>
      <c r="N7" s="2"/>
      <c r="O7" s="2"/>
      <c r="P7" s="2"/>
    </row>
    <row r="8" spans="1:16" ht="28.8" x14ac:dyDescent="0.3">
      <c r="B8" s="7" t="s">
        <v>297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298</v>
      </c>
      <c r="C9" s="21">
        <f>((C6-C5)+('(ne pas modifier) BDD_REF'!$B$276*C7*C8))*Eligibilité_projet!B8*44/12</f>
        <v>27.620266666666655</v>
      </c>
      <c r="D9" s="21">
        <f>((D6-D5)+('(ne pas modifier) BDD_REF'!$B$276*D7*D8))*Eligibilité_projet!C8*44/12</f>
        <v>0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27.620266666666655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abSelected="1" zoomScale="80" zoomScaleNormal="80" workbookViewId="0">
      <selection activeCell="G6" sqref="G6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1" t="s">
        <v>333</v>
      </c>
      <c r="C2" s="113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4" t="s">
        <v>142</v>
      </c>
      <c r="C4" s="115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143</v>
      </c>
      <c r="B7" s="3" t="s">
        <v>299</v>
      </c>
      <c r="C7" s="15">
        <f>IF(Eligibilité_projet!C2="OUI","/",'RECeff + REIamont (2)'!M144)</f>
        <v>-17.143467990743812</v>
      </c>
      <c r="D7" s="2"/>
      <c r="E7" s="2"/>
      <c r="F7" s="2"/>
    </row>
    <row r="8" spans="1:6" x14ac:dyDescent="0.3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5">
        <f>RECant_biom!M28</f>
        <v>64.600939682539675</v>
      </c>
      <c r="D9" s="2"/>
      <c r="E9" s="2"/>
      <c r="F9" s="2"/>
    </row>
    <row r="10" spans="1:6" x14ac:dyDescent="0.3">
      <c r="A10" s="2"/>
      <c r="B10" s="3" t="s">
        <v>298</v>
      </c>
      <c r="C10" s="15">
        <f>RECant_sol!M9</f>
        <v>27.620266666666655</v>
      </c>
      <c r="D10" s="2"/>
      <c r="E10" s="2"/>
      <c r="F10" s="2"/>
    </row>
    <row r="11" spans="1:6" x14ac:dyDescent="0.3">
      <c r="A11" s="2"/>
      <c r="B11" s="19" t="s">
        <v>301</v>
      </c>
      <c r="C11" s="42">
        <f>SUM(IF(Eligibilité_projet!C2="OUI",-C6,-C7),-C8,C10,C9)</f>
        <v>109.36467433995014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4" t="s">
        <v>350</v>
      </c>
      <c r="C13" s="115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91">
        <f>IF(Eligibilité_projet!C2="OUI",C6*(1-0.15),C7)</f>
        <v>-17.143467990743812</v>
      </c>
      <c r="D15" s="2"/>
      <c r="E15" s="2"/>
      <c r="F15" s="2"/>
    </row>
    <row r="16" spans="1:6" x14ac:dyDescent="0.3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">
      <c r="A17" s="2"/>
      <c r="B17" s="90" t="s">
        <v>300</v>
      </c>
      <c r="C17" s="15">
        <f>C9*(1-0.1)</f>
        <v>58.14084571428571</v>
      </c>
      <c r="D17" s="2"/>
      <c r="E17" s="2"/>
      <c r="F17" s="2"/>
    </row>
    <row r="18" spans="1:6" x14ac:dyDescent="0.3">
      <c r="A18" s="2"/>
      <c r="B18" s="90" t="s">
        <v>298</v>
      </c>
      <c r="C18" s="15">
        <f>RE!C10</f>
        <v>27.620266666666655</v>
      </c>
      <c r="D18" s="2"/>
      <c r="E18" s="2"/>
      <c r="F18" s="2"/>
    </row>
    <row r="19" spans="1:6" x14ac:dyDescent="0.3">
      <c r="A19" s="2"/>
      <c r="B19" s="3" t="s">
        <v>349</v>
      </c>
      <c r="C19" s="91">
        <f>(C17+C18)*0.9</f>
        <v>77.185001142857132</v>
      </c>
      <c r="D19" s="2"/>
      <c r="E19" s="2"/>
      <c r="F19" s="2"/>
    </row>
    <row r="20" spans="1:6" x14ac:dyDescent="0.3">
      <c r="A20" s="2"/>
      <c r="B20" s="19" t="s">
        <v>301</v>
      </c>
      <c r="C20" s="92">
        <f>SUM(-C15,-C16,C19)</f>
        <v>94.328469133600947</v>
      </c>
      <c r="D20" s="2"/>
      <c r="E20" s="2"/>
      <c r="F20" s="2"/>
    </row>
    <row r="21" spans="1:6" x14ac:dyDescent="0.3">
      <c r="A21" s="2"/>
      <c r="B21" s="2"/>
    </row>
    <row r="23" spans="1:6" s="34" customFormat="1" hidden="1" x14ac:dyDescent="0.3"/>
    <row r="24" spans="1:6" s="34" customFormat="1" hidden="1" x14ac:dyDescent="0.3"/>
    <row r="25" spans="1:6" s="34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6" t="s">
        <v>5</v>
      </c>
      <c r="C44" s="117"/>
      <c r="D44" s="118"/>
      <c r="E44" s="116" t="s">
        <v>69</v>
      </c>
      <c r="F44" s="117"/>
      <c r="G44" s="118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347</v>
      </c>
      <c r="B172" s="61">
        <f>25000*0.17</f>
        <v>4250</v>
      </c>
    </row>
    <row r="173" spans="1:2" x14ac:dyDescent="0.3">
      <c r="A173" s="58" t="s">
        <v>107</v>
      </c>
      <c r="B173" s="61">
        <v>2724.2246671013995</v>
      </c>
    </row>
    <row r="174" spans="1:2" x14ac:dyDescent="0.3">
      <c r="A174" s="58" t="s">
        <v>108</v>
      </c>
      <c r="B174" s="61">
        <v>2678.1548398122004</v>
      </c>
    </row>
    <row r="175" spans="1:2" x14ac:dyDescent="0.3">
      <c r="A175" s="58" t="s">
        <v>109</v>
      </c>
      <c r="B175" s="61">
        <v>925.39090928000007</v>
      </c>
    </row>
    <row r="176" spans="1:2" x14ac:dyDescent="0.3">
      <c r="A176" s="58" t="s">
        <v>110</v>
      </c>
      <c r="B176" s="61">
        <v>832.84025582999993</v>
      </c>
    </row>
    <row r="177" spans="1:2" x14ac:dyDescent="0.3">
      <c r="A177" s="58" t="s">
        <v>111</v>
      </c>
      <c r="B177" s="61">
        <v>3847.6402921410004</v>
      </c>
    </row>
    <row r="178" spans="1:2" x14ac:dyDescent="0.3">
      <c r="A178" s="58" t="s">
        <v>112</v>
      </c>
      <c r="B178" s="61">
        <v>3849.2868810089999</v>
      </c>
    </row>
    <row r="179" spans="1:2" x14ac:dyDescent="0.3">
      <c r="A179" s="58" t="s">
        <v>113</v>
      </c>
      <c r="B179" s="61">
        <v>3453.8088875220001</v>
      </c>
    </row>
    <row r="180" spans="1:2" x14ac:dyDescent="0.3">
      <c r="A180" s="58" t="s">
        <v>114</v>
      </c>
      <c r="B180" s="61">
        <v>3391.1981881470001</v>
      </c>
    </row>
    <row r="181" spans="1:2" x14ac:dyDescent="0.3">
      <c r="A181" s="58" t="s">
        <v>115</v>
      </c>
      <c r="B181" s="61">
        <v>3759.2860042549196</v>
      </c>
    </row>
    <row r="182" spans="1:2" x14ac:dyDescent="0.3">
      <c r="A182" s="58" t="s">
        <v>116</v>
      </c>
      <c r="B182" s="61">
        <v>2658.9292517203125</v>
      </c>
    </row>
    <row r="183" spans="1:2" x14ac:dyDescent="0.3">
      <c r="A183" s="58" t="s">
        <v>117</v>
      </c>
      <c r="B183" s="61">
        <v>4303.8993272226562</v>
      </c>
    </row>
    <row r="184" spans="1:2" x14ac:dyDescent="0.3">
      <c r="A184" s="58" t="s">
        <v>118</v>
      </c>
      <c r="B184" s="61">
        <v>4054.8428879156254</v>
      </c>
    </row>
    <row r="185" spans="1:2" x14ac:dyDescent="0.3">
      <c r="A185" s="58" t="s">
        <v>119</v>
      </c>
      <c r="B185" s="61">
        <v>3165.3350675625002</v>
      </c>
    </row>
    <row r="186" spans="1:2" x14ac:dyDescent="0.3">
      <c r="A186" s="58" t="s">
        <v>120</v>
      </c>
      <c r="B186" s="61">
        <v>21727.520374600001</v>
      </c>
    </row>
    <row r="187" spans="1:2" x14ac:dyDescent="0.3">
      <c r="A187" s="58" t="s">
        <v>121</v>
      </c>
      <c r="B187" s="61">
        <v>763729.18826415588</v>
      </c>
    </row>
    <row r="188" spans="1:2" x14ac:dyDescent="0.3">
      <c r="A188" s="58" t="s">
        <v>122</v>
      </c>
      <c r="B188" s="61">
        <v>28201.949841089998</v>
      </c>
    </row>
    <row r="189" spans="1:2" x14ac:dyDescent="0.3">
      <c r="A189" s="58" t="s">
        <v>123</v>
      </c>
      <c r="B189" s="61">
        <v>745475.31653372501</v>
      </c>
    </row>
    <row r="190" spans="1:2" x14ac:dyDescent="0.3">
      <c r="A190" s="58" t="s">
        <v>124</v>
      </c>
      <c r="B190" s="61">
        <v>1313.2063369499999</v>
      </c>
    </row>
    <row r="191" spans="1:2" x14ac:dyDescent="0.3">
      <c r="A191" s="58" t="s">
        <v>125</v>
      </c>
      <c r="B191" s="61">
        <v>864.20333642999981</v>
      </c>
    </row>
    <row r="192" spans="1:2" x14ac:dyDescent="0.3">
      <c r="A192" s="58" t="s">
        <v>126</v>
      </c>
      <c r="B192" s="61">
        <v>2605.9006745199999</v>
      </c>
    </row>
    <row r="194" spans="1:2" x14ac:dyDescent="0.3">
      <c r="A194" s="23" t="s">
        <v>71</v>
      </c>
      <c r="B194" s="62" t="s">
        <v>127</v>
      </c>
    </row>
    <row r="195" spans="1:2" x14ac:dyDescent="0.3">
      <c r="A195" t="s">
        <v>128</v>
      </c>
      <c r="B195" s="63">
        <v>5895.9797374104</v>
      </c>
    </row>
    <row r="196" spans="1:2" x14ac:dyDescent="0.3">
      <c r="A196" t="s">
        <v>129</v>
      </c>
      <c r="B196" s="63">
        <v>2576.2094178333336</v>
      </c>
    </row>
    <row r="197" spans="1:2" x14ac:dyDescent="0.3">
      <c r="A197" t="s">
        <v>130</v>
      </c>
      <c r="B197" s="63">
        <v>4062.9965796000001</v>
      </c>
    </row>
    <row r="198" spans="1:2" x14ac:dyDescent="0.3">
      <c r="A198" t="s">
        <v>131</v>
      </c>
      <c r="B198" s="63">
        <v>4011.4789508640006</v>
      </c>
    </row>
    <row r="199" spans="1:2" x14ac:dyDescent="0.3">
      <c r="A199" t="s">
        <v>132</v>
      </c>
      <c r="B199" s="63">
        <v>2682.7232290992001</v>
      </c>
    </row>
    <row r="200" spans="1:2" x14ac:dyDescent="0.3">
      <c r="A200" t="s">
        <v>133</v>
      </c>
      <c r="B200" s="63">
        <v>2548.7495763313045</v>
      </c>
    </row>
    <row r="201" spans="1:2" x14ac:dyDescent="0.3">
      <c r="A201" t="s">
        <v>134</v>
      </c>
      <c r="B201" s="63">
        <v>3366.7024762240003</v>
      </c>
    </row>
    <row r="202" spans="1:2" x14ac:dyDescent="0.3">
      <c r="A202" t="s">
        <v>135</v>
      </c>
      <c r="B202" s="63">
        <v>3370.0393371360001</v>
      </c>
    </row>
    <row r="203" spans="1:2" x14ac:dyDescent="0.3">
      <c r="A203" t="s">
        <v>136</v>
      </c>
      <c r="B203" s="63">
        <v>3392.0923222031997</v>
      </c>
    </row>
    <row r="204" spans="1:2" x14ac:dyDescent="0.3">
      <c r="A204" t="s">
        <v>137</v>
      </c>
      <c r="B204" s="63">
        <v>3141.3860726075795</v>
      </c>
    </row>
    <row r="206" spans="1:2" x14ac:dyDescent="0.3">
      <c r="A206" s="23" t="s">
        <v>172</v>
      </c>
      <c r="B206" s="23" t="s">
        <v>24</v>
      </c>
    </row>
    <row r="207" spans="1:2" x14ac:dyDescent="0.3">
      <c r="A207" t="s">
        <v>153</v>
      </c>
      <c r="B207">
        <v>1.6E-2</v>
      </c>
    </row>
    <row r="208" spans="1:2" x14ac:dyDescent="0.3">
      <c r="A208" t="s">
        <v>152</v>
      </c>
      <c r="B208">
        <v>6.0000000000000001E-3</v>
      </c>
    </row>
    <row r="209" spans="1:5" x14ac:dyDescent="0.3">
      <c r="A209" t="s">
        <v>156</v>
      </c>
      <c r="B209" s="64">
        <v>0.01</v>
      </c>
    </row>
    <row r="210" spans="1:5" x14ac:dyDescent="0.3">
      <c r="A210" t="s">
        <v>158</v>
      </c>
      <c r="B210" s="64">
        <v>1.0999999999999999E-2</v>
      </c>
    </row>
    <row r="211" spans="1:5" x14ac:dyDescent="0.3">
      <c r="A211" t="s">
        <v>174</v>
      </c>
      <c r="B211" s="64">
        <v>5.7000000000000002E-2</v>
      </c>
    </row>
    <row r="212" spans="1:5" x14ac:dyDescent="0.3">
      <c r="A212" t="s">
        <v>176</v>
      </c>
      <c r="B212" s="64">
        <v>4.51</v>
      </c>
    </row>
    <row r="213" spans="1:5" x14ac:dyDescent="0.3">
      <c r="A213" t="s">
        <v>177</v>
      </c>
      <c r="B213" s="64">
        <v>1.45</v>
      </c>
    </row>
    <row r="214" spans="1:5" x14ac:dyDescent="0.3">
      <c r="A214" t="s">
        <v>178</v>
      </c>
      <c r="B214" s="64">
        <v>0.71</v>
      </c>
    </row>
    <row r="215" spans="1:5" x14ac:dyDescent="0.3">
      <c r="A215" s="65" t="s">
        <v>180</v>
      </c>
      <c r="B215" s="64">
        <v>6.0090000000000003</v>
      </c>
    </row>
    <row r="216" spans="1:5" x14ac:dyDescent="0.3">
      <c r="A216" s="65" t="s">
        <v>181</v>
      </c>
      <c r="B216" s="64">
        <v>8.9849999999999994</v>
      </c>
    </row>
    <row r="217" spans="1:5" x14ac:dyDescent="0.3">
      <c r="A217" s="65" t="s">
        <v>182</v>
      </c>
      <c r="B217" s="64">
        <v>25.134</v>
      </c>
    </row>
    <row r="218" spans="1:5" x14ac:dyDescent="0.3">
      <c r="A218" s="66" t="s">
        <v>183</v>
      </c>
      <c r="B218" s="64">
        <v>8.4779999999999998</v>
      </c>
    </row>
    <row r="219" spans="1:5" x14ac:dyDescent="0.3">
      <c r="A219" s="67"/>
    </row>
    <row r="220" spans="1:5" x14ac:dyDescent="0.3">
      <c r="A220" t="s">
        <v>154</v>
      </c>
      <c r="B220">
        <v>0.11</v>
      </c>
    </row>
    <row r="221" spans="1:5" x14ac:dyDescent="0.3">
      <c r="A221" t="s">
        <v>155</v>
      </c>
      <c r="B221">
        <v>0.21</v>
      </c>
    </row>
    <row r="222" spans="1:5" x14ac:dyDescent="0.3">
      <c r="A222" s="68" t="s">
        <v>157</v>
      </c>
      <c r="B222">
        <v>0.24</v>
      </c>
    </row>
    <row r="224" spans="1:5" x14ac:dyDescent="0.3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">
      <c r="A232" t="s">
        <v>187</v>
      </c>
      <c r="B232">
        <v>265</v>
      </c>
    </row>
    <row r="235" spans="1:5" ht="15" customHeight="1" x14ac:dyDescent="0.3">
      <c r="A235" s="38"/>
      <c r="B235" s="38" t="s">
        <v>202</v>
      </c>
      <c r="C235" s="38"/>
      <c r="D235" s="38" t="s">
        <v>203</v>
      </c>
      <c r="E235" s="38"/>
    </row>
    <row r="236" spans="1:5" ht="15.6" x14ac:dyDescent="0.3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">
      <c r="A242" s="38"/>
      <c r="B242" s="38" t="s">
        <v>202</v>
      </c>
      <c r="C242" s="38" t="s">
        <v>203</v>
      </c>
    </row>
    <row r="243" spans="1:3" ht="18.75" customHeight="1" x14ac:dyDescent="0.4">
      <c r="A243" s="38" t="s">
        <v>212</v>
      </c>
      <c r="B243" s="38" t="s">
        <v>213</v>
      </c>
      <c r="C243" s="38" t="s">
        <v>213</v>
      </c>
    </row>
    <row r="244" spans="1:3" x14ac:dyDescent="0.3">
      <c r="A244" s="38">
        <v>1</v>
      </c>
      <c r="B244" s="38">
        <v>2.7</v>
      </c>
      <c r="C244" s="38">
        <v>2.4</v>
      </c>
    </row>
    <row r="245" spans="1:3" x14ac:dyDescent="0.3">
      <c r="A245" s="38">
        <v>2</v>
      </c>
      <c r="B245" s="38">
        <v>4.2</v>
      </c>
      <c r="C245" s="38">
        <v>3.72</v>
      </c>
    </row>
    <row r="246" spans="1:3" x14ac:dyDescent="0.3">
      <c r="A246" s="38">
        <v>3</v>
      </c>
      <c r="B246" s="38">
        <v>5.6</v>
      </c>
      <c r="C246" s="38">
        <v>5.04</v>
      </c>
    </row>
    <row r="247" spans="1:3" x14ac:dyDescent="0.3">
      <c r="A247" s="38">
        <v>4</v>
      </c>
      <c r="B247" s="38">
        <v>7.1</v>
      </c>
      <c r="C247" s="38">
        <v>6.36</v>
      </c>
    </row>
    <row r="248" spans="1:3" x14ac:dyDescent="0.3">
      <c r="A248" s="38">
        <v>5</v>
      </c>
      <c r="B248" s="38">
        <v>7.4</v>
      </c>
      <c r="C248" s="38">
        <v>6.6</v>
      </c>
    </row>
    <row r="249" spans="1:3" x14ac:dyDescent="0.3">
      <c r="A249" s="38">
        <v>6</v>
      </c>
      <c r="B249" s="38">
        <v>8.6</v>
      </c>
      <c r="C249" s="38">
        <v>7.7</v>
      </c>
    </row>
    <row r="250" spans="1:3" x14ac:dyDescent="0.3">
      <c r="A250" s="38">
        <v>7</v>
      </c>
      <c r="B250" s="38">
        <v>9.8000000000000007</v>
      </c>
      <c r="C250" s="38">
        <v>8.8000000000000007</v>
      </c>
    </row>
    <row r="251" spans="1:3" x14ac:dyDescent="0.3">
      <c r="A251" s="38">
        <v>8</v>
      </c>
      <c r="B251" s="38">
        <v>11.1</v>
      </c>
      <c r="C251" s="38">
        <v>9.9</v>
      </c>
    </row>
    <row r="252" spans="1:3" x14ac:dyDescent="0.3">
      <c r="A252" s="38">
        <v>9</v>
      </c>
      <c r="B252" s="38">
        <v>12.3</v>
      </c>
      <c r="C252" s="38">
        <v>11</v>
      </c>
    </row>
    <row r="253" spans="1:3" x14ac:dyDescent="0.3">
      <c r="A253" s="38">
        <v>10</v>
      </c>
      <c r="B253" s="38">
        <v>13.5</v>
      </c>
      <c r="C253" s="38">
        <v>12.1</v>
      </c>
    </row>
    <row r="254" spans="1:3" x14ac:dyDescent="0.3">
      <c r="A254" s="38">
        <v>11</v>
      </c>
      <c r="B254" s="38">
        <v>13.9</v>
      </c>
      <c r="C254" s="38">
        <v>12.46</v>
      </c>
    </row>
    <row r="255" spans="1:3" x14ac:dyDescent="0.3">
      <c r="A255" s="38">
        <v>12</v>
      </c>
      <c r="B255" s="38">
        <v>14.3</v>
      </c>
      <c r="C255" s="38">
        <v>12.82</v>
      </c>
    </row>
    <row r="256" spans="1:3" x14ac:dyDescent="0.3">
      <c r="A256" s="38">
        <v>13</v>
      </c>
      <c r="B256" s="38">
        <v>14.7</v>
      </c>
      <c r="C256" s="38">
        <v>13.18</v>
      </c>
    </row>
    <row r="257" spans="1:3" x14ac:dyDescent="0.3">
      <c r="A257" s="38">
        <v>14</v>
      </c>
      <c r="B257" s="38">
        <v>15.1</v>
      </c>
      <c r="C257" s="38">
        <v>13.54</v>
      </c>
    </row>
    <row r="258" spans="1:3" x14ac:dyDescent="0.3">
      <c r="A258" s="38">
        <v>15</v>
      </c>
      <c r="B258" s="38">
        <v>15.6</v>
      </c>
      <c r="C258" s="38">
        <v>13.9</v>
      </c>
    </row>
    <row r="259" spans="1:3" x14ac:dyDescent="0.3">
      <c r="A259" s="38">
        <v>16</v>
      </c>
      <c r="B259" s="38">
        <v>15.6</v>
      </c>
      <c r="C259" s="38">
        <v>13.98</v>
      </c>
    </row>
    <row r="260" spans="1:3" x14ac:dyDescent="0.3">
      <c r="A260" s="38">
        <v>17</v>
      </c>
      <c r="B260" s="38">
        <v>15.7</v>
      </c>
      <c r="C260" s="38">
        <v>14.06</v>
      </c>
    </row>
    <row r="261" spans="1:3" x14ac:dyDescent="0.3">
      <c r="A261" s="38">
        <v>18</v>
      </c>
      <c r="B261" s="38">
        <v>15.8</v>
      </c>
      <c r="C261" s="38">
        <v>14.14</v>
      </c>
    </row>
    <row r="262" spans="1:3" x14ac:dyDescent="0.3">
      <c r="A262" s="38">
        <v>19</v>
      </c>
      <c r="B262" s="38">
        <v>15.9</v>
      </c>
      <c r="C262" s="38">
        <v>14.22</v>
      </c>
    </row>
    <row r="263" spans="1:3" x14ac:dyDescent="0.3">
      <c r="A263" s="38">
        <v>20</v>
      </c>
      <c r="B263" s="38">
        <v>16</v>
      </c>
      <c r="C263" s="38">
        <v>14.3</v>
      </c>
    </row>
    <row r="265" spans="1:3" ht="15" customHeight="1" x14ac:dyDescent="0.3">
      <c r="A265" s="38" t="s">
        <v>8</v>
      </c>
      <c r="B265" s="38" t="s">
        <v>219</v>
      </c>
      <c r="C265" s="38" t="s">
        <v>220</v>
      </c>
    </row>
    <row r="266" spans="1:3" x14ac:dyDescent="0.3">
      <c r="A266" s="38" t="s">
        <v>2</v>
      </c>
      <c r="B266" s="38">
        <v>34.299999999999997</v>
      </c>
      <c r="C266" s="38">
        <v>34</v>
      </c>
    </row>
    <row r="267" spans="1:3" x14ac:dyDescent="0.3">
      <c r="A267" s="38" t="s">
        <v>1</v>
      </c>
      <c r="B267" s="38">
        <v>49.5</v>
      </c>
      <c r="C267" s="38">
        <v>85</v>
      </c>
    </row>
    <row r="268" spans="1:3" x14ac:dyDescent="0.3">
      <c r="A268" s="38" t="s">
        <v>0</v>
      </c>
      <c r="B268" s="38">
        <v>43.1</v>
      </c>
      <c r="C268" s="38">
        <v>52</v>
      </c>
    </row>
    <row r="269" spans="1:3" x14ac:dyDescent="0.3">
      <c r="A269" s="38" t="s">
        <v>216</v>
      </c>
      <c r="B269" s="38" t="s">
        <v>217</v>
      </c>
      <c r="C269" s="38" t="s">
        <v>218</v>
      </c>
    </row>
    <row r="271" spans="1:3" ht="15" customHeight="1" x14ac:dyDescent="0.3">
      <c r="A271" s="38" t="s">
        <v>8</v>
      </c>
      <c r="B271" s="38" t="s">
        <v>221</v>
      </c>
      <c r="C271" s="38" t="s">
        <v>220</v>
      </c>
    </row>
    <row r="272" spans="1:3" x14ac:dyDescent="0.3">
      <c r="A272" s="38" t="s">
        <v>209</v>
      </c>
      <c r="B272" s="38">
        <v>41.5</v>
      </c>
      <c r="C272" s="38">
        <v>47</v>
      </c>
    </row>
    <row r="273" spans="1:3" x14ac:dyDescent="0.3">
      <c r="A273" s="38" t="s">
        <v>216</v>
      </c>
      <c r="B273" s="38" t="s">
        <v>217</v>
      </c>
      <c r="C273" s="38" t="s">
        <v>218</v>
      </c>
    </row>
    <row r="276" spans="1:3" x14ac:dyDescent="0.3">
      <c r="A276" s="38" t="s">
        <v>225</v>
      </c>
      <c r="B276" s="38">
        <v>0.49</v>
      </c>
    </row>
    <row r="278" spans="1:3" x14ac:dyDescent="0.3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Clément GARIN</cp:lastModifiedBy>
  <dcterms:created xsi:type="dcterms:W3CDTF">2020-09-28T09:31:11Z</dcterms:created>
  <dcterms:modified xsi:type="dcterms:W3CDTF">2023-09-15T15:35:04Z</dcterms:modified>
</cp:coreProperties>
</file>